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18870" windowHeight="7095" tabRatio="640" activeTab="0"/>
  </bookViews>
  <sheets>
    <sheet name="Summary" sheetId="3" r:id="rId1"/>
    <sheet name="Design Review" sheetId="2" r:id="rId2"/>
    <sheet name="Bicycle Parking" sheetId="4" r:id="rId3"/>
    <sheet name="Amendment 2 (min 220 nsf)" sheetId="1" r:id="rId4"/>
    <sheet name="Amendment 5 (Cong amenity area)" sheetId="6" r:id="rId5"/>
    <sheet name="Amendment 6 (add stds &amp; sink)" sheetId="5" r:id="rId6"/>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<sst xmlns="http://schemas.openxmlformats.org/spreadsheetml/2006/main" count="207" uniqueCount="154">
  <si>
    <t>NSF</t>
  </si>
  <si>
    <t>Total</t>
  </si>
  <si>
    <t>Average</t>
  </si>
  <si>
    <t>Rooms</t>
  </si>
  <si>
    <t>Difference</t>
  </si>
  <si>
    <t>Rounded</t>
  </si>
  <si>
    <t>nsf</t>
  </si>
  <si>
    <t>Proposed Code</t>
  </si>
  <si>
    <t>Decrease in units</t>
  </si>
  <si>
    <t>% Decrease</t>
  </si>
  <si>
    <t>Rental Rate w/ new code</t>
  </si>
  <si>
    <t>per month</t>
  </si>
  <si>
    <t>Increase in Size &amp; Rent</t>
  </si>
  <si>
    <t>Increase</t>
  </si>
  <si>
    <t>Rental Rate of original</t>
  </si>
  <si>
    <t>Minimum 220 NSF Impact</t>
  </si>
  <si>
    <t>Notes: Rate includes utilities.</t>
  </si>
  <si>
    <t>Micro Apartment Building</t>
  </si>
  <si>
    <t xml:space="preserve">  Smallest room is 139.5 nsf; largest is 201.7 nsf.</t>
  </si>
  <si>
    <t># of SEDU w/ new code</t>
  </si>
  <si>
    <r>
      <t xml:space="preserve">  New rate does </t>
    </r>
    <r>
      <rPr>
        <i/>
        <sz val="11"/>
        <color theme="1"/>
        <rFont val="Calibri"/>
        <family val="2"/>
      </rPr>
      <t>not</t>
    </r>
    <r>
      <rPr>
        <sz val="11"/>
        <color theme="1"/>
        <rFont val="Calibri"/>
        <family val="2"/>
        <scheme val="minor"/>
      </rPr>
      <t xml:space="preserve"> include cost of Design Review, additional sinks, etc.</t>
    </r>
  </si>
  <si>
    <t>City of Seattle</t>
  </si>
  <si>
    <t>Design Review Costs</t>
  </si>
  <si>
    <t>Impact on Micro Projects for which it was previously not required</t>
  </si>
  <si>
    <t>Assumptions</t>
  </si>
  <si>
    <t>Land Cost</t>
  </si>
  <si>
    <t>Sleeping Rooms</t>
  </si>
  <si>
    <t>Land Cost/Rentable Room</t>
  </si>
  <si>
    <t>Item</t>
  </si>
  <si>
    <t>Rate</t>
  </si>
  <si>
    <t>#</t>
  </si>
  <si>
    <t>Amount</t>
  </si>
  <si>
    <t>Comment</t>
  </si>
  <si>
    <t>Architect</t>
  </si>
  <si>
    <t>Do additional plans and marketing materials for extra process (e.g., design review, permits)</t>
  </si>
  <si>
    <t>DPD Review Costs</t>
  </si>
  <si>
    <t>Hourly rate for DPD staff (which is much more than private sector A&amp;E rates)</t>
  </si>
  <si>
    <t>Permit Costs from DPD</t>
  </si>
  <si>
    <t>EDG, Design Review, MUP, etc.</t>
  </si>
  <si>
    <t>Project Management</t>
  </si>
  <si>
    <t>Development staff time for x months</t>
  </si>
  <si>
    <t>Subtotal 1</t>
  </si>
  <si>
    <t>Carrying Costs on above</t>
  </si>
  <si>
    <t>Subtotal 2</t>
  </si>
  <si>
    <t>Carrying Costs on Land</t>
  </si>
  <si>
    <t>Assumes developer has purchased the land</t>
  </si>
  <si>
    <t>Cost/Room</t>
  </si>
  <si>
    <t>Required Return/Year</t>
  </si>
  <si>
    <t>Required Return/Month</t>
  </si>
  <si>
    <t>This is the amount of additional rent required by tenant for Landlord to break even (and get the project financed)</t>
  </si>
  <si>
    <t>Note:</t>
  </si>
  <si>
    <t>Most developers doing micros and townhomes are small with limited financial resources.  If Design Review requires that they spend the Total above, that reduces their liquidity by that amount, which means they have less $ to a) acquire and build new projects and b) decreases their financing capabilities (e.g., with lenders).</t>
  </si>
  <si>
    <t>Design Review: Streamlined, Administrative, and Full Design Review</t>
  </si>
  <si>
    <t>CB 118201</t>
  </si>
  <si>
    <t>Design Review</t>
  </si>
  <si>
    <t>Amendment 2</t>
  </si>
  <si>
    <t>Amendment 3</t>
  </si>
  <si>
    <t>Bill Alone</t>
  </si>
  <si>
    <t>w/ Amendments</t>
  </si>
  <si>
    <t>Financial Impact per Monthly Rent</t>
  </si>
  <si>
    <t>Description</t>
  </si>
  <si>
    <t>Req. for =&gt;5,000 sf</t>
  </si>
  <si>
    <t>Min 220 nsf unit</t>
  </si>
  <si>
    <t>Bicycle Parking</t>
  </si>
  <si>
    <t>Amendment 4</t>
  </si>
  <si>
    <t>Amendment 6</t>
  </si>
  <si>
    <t>0.50 ratio bicycle parking</t>
  </si>
  <si>
    <t>0.75 ratio bicycle parking</t>
  </si>
  <si>
    <t>Congregate Common Area (CCA)</t>
  </si>
  <si>
    <t>Sink required in bathroom</t>
  </si>
  <si>
    <t>Minimum Average Unit Size</t>
  </si>
  <si>
    <t>See above</t>
  </si>
  <si>
    <t>Min average 220 nsf unit</t>
  </si>
  <si>
    <t>Sample Micro Project</t>
  </si>
  <si>
    <t>$/sf x sf of LR land</t>
  </si>
  <si>
    <t>Rental Rate/Month of Original</t>
  </si>
  <si>
    <t>Before Legislation</t>
  </si>
  <si>
    <t>Land sf</t>
  </si>
  <si>
    <t>Covered bicycle parking</t>
  </si>
  <si>
    <t>Current Required</t>
  </si>
  <si>
    <t>Bill w/ Amendments</t>
  </si>
  <si>
    <t>Ratio Required</t>
  </si>
  <si>
    <t># Required</t>
  </si>
  <si>
    <t>SF Required</t>
  </si>
  <si>
    <t>Average NSF</t>
  </si>
  <si>
    <t>Sleeping Room Value</t>
  </si>
  <si>
    <t>Loss of Sleeping Rooms</t>
  </si>
  <si>
    <t>Value Lost</t>
  </si>
  <si>
    <t>Required Rate of Return/Yr</t>
  </si>
  <si>
    <t>Future Number of Sleeping Rooms</t>
  </si>
  <si>
    <t>Revenue Needed/Year</t>
  </si>
  <si>
    <t>Revenue Needed/Month</t>
  </si>
  <si>
    <t>Additional Rev. Needed per Remaining Sleeping Rooms</t>
  </si>
  <si>
    <t>Original Rent/Month</t>
  </si>
  <si>
    <t>Additional Rent Required by CB 118201</t>
  </si>
  <si>
    <t>Subtotal 3</t>
  </si>
  <si>
    <t>% Increase</t>
  </si>
  <si>
    <t>Additional Rent Required by Amendments</t>
  </si>
  <si>
    <t>Sleeping Room nsf</t>
  </si>
  <si>
    <t>Current Avg (no req.)</t>
  </si>
  <si>
    <t>Sleeping Room Dimensions</t>
  </si>
  <si>
    <t>16' 10.5" x 8'9"</t>
  </si>
  <si>
    <t>19' 1.5" x 8'9"</t>
  </si>
  <si>
    <t>21' 9.5" x 8'9"</t>
  </si>
  <si>
    <t>Total NSF</t>
  </si>
  <si>
    <t>% Loss</t>
  </si>
  <si>
    <t>Amendment Increase</t>
  </si>
  <si>
    <t>"The floor area occupied by bathrooms, cabinets, closets, appliances, and structural features is not included in calculating the net floor area."</t>
  </si>
  <si>
    <t>Additional Standards (e.g., 4 sf contiguous countertop area)</t>
  </si>
  <si>
    <t>Small Efficiency Dwelling Units (SEDU)</t>
  </si>
  <si>
    <t>Congregate Housing</t>
  </si>
  <si>
    <t>Amendments</t>
  </si>
  <si>
    <t>Rooms Lost if 220 nsf requirement already in place</t>
  </si>
  <si>
    <t>Additional Rent Required</t>
  </si>
  <si>
    <t>If outdoors and not covered</t>
  </si>
  <si>
    <t>Additional Standards &amp; Sink Required in Bathroom</t>
  </si>
  <si>
    <t>Cost for Outdoor Bicycle Parking Spot</t>
  </si>
  <si>
    <t>Cost for Outdoor Bicycle Parking</t>
  </si>
  <si>
    <t>Indoor Bicycle Parking</t>
  </si>
  <si>
    <t>0.5 v 0.75 ratio</t>
  </si>
  <si>
    <t>% Increase over Original Bill</t>
  </si>
  <si>
    <t>% Increase over Existing</t>
  </si>
  <si>
    <t>Increase over Existing</t>
  </si>
  <si>
    <t>Subtract because (mostly) included in 220 nsf min</t>
  </si>
  <si>
    <t>Building nsf</t>
  </si>
  <si>
    <t>Add actual costs of extra sink per SEDU</t>
  </si>
  <si>
    <t>Cost per Sink</t>
  </si>
  <si>
    <t>Sink cost (incl. plumbing etc.)</t>
  </si>
  <si>
    <t>Additional Sink Cost per SEDU</t>
  </si>
  <si>
    <t>Likely not all stalls could fit outside b/c it would take up too much sf of prescribed outdoor amenity area (unless City changes code to allow it).</t>
  </si>
  <si>
    <t>Congregate Amenity Area</t>
  </si>
  <si>
    <t>Amenity Required sf</t>
  </si>
  <si>
    <t>Amenity Required %</t>
  </si>
  <si>
    <t>Loss of Sleeping Rooms based on SF</t>
  </si>
  <si>
    <t>Loss of Sleeping Rooms based on Amenity</t>
  </si>
  <si>
    <t>% Loss based on Amenity Requirement</t>
  </si>
  <si>
    <t>Additional Revenue Needed per Remaining Sleeping Rooms based on Amenity Requirement</t>
  </si>
  <si>
    <t>Sleeping Rooms after loss to Amenity</t>
  </si>
  <si>
    <t>Note</t>
  </si>
  <si>
    <t>Does not include loss due to min unit 222 nsf</t>
  </si>
  <si>
    <t>Amendment Increase (Decrease)</t>
  </si>
  <si>
    <t>Bill Alone if no Unit Min NSF at 10%</t>
  </si>
  <si>
    <t>Bill Alone if no Unit Min NSF at 15%</t>
  </si>
  <si>
    <t>If no 220 nsf min</t>
  </si>
  <si>
    <t>If 220 nsf required</t>
  </si>
  <si>
    <t>Bill Alone w/ 10% Req.</t>
  </si>
  <si>
    <t>Bill w/ Amendments w/ 15% Req.</t>
  </si>
  <si>
    <t>10% Amenity</t>
  </si>
  <si>
    <t>15% Amenity</t>
  </si>
  <si>
    <t xml:space="preserve">Notes: </t>
  </si>
  <si>
    <t>1.  Laundry areas not included in 15% Amenity amendment.</t>
  </si>
  <si>
    <t>2.  The figures shown are the incremental amount of the Amenity cost.  The loss of rooms caused by min 220 nsf is covered separately.</t>
  </si>
  <si>
    <t>Amend 5: (15% of total sleeping room floor area)</t>
  </si>
  <si>
    <t>Micro-Housing &amp; Congregate Housing Legislation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</si>
</sst>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 #,##0_);_(* \(#,##0\);_(* &quot;-&quot;??_);_(@_)"/>
  </numFmts>
  <fonts count="15">
    <font>
      <sz val="11"/>
      <color theme="1"/>
      <name val="Calibri"/>
      <family val="2"/>
      <scheme val="minor"/>
    </font>
    <font>
      <sz val="10"/>
      <name val="Arial"/>
      <family val="2"/>
    </font>
    <font>
      <b/>
      <sz val="11"/>
      <color theme="1"/>
      <name val="Calibri"/>
      <family val="2"/>
      <scheme val="minor"/>
    </font>
    <font>
      <sz val="11"/>
      <name val="Calibri"/>
      <family val="2"/>
      <scheme val="minor"/>
    </font>
    <font>
      <sz val="11"/>
      <color theme="4" tint="-0.4999699890613556"/>
      <name val="Calibri"/>
      <family val="2"/>
      <scheme val="minor"/>
    </font>
    <font>
      <b/>
      <sz val="11"/>
      <color theme="4" tint="-0.4999699890613556"/>
      <name val="Calibri"/>
      <family val="2"/>
      <scheme val="minor"/>
    </font>
    <font>
      <b/>
      <i/>
      <sz val="11"/>
      <color theme="1"/>
      <name val="Calibri"/>
      <family val="2"/>
      <scheme val="minor"/>
    </font>
    <font>
      <i/>
      <sz val="11"/>
      <color theme="1"/>
      <name val="Calibri"/>
      <family val="2"/>
    </font>
    <font>
      <b/>
      <u val="single"/>
      <sz val="11"/>
      <color theme="1"/>
      <name val="Calibri"/>
      <family val="2"/>
      <scheme val="minor"/>
    </font>
    <font>
      <sz val="11"/>
      <color theme="3"/>
      <name val="Calibri"/>
      <family val="2"/>
      <scheme val="minor"/>
    </font>
    <font>
      <u val="single"/>
      <sz val="11"/>
      <color theme="1"/>
      <name val="Calibri"/>
      <family val="2"/>
      <scheme val="minor"/>
    </font>
    <font>
      <u val="single"/>
      <sz val="11"/>
      <color theme="3"/>
      <name val="Calibri"/>
      <family val="2"/>
      <scheme val="minor"/>
    </font>
    <font>
      <u val="single"/>
      <sz val="11"/>
      <name val="Calibri"/>
      <family val="2"/>
      <scheme val="minor"/>
    </font>
    <font>
      <i/>
      <sz val="11"/>
      <color theme="1"/>
      <name val="Calibri"/>
      <family val="2"/>
      <scheme val="minor"/>
    </font>
    <font>
      <sz val="11"/>
      <color rgb="FF0070C0"/>
      <name val="Calibri"/>
      <family val="2"/>
      <scheme val="minor"/>
    </font>
  </fonts>
  <fills count="2">
    <fill>
      <patternFill/>
    </fill>
    <fill>
      <patternFill patternType="gray125"/>
    </fill>
  </fills>
  <borders count="9">
    <border>
      <left/>
      <right/>
      <top/>
      <bottom/>
      <diagonal/>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86">
    <xf numFmtId="0" fontId="0" fillId="0" borderId="0" xfId="0"/>
    <xf numFmtId="0" fontId="2" fillId="0" borderId="0" xfId="0" applyFont="1"/>
    <xf numFmtId="43" fontId="2" fillId="0" borderId="0" xfId="18" applyFont="1"/>
    <xf numFmtId="43" fontId="0" fillId="0" borderId="0" xfId="0" applyNumberFormat="1"/>
    <xf numFmtId="0" fontId="0" fillId="0" borderId="0" xfId="0" applyFont="1"/>
    <xf numFmtId="6" fontId="0" fillId="0" borderId="0" xfId="0" applyNumberFormat="1"/>
    <xf numFmtId="6" fontId="3" fillId="0" borderId="0" xfId="0" applyNumberFormat="1" applyFont="1"/>
    <xf numFmtId="6" fontId="4" fillId="0" borderId="0" xfId="0" applyNumberFormat="1" applyFont="1"/>
    <xf numFmtId="0" fontId="4" fillId="0" borderId="0" xfId="0" applyFont="1"/>
    <xf numFmtId="165" fontId="0" fillId="0" borderId="0" xfId="0" applyNumberFormat="1"/>
    <xf numFmtId="164" fontId="2" fillId="0" borderId="0" xfId="15" applyNumberFormat="1" applyFont="1"/>
    <xf numFmtId="0" fontId="5" fillId="0" borderId="0" xfId="0" applyFont="1"/>
    <xf numFmtId="165" fontId="2" fillId="0" borderId="0" xfId="0" applyNumberFormat="1" applyFont="1"/>
    <xf numFmtId="6" fontId="2" fillId="0" borderId="0" xfId="0" applyNumberFormat="1" applyFont="1"/>
    <xf numFmtId="0" fontId="6" fillId="0" borderId="0" xfId="0" applyFont="1"/>
    <xf numFmtId="0" fontId="2" fillId="0" borderId="0" xfId="0" applyFont="1" applyBorder="1"/>
    <xf numFmtId="0" fontId="0" fillId="0" borderId="0" xfId="0" applyBorder="1"/>
    <xf numFmtId="0" fontId="0" fillId="0" borderId="0" xfId="0" applyAlignment="1">
      <alignment wrapText="1"/>
    </xf>
    <xf numFmtId="0" fontId="8" fillId="0" borderId="0" xfId="0" applyFont="1"/>
    <xf numFmtId="6" fontId="9" fillId="0" borderId="0" xfId="0" applyNumberFormat="1" applyFont="1"/>
    <xf numFmtId="165" fontId="9" fillId="0" borderId="0" xfId="18" applyNumberFormat="1" applyFont="1"/>
    <xf numFmtId="0" fontId="8" fillId="0" borderId="0" xfId="0" applyFont="1" applyAlignment="1">
      <alignment wrapText="1"/>
    </xf>
    <xf numFmtId="165" fontId="9" fillId="0" borderId="0" xfId="0" applyNumberFormat="1" applyFont="1"/>
    <xf numFmtId="0" fontId="10" fillId="0" borderId="0" xfId="0" applyFont="1"/>
    <xf numFmtId="6" fontId="11" fillId="0" borderId="0" xfId="0" applyNumberFormat="1" applyFont="1"/>
    <xf numFmtId="165" fontId="11" fillId="0" borderId="0" xfId="18" applyNumberFormat="1" applyFont="1"/>
    <xf numFmtId="6" fontId="12" fillId="0" borderId="0" xfId="0" applyNumberFormat="1" applyFont="1"/>
    <xf numFmtId="0" fontId="10" fillId="0" borderId="0" xfId="0" applyFont="1" applyAlignment="1">
      <alignment wrapText="1"/>
    </xf>
    <xf numFmtId="0" fontId="13" fillId="0" borderId="0" xfId="0" applyFont="1"/>
    <xf numFmtId="6" fontId="13" fillId="0" borderId="0" xfId="0" applyNumberFormat="1" applyFont="1"/>
    <xf numFmtId="0" fontId="13" fillId="0" borderId="0" xfId="0" applyFont="1" applyAlignment="1">
      <alignment wrapText="1"/>
    </xf>
    <xf numFmtId="10" fontId="11" fillId="0" borderId="0" xfId="0" applyNumberFormat="1" applyFont="1"/>
    <xf numFmtId="165" fontId="12" fillId="0" borderId="0" xfId="0" applyNumberFormat="1" applyFont="1"/>
    <xf numFmtId="6" fontId="10" fillId="0" borderId="0" xfId="0" applyNumberFormat="1" applyFont="1"/>
    <xf numFmtId="164" fontId="13" fillId="0" borderId="0" xfId="0" applyNumberFormat="1" applyFont="1"/>
    <xf numFmtId="10" fontId="10" fillId="0" borderId="0" xfId="0" applyNumberFormat="1" applyFont="1"/>
    <xf numFmtId="165" fontId="10" fillId="0" borderId="0" xfId="0" applyNumberFormat="1" applyFont="1"/>
    <xf numFmtId="0" fontId="2" fillId="0" borderId="0" xfId="0" applyFont="1" applyAlignment="1">
      <alignment wrapText="1"/>
    </xf>
    <xf numFmtId="10" fontId="0" fillId="0" borderId="0" xfId="0" applyNumberFormat="1"/>
    <xf numFmtId="8" fontId="0" fillId="0" borderId="0" xfId="0" applyNumberFormat="1"/>
    <xf numFmtId="0" fontId="0" fillId="0" borderId="0" xfId="0" applyAlignment="1">
      <alignment horizontal="left"/>
    </xf>
    <xf numFmtId="8" fontId="2" fillId="0" borderId="0" xfId="0" applyNumberFormat="1" applyFont="1"/>
    <xf numFmtId="165" fontId="0" fillId="0" borderId="0" xfId="18" applyNumberFormat="1" applyFont="1"/>
    <xf numFmtId="6" fontId="0" fillId="0" borderId="0" xfId="0" applyNumberFormat="1" applyFont="1"/>
    <xf numFmtId="0" fontId="8" fillId="0" borderId="0" xfId="0" applyFont="1" applyAlignment="1">
      <alignment horizontal="center"/>
    </xf>
    <xf numFmtId="2" fontId="0" fillId="0" borderId="0" xfId="0" applyNumberFormat="1"/>
    <xf numFmtId="1" fontId="0" fillId="0" borderId="0" xfId="0" applyNumberFormat="1"/>
    <xf numFmtId="165" fontId="0" fillId="0" borderId="0" xfId="0" applyNumberFormat="1" applyFont="1"/>
    <xf numFmtId="5" fontId="3" fillId="0" borderId="0" xfId="16" applyNumberFormat="1" applyFont="1"/>
    <xf numFmtId="5" fontId="9" fillId="0" borderId="0" xfId="16" applyNumberFormat="1" applyFont="1"/>
    <xf numFmtId="0" fontId="9" fillId="0" borderId="0" xfId="0" applyFont="1"/>
    <xf numFmtId="5" fontId="0" fillId="0" borderId="0" xfId="0" applyNumberFormat="1"/>
    <xf numFmtId="164" fontId="0" fillId="0" borderId="0" xfId="0" applyNumberFormat="1"/>
    <xf numFmtId="164" fontId="9" fillId="0" borderId="0" xfId="0" applyNumberFormat="1" applyFont="1"/>
    <xf numFmtId="0" fontId="0" fillId="0" borderId="0" xfId="0" applyFont="1" applyAlignment="1">
      <alignment wrapText="1"/>
    </xf>
    <xf numFmtId="5" fontId="2" fillId="0" borderId="0" xfId="0" applyNumberFormat="1" applyFont="1"/>
    <xf numFmtId="164" fontId="6" fillId="0" borderId="0" xfId="15" applyNumberFormat="1" applyFont="1"/>
    <xf numFmtId="2" fontId="9" fillId="0" borderId="0" xfId="0" applyNumberFormat="1" applyFont="1"/>
    <xf numFmtId="1" fontId="0" fillId="0" borderId="0" xfId="0" applyNumberFormat="1" applyAlignment="1">
      <alignment horizontal="right"/>
    </xf>
    <xf numFmtId="2" fontId="0" fillId="0" borderId="0" xfId="0" applyNumberFormat="1" applyAlignment="1">
      <alignment horizontal="right"/>
    </xf>
    <xf numFmtId="9" fontId="0" fillId="0" borderId="0" xfId="15" applyFont="1" applyAlignment="1">
      <alignment horizontal="right"/>
    </xf>
    <xf numFmtId="5" fontId="10" fillId="0" borderId="0" xfId="0" applyNumberFormat="1" applyFont="1"/>
    <xf numFmtId="6" fontId="8" fillId="0" borderId="0" xfId="0" applyNumberFormat="1" applyFont="1"/>
    <xf numFmtId="5" fontId="0" fillId="0" borderId="0" xfId="0" applyNumberFormat="1" applyFont="1"/>
    <xf numFmtId="5" fontId="8" fillId="0" borderId="0" xfId="0" applyNumberFormat="1" applyFont="1"/>
    <xf numFmtId="9" fontId="13" fillId="0" borderId="0" xfId="15" applyNumberFormat="1" applyFont="1"/>
    <xf numFmtId="5" fontId="14" fillId="0" borderId="0" xfId="16" applyNumberFormat="1" applyFont="1"/>
    <xf numFmtId="0" fontId="2" fillId="0" borderId="1" xfId="0" applyFont="1" applyBorder="1"/>
    <xf numFmtId="0" fontId="2" fillId="0" borderId="2" xfId="0" applyFont="1" applyBorder="1"/>
    <xf numFmtId="6" fontId="2" fillId="0" borderId="2" xfId="0" applyNumberFormat="1" applyFont="1" applyBorder="1"/>
    <xf numFmtId="6" fontId="2" fillId="0" borderId="3" xfId="0" applyNumberFormat="1" applyFont="1" applyBorder="1"/>
    <xf numFmtId="0" fontId="6" fillId="0" borderId="4" xfId="0" applyFont="1" applyBorder="1"/>
    <xf numFmtId="0" fontId="6" fillId="0" borderId="5" xfId="0" applyFont="1" applyBorder="1"/>
    <xf numFmtId="9" fontId="6" fillId="0" borderId="5" xfId="15" applyFont="1" applyBorder="1"/>
    <xf numFmtId="9" fontId="2" fillId="0" borderId="6" xfId="15" applyFont="1" applyBorder="1"/>
    <xf numFmtId="6" fontId="2" fillId="0" borderId="0" xfId="0" applyNumberFormat="1" applyFont="1" applyBorder="1"/>
    <xf numFmtId="0" fontId="2" fillId="0" borderId="7" xfId="0" applyFont="1" applyBorder="1"/>
    <xf numFmtId="6" fontId="2" fillId="0" borderId="8" xfId="0" applyNumberFormat="1" applyFont="1" applyBorder="1"/>
    <xf numFmtId="165" fontId="2" fillId="0" borderId="0" xfId="18" applyNumberFormat="1" applyFont="1" applyBorder="1"/>
    <xf numFmtId="9" fontId="3" fillId="0" borderId="0" xfId="15" applyFont="1" applyAlignment="1">
      <alignment horizontal="right"/>
    </xf>
    <xf numFmtId="9" fontId="14" fillId="0" borderId="0" xfId="15" applyFont="1" applyAlignment="1">
      <alignment horizontal="right"/>
    </xf>
    <xf numFmtId="1" fontId="9" fillId="0" borderId="0" xfId="0" applyNumberFormat="1" applyFont="1"/>
    <xf numFmtId="1" fontId="3" fillId="0" borderId="0" xfId="0" applyNumberFormat="1" applyFont="1"/>
    <xf numFmtId="1" fontId="14" fillId="0" borderId="0" xfId="0" applyNumberFormat="1" applyFont="1" applyAlignment="1">
      <alignment horizontal="right"/>
    </xf>
    <xf numFmtId="1" fontId="2" fillId="0" borderId="0" xfId="0" applyNumberFormat="1" applyFont="1" applyAlignment="1">
      <alignment horizontal="right"/>
    </xf>
    <xf numFmtId="0" fontId="8"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tabSelected="1" workbookViewId="0" topLeftCell="A15">
      <selection activeCell="C19" sqref="C19"/>
    </sheetView>
  </sheetViews>
  <sheetFormatPr defaultColWidth="9.140625" defaultRowHeight="15"/>
  <cols>
    <col min="1" max="1" width="29.421875" style="0" customWidth="1"/>
    <col min="2" max="2" width="39.140625" style="0" bestFit="1" customWidth="1"/>
    <col min="3" max="3" width="12.57421875" style="0" bestFit="1" customWidth="1"/>
    <col min="4" max="4" width="16.00390625" style="0" bestFit="1" customWidth="1"/>
    <col min="5" max="5" width="41.7109375" style="0" bestFit="1" customWidth="1"/>
  </cols>
  <sheetData>
    <row r="1" spans="1:2" ht="15">
      <c r="A1" s="1" t="s">
        <v>53</v>
      </c>
      <c r="B1" s="1"/>
    </row>
    <row r="2" spans="1:2" ht="15">
      <c r="A2" s="1" t="s">
        <v>153</v>
      </c>
      <c r="B2" s="1"/>
    </row>
    <row r="3" spans="1:2" ht="15">
      <c r="A3" s="28" t="s">
        <v>59</v>
      </c>
      <c r="B3" s="28"/>
    </row>
    <row r="4" s="4" customFormat="1" ht="15"/>
    <row r="5" spans="1:2" s="44" customFormat="1" ht="15">
      <c r="A5" s="44" t="s">
        <v>73</v>
      </c>
      <c r="B5" s="44" t="s">
        <v>76</v>
      </c>
    </row>
    <row r="6" spans="1:2" s="4" customFormat="1" ht="15">
      <c r="A6" s="4" t="s">
        <v>77</v>
      </c>
      <c r="B6" s="42">
        <f>'Design Review'!C6</f>
        <v>5000</v>
      </c>
    </row>
    <row r="7" spans="1:2" s="4" customFormat="1" ht="15">
      <c r="A7" s="4" t="s">
        <v>124</v>
      </c>
      <c r="B7" s="42">
        <f>'Amendment 2 (min 220 nsf)'!B4</f>
        <v>5528.3</v>
      </c>
    </row>
    <row r="8" spans="1:2" s="4" customFormat="1" ht="15">
      <c r="A8" s="4" t="s">
        <v>26</v>
      </c>
      <c r="B8" s="4">
        <f>'Amendment 2 (min 220 nsf)'!B5</f>
        <v>35</v>
      </c>
    </row>
    <row r="9" spans="1:2" s="4" customFormat="1" ht="15">
      <c r="A9" s="4" t="s">
        <v>75</v>
      </c>
      <c r="B9" s="43">
        <f>'Amendment 2 (min 220 nsf)'!B17</f>
        <v>800</v>
      </c>
    </row>
    <row r="10" s="4" customFormat="1" ht="15"/>
    <row r="11" spans="1:5" s="18" customFormat="1" ht="15">
      <c r="A11" s="18" t="s">
        <v>28</v>
      </c>
      <c r="B11" s="18" t="s">
        <v>60</v>
      </c>
      <c r="C11" s="18" t="s">
        <v>57</v>
      </c>
      <c r="D11" s="18" t="s">
        <v>58</v>
      </c>
      <c r="E11" s="18" t="s">
        <v>32</v>
      </c>
    </row>
    <row r="12" spans="1:4" ht="15">
      <c r="A12" t="s">
        <v>70</v>
      </c>
      <c r="B12" t="s">
        <v>72</v>
      </c>
      <c r="C12" s="5">
        <f>'Amendment 2 (min 220 nsf)'!B19</f>
        <v>320</v>
      </c>
      <c r="D12" s="5">
        <f>C12</f>
        <v>320</v>
      </c>
    </row>
    <row r="13" spans="1:4" ht="15">
      <c r="A13" t="s">
        <v>54</v>
      </c>
      <c r="B13" t="s">
        <v>61</v>
      </c>
      <c r="C13" s="5">
        <f>'Design Review'!D21</f>
        <v>107.61904761904763</v>
      </c>
      <c r="D13" s="5">
        <f>C13</f>
        <v>107.61904761904763</v>
      </c>
    </row>
    <row r="14" spans="1:5" ht="15">
      <c r="A14" t="s">
        <v>63</v>
      </c>
      <c r="B14" t="s">
        <v>66</v>
      </c>
      <c r="C14" s="51">
        <f>'Bicycle Parking'!C14</f>
        <v>18</v>
      </c>
      <c r="D14" s="51">
        <f>C14</f>
        <v>18</v>
      </c>
      <c r="E14" t="s">
        <v>114</v>
      </c>
    </row>
    <row r="15" spans="1:5" ht="60">
      <c r="A15" s="17" t="s">
        <v>109</v>
      </c>
      <c r="B15" s="17" t="s">
        <v>108</v>
      </c>
      <c r="C15" s="61">
        <f>'Amendment 6 (add stds &amp; sink)'!C20</f>
        <v>107.52688172043011</v>
      </c>
      <c r="D15" s="61">
        <f>C15</f>
        <v>107.52688172043011</v>
      </c>
      <c r="E15" s="17" t="s">
        <v>107</v>
      </c>
    </row>
    <row r="16" spans="1:4" s="1" customFormat="1" ht="15">
      <c r="A16" s="1" t="s">
        <v>41</v>
      </c>
      <c r="C16" s="13">
        <f>SUM(C12:C15)</f>
        <v>553.1459293394778</v>
      </c>
      <c r="D16" s="13">
        <f>SUM(D12:D15)</f>
        <v>553.1459293394778</v>
      </c>
    </row>
    <row r="17" ht="15">
      <c r="D17" s="5"/>
    </row>
    <row r="18" spans="1:5" s="18" customFormat="1" ht="15">
      <c r="A18" s="18" t="s">
        <v>111</v>
      </c>
      <c r="C18" s="85" t="str">
        <f>C11</f>
        <v>Bill Alone</v>
      </c>
      <c r="D18" s="85" t="str">
        <f>D11</f>
        <v>w/ Amendments</v>
      </c>
      <c r="E18" s="18" t="str">
        <f>E11</f>
        <v>Comment</v>
      </c>
    </row>
    <row r="19" spans="1:5" ht="15">
      <c r="A19" t="s">
        <v>55</v>
      </c>
      <c r="B19" t="s">
        <v>62</v>
      </c>
      <c r="C19" s="19">
        <v>0</v>
      </c>
      <c r="D19" s="5">
        <f>C19</f>
        <v>0</v>
      </c>
      <c r="E19" t="s">
        <v>71</v>
      </c>
    </row>
    <row r="20" spans="1:5" ht="15">
      <c r="A20" t="s">
        <v>56</v>
      </c>
      <c r="B20" t="s">
        <v>67</v>
      </c>
      <c r="C20" s="19">
        <v>0</v>
      </c>
      <c r="D20" s="5">
        <f>'Bicycle Parking'!E14</f>
        <v>8</v>
      </c>
      <c r="E20" t="s">
        <v>114</v>
      </c>
    </row>
    <row r="21" spans="1:5" ht="15">
      <c r="A21" t="s">
        <v>64</v>
      </c>
      <c r="B21" t="s">
        <v>78</v>
      </c>
      <c r="C21" s="6">
        <f>'Bicycle Parking'!C27</f>
        <v>25.252525252525253</v>
      </c>
      <c r="D21" s="6">
        <f>'Bicycle Parking'!D27</f>
        <v>50.505050505050505</v>
      </c>
      <c r="E21" t="s">
        <v>119</v>
      </c>
    </row>
    <row r="22" spans="1:4" s="23" customFormat="1" ht="15">
      <c r="A22" s="23" t="s">
        <v>65</v>
      </c>
      <c r="B22" s="23" t="s">
        <v>69</v>
      </c>
      <c r="C22" s="24">
        <v>0</v>
      </c>
      <c r="D22" s="33">
        <f>'Amendment 6 (add stds &amp; sink)'!E20</f>
        <v>64.88691138301817</v>
      </c>
    </row>
    <row r="23" spans="1:4" s="18" customFormat="1" ht="15">
      <c r="A23" s="18" t="s">
        <v>43</v>
      </c>
      <c r="C23" s="62">
        <f>SUM(C19:C22)</f>
        <v>25.252525252525253</v>
      </c>
      <c r="D23" s="62">
        <f>SUM(D19:D22)</f>
        <v>123.39196188806868</v>
      </c>
    </row>
    <row r="24" spans="1:4" s="1" customFormat="1" ht="15">
      <c r="A24" s="1" t="s">
        <v>1</v>
      </c>
      <c r="C24" s="13">
        <f>C16+C23</f>
        <v>578.3984545920031</v>
      </c>
      <c r="D24" s="13">
        <f>D16+D23</f>
        <v>676.5378912275464</v>
      </c>
    </row>
    <row r="26" spans="1:4" ht="15">
      <c r="A26" t="s">
        <v>93</v>
      </c>
      <c r="C26" s="5">
        <f>$B$9</f>
        <v>800</v>
      </c>
      <c r="D26" s="5">
        <f>$B$9</f>
        <v>800</v>
      </c>
    </row>
    <row r="27" spans="1:4" s="23" customFormat="1" ht="15">
      <c r="A27" s="23" t="s">
        <v>94</v>
      </c>
      <c r="C27" s="33">
        <f>C16</f>
        <v>553.1459293394778</v>
      </c>
      <c r="D27" s="33">
        <f>D16</f>
        <v>553.1459293394778</v>
      </c>
    </row>
    <row r="28" spans="1:4" s="1" customFormat="1" ht="15">
      <c r="A28" s="1" t="s">
        <v>95</v>
      </c>
      <c r="C28" s="13">
        <f>SUM(C26:C27)</f>
        <v>1353.1459293394778</v>
      </c>
      <c r="D28" s="13">
        <f>SUM(D26:D27)</f>
        <v>1353.1459293394778</v>
      </c>
    </row>
    <row r="29" spans="1:4" s="14" customFormat="1" ht="15">
      <c r="A29" s="14" t="s">
        <v>96</v>
      </c>
      <c r="C29" s="56">
        <f>C27/C26</f>
        <v>0.6914324116743472</v>
      </c>
      <c r="D29" s="56">
        <f>D27/D26</f>
        <v>0.6914324116743472</v>
      </c>
    </row>
    <row r="31" spans="1:4" s="23" customFormat="1" ht="15">
      <c r="A31" s="23" t="s">
        <v>97</v>
      </c>
      <c r="C31" s="33">
        <f>C23</f>
        <v>25.252525252525253</v>
      </c>
      <c r="D31" s="33">
        <f>D23</f>
        <v>123.39196188806868</v>
      </c>
    </row>
    <row r="32" spans="1:4" s="4" customFormat="1" ht="15">
      <c r="A32" s="4" t="s">
        <v>95</v>
      </c>
      <c r="C32" s="43">
        <f>C28+C31</f>
        <v>1378.398454592003</v>
      </c>
      <c r="D32" s="43">
        <f>D28+D31</f>
        <v>1476.5378912275464</v>
      </c>
    </row>
    <row r="33" spans="1:5" s="4" customFormat="1" ht="30">
      <c r="A33" s="54" t="str">
        <f>A15</f>
        <v>Small Efficiency Dwelling Units (SEDU)</v>
      </c>
      <c r="B33" s="54" t="str">
        <f>B15</f>
        <v>Additional Standards (e.g., 4 sf contiguous countertop area)</v>
      </c>
      <c r="C33" s="43">
        <f>-C15</f>
        <v>-107.52688172043011</v>
      </c>
      <c r="D33" s="43">
        <f>-D15</f>
        <v>-107.52688172043011</v>
      </c>
      <c r="E33" s="54" t="s">
        <v>123</v>
      </c>
    </row>
    <row r="34" spans="1:5" s="23" customFormat="1" ht="15">
      <c r="A34" s="27" t="s">
        <v>128</v>
      </c>
      <c r="B34" s="27"/>
      <c r="C34" s="33">
        <f>'Amendment 6 (add stds &amp; sink)'!C24</f>
        <v>0</v>
      </c>
      <c r="D34" s="33">
        <f>'Amendment 6 (add stds &amp; sink)'!D24</f>
        <v>6.666666666666667</v>
      </c>
      <c r="E34" s="27" t="s">
        <v>125</v>
      </c>
    </row>
    <row r="35" spans="1:5" s="1" customFormat="1" ht="15">
      <c r="A35" s="67" t="s">
        <v>1</v>
      </c>
      <c r="B35" s="68"/>
      <c r="C35" s="69">
        <f>SUM(C32:C34)</f>
        <v>1270.8715728715729</v>
      </c>
      <c r="D35" s="69">
        <f>SUM(D32:D34)</f>
        <v>1375.677676173783</v>
      </c>
      <c r="E35" s="70">
        <f>D35-C35</f>
        <v>104.8061033022102</v>
      </c>
    </row>
    <row r="36" spans="1:5" s="1" customFormat="1" ht="15">
      <c r="A36" s="76" t="s">
        <v>122</v>
      </c>
      <c r="B36" s="15"/>
      <c r="C36" s="75">
        <f>C35-C26</f>
        <v>470.8715728715729</v>
      </c>
      <c r="D36" s="75">
        <f>D35-D26</f>
        <v>575.6776761737831</v>
      </c>
      <c r="E36" s="77">
        <f>D36-C36</f>
        <v>104.8061033022102</v>
      </c>
    </row>
    <row r="37" spans="1:5" s="14" customFormat="1" ht="15">
      <c r="A37" s="71" t="s">
        <v>121</v>
      </c>
      <c r="B37" s="72"/>
      <c r="C37" s="73">
        <f>C36/C26</f>
        <v>0.588589466089466</v>
      </c>
      <c r="D37" s="73">
        <f>D36/D26</f>
        <v>0.7195970952172288</v>
      </c>
      <c r="E37" s="74">
        <f>D37-C37</f>
        <v>0.13100762912776276</v>
      </c>
    </row>
    <row r="38" spans="1:4" s="28" customFormat="1" ht="15">
      <c r="A38" s="28" t="s">
        <v>120</v>
      </c>
      <c r="C38" s="65">
        <f>C31/C35</f>
        <v>0.01987024164484725</v>
      </c>
      <c r="D38" s="65">
        <f>D31/D35</f>
        <v>0.08969540178282367</v>
      </c>
    </row>
    <row r="40" spans="1:5" s="18" customFormat="1" ht="15">
      <c r="A40" s="18" t="s">
        <v>110</v>
      </c>
      <c r="C40" s="18" t="s">
        <v>147</v>
      </c>
      <c r="D40" s="18" t="s">
        <v>148</v>
      </c>
      <c r="E40" s="18" t="s">
        <v>13</v>
      </c>
    </row>
    <row r="41" spans="1:5" s="4" customFormat="1" ht="15">
      <c r="A41" s="4" t="s">
        <v>68</v>
      </c>
      <c r="B41" s="4" t="s">
        <v>143</v>
      </c>
      <c r="C41" s="63">
        <f>'Amendment 5 (Cong amenity area)'!C22</f>
        <v>107.52688172043011</v>
      </c>
      <c r="D41" s="43">
        <f>'Amendment 5 (Cong amenity area)'!E22</f>
        <v>172.41379310344828</v>
      </c>
      <c r="E41" s="43">
        <f>D41-C41</f>
        <v>64.88691138301817</v>
      </c>
    </row>
    <row r="42" spans="1:5" s="4" customFormat="1" ht="15">
      <c r="A42" s="4" t="s">
        <v>68</v>
      </c>
      <c r="B42" s="4" t="s">
        <v>144</v>
      </c>
      <c r="C42" s="63">
        <f>'Amendment 5 (Cong amenity area)'!D22</f>
        <v>113.63636363636364</v>
      </c>
      <c r="D42" s="43">
        <f>'Amendment 5 (Cong amenity area)'!F22</f>
        <v>158.73015873015873</v>
      </c>
      <c r="E42" s="43">
        <f>D42-C42</f>
        <v>45.093795093795094</v>
      </c>
    </row>
    <row r="43" spans="1:3" ht="15">
      <c r="A43" s="4" t="s">
        <v>149</v>
      </c>
      <c r="B43" s="4" t="s">
        <v>152</v>
      </c>
      <c r="C43" s="5"/>
    </row>
    <row r="44" ht="15">
      <c r="A44" t="s">
        <v>150</v>
      </c>
    </row>
    <row r="45" ht="15">
      <c r="A45" t="s">
        <v>151</v>
      </c>
    </row>
  </sheetData>
  <printOptions/>
  <pageMargins left="0.7" right="0.7" top="0.75" bottom="0.75" header="0.3" footer="0.3"/>
  <pageSetup fitToHeight="1" fitToWidth="1" horizontalDpi="600" verticalDpi="600" orientation="landscape" scale="70" r:id="rId1"/>
  <headerFooter>
    <oddFooter>&amp;L&amp;D &amp;T&amp;C&amp;P&amp;R&amp;F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workbookViewId="0" topLeftCell="A1">
      <selection activeCell="F6" sqref="F6"/>
    </sheetView>
  </sheetViews>
  <sheetFormatPr defaultColWidth="9.140625" defaultRowHeight="15"/>
  <cols>
    <col min="1" max="1" width="22.421875" style="0" bestFit="1" customWidth="1"/>
    <col min="2" max="2" width="7.28125" style="0" bestFit="1" customWidth="1"/>
    <col min="3" max="3" width="9.57421875" style="0" bestFit="1" customWidth="1"/>
    <col min="4" max="4" width="10.8515625" style="0" bestFit="1" customWidth="1"/>
    <col min="5" max="5" width="103.57421875" style="17" bestFit="1" customWidth="1"/>
  </cols>
  <sheetData>
    <row r="1" ht="15">
      <c r="A1" s="1" t="s">
        <v>21</v>
      </c>
    </row>
    <row r="2" ht="15">
      <c r="A2" t="s">
        <v>22</v>
      </c>
    </row>
    <row r="3" ht="15">
      <c r="A3" t="s">
        <v>23</v>
      </c>
    </row>
    <row r="5" ht="15">
      <c r="A5" s="18" t="s">
        <v>24</v>
      </c>
    </row>
    <row r="6" spans="1:5" ht="15">
      <c r="A6" t="s">
        <v>25</v>
      </c>
      <c r="B6" s="19">
        <v>200</v>
      </c>
      <c r="C6" s="20">
        <v>5000</v>
      </c>
      <c r="D6" s="19">
        <f>B6*C6</f>
        <v>1000000</v>
      </c>
      <c r="E6" s="17" t="s">
        <v>74</v>
      </c>
    </row>
    <row r="7" spans="1:5" ht="15">
      <c r="A7" t="s">
        <v>26</v>
      </c>
      <c r="C7" s="20">
        <v>35</v>
      </c>
      <c r="D7" s="6">
        <f>D6/C7</f>
        <v>28571.428571428572</v>
      </c>
      <c r="E7" s="17" t="s">
        <v>27</v>
      </c>
    </row>
    <row r="9" spans="1:5" s="18" customFormat="1" ht="15">
      <c r="A9" s="18" t="s">
        <v>28</v>
      </c>
      <c r="B9" s="18" t="s">
        <v>29</v>
      </c>
      <c r="C9" s="18" t="s">
        <v>30</v>
      </c>
      <c r="D9" s="18" t="s">
        <v>31</v>
      </c>
      <c r="E9" s="21" t="s">
        <v>32</v>
      </c>
    </row>
    <row r="10" spans="1:5" ht="15">
      <c r="A10" t="s">
        <v>33</v>
      </c>
      <c r="D10" s="19">
        <v>50000</v>
      </c>
      <c r="E10" s="17" t="s">
        <v>34</v>
      </c>
    </row>
    <row r="11" spans="1:5" ht="15">
      <c r="A11" t="s">
        <v>35</v>
      </c>
      <c r="B11" s="19">
        <v>250</v>
      </c>
      <c r="C11" s="22">
        <v>80</v>
      </c>
      <c r="D11" s="5">
        <f>B11*C11</f>
        <v>20000</v>
      </c>
      <c r="E11" s="17" t="s">
        <v>36</v>
      </c>
    </row>
    <row r="12" spans="1:5" ht="15">
      <c r="A12" t="s">
        <v>37</v>
      </c>
      <c r="D12" s="19">
        <v>20000</v>
      </c>
      <c r="E12" s="17" t="s">
        <v>38</v>
      </c>
    </row>
    <row r="13" spans="1:5" s="23" customFormat="1" ht="15">
      <c r="A13" s="23" t="s">
        <v>39</v>
      </c>
      <c r="B13" s="24">
        <v>5000</v>
      </c>
      <c r="C13" s="25">
        <v>6</v>
      </c>
      <c r="D13" s="26">
        <f>B13*C13</f>
        <v>30000</v>
      </c>
      <c r="E13" s="27" t="s">
        <v>40</v>
      </c>
    </row>
    <row r="14" spans="1:5" s="28" customFormat="1" ht="15">
      <c r="A14" s="28" t="s">
        <v>41</v>
      </c>
      <c r="D14" s="29">
        <f>SUM(D10:D13)</f>
        <v>120000</v>
      </c>
      <c r="E14" s="30"/>
    </row>
    <row r="15" spans="1:5" s="23" customFormat="1" ht="15">
      <c r="A15" s="23" t="s">
        <v>42</v>
      </c>
      <c r="B15" s="31">
        <v>0.2</v>
      </c>
      <c r="C15" s="32">
        <f>C13</f>
        <v>6</v>
      </c>
      <c r="D15" s="33">
        <f>D14*B15/12*C15/2</f>
        <v>6000</v>
      </c>
      <c r="E15" s="27"/>
    </row>
    <row r="16" spans="1:5" s="28" customFormat="1" ht="15">
      <c r="A16" s="28" t="s">
        <v>43</v>
      </c>
      <c r="B16" s="34"/>
      <c r="C16" s="34"/>
      <c r="D16" s="29">
        <f>SUM(D14:D15)</f>
        <v>126000</v>
      </c>
      <c r="E16" s="30"/>
    </row>
    <row r="17" spans="1:5" s="23" customFormat="1" ht="15">
      <c r="A17" s="23" t="s">
        <v>44</v>
      </c>
      <c r="B17" s="35">
        <f>B15</f>
        <v>0.2</v>
      </c>
      <c r="C17" s="36">
        <f>C13</f>
        <v>6</v>
      </c>
      <c r="D17" s="26">
        <f>D6*B17/12*C17</f>
        <v>100000</v>
      </c>
      <c r="E17" s="27" t="s">
        <v>45</v>
      </c>
    </row>
    <row r="18" spans="1:5" s="1" customFormat="1" ht="15">
      <c r="A18" s="1" t="s">
        <v>1</v>
      </c>
      <c r="D18" s="13">
        <f>SUM(D16:D17)</f>
        <v>226000</v>
      </c>
      <c r="E18" s="37"/>
    </row>
    <row r="19" spans="1:4" ht="15">
      <c r="A19" s="23" t="s">
        <v>46</v>
      </c>
      <c r="D19" s="5">
        <f>D18/C7</f>
        <v>6457.142857142857</v>
      </c>
    </row>
    <row r="20" spans="1:4" ht="15">
      <c r="A20" t="s">
        <v>47</v>
      </c>
      <c r="B20" s="38">
        <f>B15</f>
        <v>0.2</v>
      </c>
      <c r="D20" s="39">
        <f>D19*B20</f>
        <v>1291.4285714285716</v>
      </c>
    </row>
    <row r="21" spans="1:5" s="1" customFormat="1" ht="15">
      <c r="A21" s="1" t="s">
        <v>48</v>
      </c>
      <c r="D21" s="41">
        <f>D20/12</f>
        <v>107.61904761904763</v>
      </c>
      <c r="E21" s="37" t="s">
        <v>49</v>
      </c>
    </row>
    <row r="23" ht="15">
      <c r="A23" s="18" t="s">
        <v>50</v>
      </c>
    </row>
    <row r="24" spans="1:5" ht="45">
      <c r="A24" s="40">
        <v>1</v>
      </c>
      <c r="E24" s="17" t="s">
        <v>51</v>
      </c>
    </row>
    <row r="25" spans="1:5" ht="15">
      <c r="A25" s="40">
        <v>2</v>
      </c>
      <c r="E25" s="17" t="s">
        <v>52</v>
      </c>
    </row>
  </sheetData>
  <printOptions/>
  <pageMargins left="0.5" right="0.5" top="0.75" bottom="0.75" header="0.3" footer="0.3"/>
  <pageSetup fitToHeight="1" fitToWidth="1" horizontalDpi="600" verticalDpi="600" orientation="landscape" scale="82" r:id="rId1"/>
  <headerFooter>
    <oddFooter>&amp;L&amp;D &amp;T&amp;C&amp;P&amp;R&amp;F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topLeftCell="A1">
      <selection activeCell="C7" sqref="C7"/>
    </sheetView>
  </sheetViews>
  <sheetFormatPr defaultColWidth="9.140625" defaultRowHeight="15"/>
  <cols>
    <col min="1" max="1" width="34.28125" style="0" customWidth="1"/>
    <col min="2" max="2" width="16.421875" style="0" bestFit="1" customWidth="1"/>
    <col min="3" max="3" width="9.57421875" style="0" bestFit="1" customWidth="1"/>
    <col min="4" max="4" width="19.421875" style="0" bestFit="1" customWidth="1"/>
    <col min="5" max="5" width="10.421875" style="0" bestFit="1" customWidth="1"/>
    <col min="6" max="6" width="35.421875" style="0" customWidth="1"/>
  </cols>
  <sheetData>
    <row r="1" ht="15">
      <c r="A1" s="1" t="s">
        <v>53</v>
      </c>
    </row>
    <row r="2" s="1" customFormat="1" ht="15">
      <c r="A2" s="1" t="s">
        <v>63</v>
      </c>
    </row>
    <row r="3" s="1" customFormat="1" ht="15"/>
    <row r="4" spans="1:2" ht="15">
      <c r="A4" t="s">
        <v>26</v>
      </c>
      <c r="B4" s="9">
        <f>'Design Review'!C7</f>
        <v>35</v>
      </c>
    </row>
    <row r="5" spans="1:2" ht="15">
      <c r="A5" t="s">
        <v>84</v>
      </c>
      <c r="B5" s="9">
        <f>'Amendment 2 (min 220 nsf)'!B7</f>
        <v>158</v>
      </c>
    </row>
    <row r="6" spans="1:2" s="4" customFormat="1" ht="15">
      <c r="A6" s="4" t="s">
        <v>85</v>
      </c>
      <c r="B6" s="49">
        <v>125000</v>
      </c>
    </row>
    <row r="7" spans="1:2" s="4" customFormat="1" ht="15">
      <c r="A7" s="4" t="s">
        <v>116</v>
      </c>
      <c r="B7" s="49">
        <v>150</v>
      </c>
    </row>
    <row r="9" spans="1:6" ht="15">
      <c r="A9" s="18" t="s">
        <v>28</v>
      </c>
      <c r="B9" s="18" t="s">
        <v>79</v>
      </c>
      <c r="C9" s="18" t="s">
        <v>57</v>
      </c>
      <c r="D9" s="18" t="s">
        <v>80</v>
      </c>
      <c r="E9" s="18" t="s">
        <v>4</v>
      </c>
      <c r="F9" s="18" t="s">
        <v>32</v>
      </c>
    </row>
    <row r="10" spans="1:6" ht="60">
      <c r="A10" t="s">
        <v>81</v>
      </c>
      <c r="B10" s="46">
        <v>0</v>
      </c>
      <c r="C10" s="45">
        <v>0.5</v>
      </c>
      <c r="D10">
        <v>0.75</v>
      </c>
      <c r="F10" s="17" t="s">
        <v>129</v>
      </c>
    </row>
    <row r="11" spans="1:4" ht="15">
      <c r="A11" t="s">
        <v>82</v>
      </c>
      <c r="B11">
        <v>0</v>
      </c>
      <c r="C11" s="46">
        <f>ROUND(C10*$B$4,0)</f>
        <v>18</v>
      </c>
      <c r="D11" s="46">
        <f>ROUND(D10*$B$4,0)</f>
        <v>26</v>
      </c>
    </row>
    <row r="12" spans="1:5" ht="15">
      <c r="A12" t="s">
        <v>117</v>
      </c>
      <c r="B12" s="51">
        <f>B11*$B$7</f>
        <v>0</v>
      </c>
      <c r="C12" s="51">
        <f>C11*$B$7</f>
        <v>2700</v>
      </c>
      <c r="D12" s="51">
        <f>D11*$B$7</f>
        <v>3900</v>
      </c>
      <c r="E12" s="55">
        <f>D12-C12</f>
        <v>1200</v>
      </c>
    </row>
    <row r="13" spans="1:5" ht="15">
      <c r="A13" s="4" t="s">
        <v>90</v>
      </c>
      <c r="B13" s="51">
        <f>B12*B21</f>
        <v>0</v>
      </c>
      <c r="C13" s="51">
        <f>C12*C21</f>
        <v>216</v>
      </c>
      <c r="D13" s="51">
        <f>D12*D21</f>
        <v>312</v>
      </c>
      <c r="E13" s="55"/>
    </row>
    <row r="14" spans="1:5" s="1" customFormat="1" ht="15">
      <c r="A14" s="1" t="s">
        <v>91</v>
      </c>
      <c r="B14" s="55">
        <f>B13/12</f>
        <v>0</v>
      </c>
      <c r="C14" s="55">
        <f>C13/12</f>
        <v>18</v>
      </c>
      <c r="D14" s="55">
        <f>D13/12</f>
        <v>26</v>
      </c>
      <c r="E14" s="55">
        <f>D14-C14</f>
        <v>8</v>
      </c>
    </row>
    <row r="15" spans="2:5" ht="15">
      <c r="B15" s="51"/>
      <c r="C15" s="51"/>
      <c r="D15" s="51"/>
      <c r="E15" s="55"/>
    </row>
    <row r="16" spans="1:5" s="18" customFormat="1" ht="15">
      <c r="A16" s="18" t="s">
        <v>118</v>
      </c>
      <c r="B16" s="64"/>
      <c r="C16" s="64"/>
      <c r="D16" s="64"/>
      <c r="E16" s="64"/>
    </row>
    <row r="17" spans="1:4" s="4" customFormat="1" ht="15">
      <c r="A17" s="4" t="s">
        <v>83</v>
      </c>
      <c r="B17" s="4">
        <v>0</v>
      </c>
      <c r="C17" s="4">
        <v>182</v>
      </c>
      <c r="D17" s="4">
        <v>251</v>
      </c>
    </row>
    <row r="18" spans="1:4" s="4" customFormat="1" ht="15">
      <c r="A18" s="4" t="s">
        <v>86</v>
      </c>
      <c r="B18" s="4">
        <v>0</v>
      </c>
      <c r="C18" s="50">
        <v>2</v>
      </c>
      <c r="D18" s="50">
        <v>2</v>
      </c>
    </row>
    <row r="19" spans="1:4" s="4" customFormat="1" ht="15">
      <c r="A19" s="4" t="s">
        <v>89</v>
      </c>
      <c r="B19" s="47">
        <f>$B$4-B18</f>
        <v>35</v>
      </c>
      <c r="C19" s="47">
        <f>$B$4-C18</f>
        <v>33</v>
      </c>
      <c r="D19" s="47">
        <f>$B$4-D18</f>
        <v>33</v>
      </c>
    </row>
    <row r="20" spans="1:4" ht="15">
      <c r="A20" s="4" t="s">
        <v>87</v>
      </c>
      <c r="B20" s="51">
        <f>B18*$B$6</f>
        <v>0</v>
      </c>
      <c r="C20" s="51">
        <f>C18*$B$6</f>
        <v>250000</v>
      </c>
      <c r="D20" s="51">
        <f>D18*$B$6</f>
        <v>250000</v>
      </c>
    </row>
    <row r="21" spans="1:4" ht="15">
      <c r="A21" s="4" t="s">
        <v>88</v>
      </c>
      <c r="B21" s="53">
        <v>0.08</v>
      </c>
      <c r="C21" s="52">
        <f>B21</f>
        <v>0.08</v>
      </c>
      <c r="D21" s="52">
        <f>C21</f>
        <v>0.08</v>
      </c>
    </row>
    <row r="22" spans="1:4" ht="15">
      <c r="A22" s="4" t="s">
        <v>90</v>
      </c>
      <c r="B22" s="51">
        <f>B21*B20</f>
        <v>0</v>
      </c>
      <c r="C22" s="51">
        <f>C21*C20</f>
        <v>20000</v>
      </c>
      <c r="D22" s="51">
        <f>D21*D20</f>
        <v>20000</v>
      </c>
    </row>
    <row r="23" spans="1:4" ht="15">
      <c r="A23" s="4" t="s">
        <v>91</v>
      </c>
      <c r="B23" s="51">
        <f>B22/12</f>
        <v>0</v>
      </c>
      <c r="C23" s="51">
        <f>C22/12</f>
        <v>1666.6666666666667</v>
      </c>
      <c r="D23" s="51">
        <f>D22/12</f>
        <v>1666.6666666666667</v>
      </c>
    </row>
    <row r="24" spans="1:4" s="4" customFormat="1" ht="30">
      <c r="A24" s="54" t="s">
        <v>92</v>
      </c>
      <c r="B24" s="63">
        <f>B23/B19</f>
        <v>0</v>
      </c>
      <c r="C24" s="63">
        <f>C23/C19</f>
        <v>50.505050505050505</v>
      </c>
      <c r="D24" s="63">
        <f>D23/D19</f>
        <v>50.505050505050505</v>
      </c>
    </row>
    <row r="26" spans="1:4" ht="15">
      <c r="A26" t="s">
        <v>112</v>
      </c>
      <c r="C26" s="50">
        <v>1</v>
      </c>
      <c r="D26" s="50">
        <v>2</v>
      </c>
    </row>
    <row r="27" spans="1:5" s="1" customFormat="1" ht="15">
      <c r="A27" s="1" t="s">
        <v>113</v>
      </c>
      <c r="C27" s="55">
        <f>C24/2</f>
        <v>25.252525252525253</v>
      </c>
      <c r="D27" s="55">
        <f>D24</f>
        <v>50.505050505050505</v>
      </c>
      <c r="E27" s="55">
        <f>D27-C27</f>
        <v>25.252525252525253</v>
      </c>
    </row>
  </sheetData>
  <printOptions/>
  <pageMargins left="0.7" right="0.7" top="0.75" bottom="0.75" header="0.3" footer="0.3"/>
  <pageSetup fitToHeight="1" fitToWidth="1" horizontalDpi="600" verticalDpi="600" orientation="landscape" r:id="rId1"/>
  <headerFooter>
    <oddFooter>&amp;L&amp;D &amp;T&amp;C&amp;P&amp;R&amp;F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topLeftCell="A1">
      <selection activeCell="B6" sqref="B6"/>
    </sheetView>
  </sheetViews>
  <sheetFormatPr defaultColWidth="9.140625" defaultRowHeight="15"/>
  <cols>
    <col min="1" max="1" width="28.28125" style="0" customWidth="1"/>
    <col min="2" max="2" width="9.57421875" style="0" bestFit="1" customWidth="1"/>
    <col min="3" max="3" width="10.28125" style="0" bestFit="1" customWidth="1"/>
  </cols>
  <sheetData>
    <row r="1" ht="15">
      <c r="A1" s="1" t="s">
        <v>17</v>
      </c>
    </row>
    <row r="2" ht="15">
      <c r="A2" s="14" t="s">
        <v>15</v>
      </c>
    </row>
    <row r="3" s="16" customFormat="1" ht="15">
      <c r="A3" s="15"/>
    </row>
    <row r="4" spans="1:3" s="15" customFormat="1" ht="15">
      <c r="A4" s="15" t="s">
        <v>1</v>
      </c>
      <c r="B4" s="78">
        <v>5528.3</v>
      </c>
      <c r="C4" s="15" t="s">
        <v>0</v>
      </c>
    </row>
    <row r="5" spans="1:2" ht="15">
      <c r="A5" t="s">
        <v>3</v>
      </c>
      <c r="B5" s="8">
        <v>35</v>
      </c>
    </row>
    <row r="6" spans="1:2" s="1" customFormat="1" ht="15">
      <c r="A6" s="1" t="s">
        <v>2</v>
      </c>
      <c r="B6" s="2">
        <f>B4/B5</f>
        <v>157.95142857142858</v>
      </c>
    </row>
    <row r="7" spans="1:2" s="1" customFormat="1" ht="15">
      <c r="A7" s="1" t="s">
        <v>5</v>
      </c>
      <c r="B7" s="2">
        <f>ROUNDUP(B6,0)</f>
        <v>158</v>
      </c>
    </row>
    <row r="9" spans="1:3" s="1" customFormat="1" ht="15">
      <c r="A9" s="1" t="s">
        <v>7</v>
      </c>
      <c r="B9" s="11">
        <v>220</v>
      </c>
      <c r="C9" s="1" t="s">
        <v>6</v>
      </c>
    </row>
    <row r="10" spans="1:3" ht="15">
      <c r="A10" t="s">
        <v>4</v>
      </c>
      <c r="B10" s="3">
        <f>B9-B6</f>
        <v>62.04857142857142</v>
      </c>
      <c r="C10" t="s">
        <v>6</v>
      </c>
    </row>
    <row r="11" spans="1:2" s="1" customFormat="1" ht="15">
      <c r="A11" s="1" t="s">
        <v>12</v>
      </c>
      <c r="B11" s="10">
        <f>B10/B6</f>
        <v>0.3928332398748258</v>
      </c>
    </row>
    <row r="13" spans="1:2" ht="15">
      <c r="A13" s="4" t="s">
        <v>19</v>
      </c>
      <c r="B13" s="9">
        <f>ROUNDDOWN(B4/B9,0)</f>
        <v>25</v>
      </c>
    </row>
    <row r="14" spans="1:2" s="1" customFormat="1" ht="15">
      <c r="A14" s="1" t="s">
        <v>8</v>
      </c>
      <c r="B14" s="12">
        <f>B5-B13</f>
        <v>10</v>
      </c>
    </row>
    <row r="15" spans="1:2" s="1" customFormat="1" ht="15">
      <c r="A15" s="1" t="s">
        <v>9</v>
      </c>
      <c r="B15" s="10">
        <f>B14/B5</f>
        <v>0.2857142857142857</v>
      </c>
    </row>
    <row r="17" spans="1:5" ht="15">
      <c r="A17" t="s">
        <v>14</v>
      </c>
      <c r="B17" s="7">
        <v>800</v>
      </c>
      <c r="C17" t="s">
        <v>11</v>
      </c>
      <c r="E17" s="5"/>
    </row>
    <row r="18" spans="1:3" ht="15">
      <c r="A18" t="s">
        <v>10</v>
      </c>
      <c r="B18" s="6">
        <f>B17*B5/B13</f>
        <v>1120</v>
      </c>
      <c r="C18" t="s">
        <v>11</v>
      </c>
    </row>
    <row r="19" spans="1:3" s="1" customFormat="1" ht="15">
      <c r="A19" s="1" t="s">
        <v>13</v>
      </c>
      <c r="B19" s="13">
        <f>B18-B17</f>
        <v>320</v>
      </c>
      <c r="C19" s="1" t="s">
        <v>11</v>
      </c>
    </row>
    <row r="21" ht="15">
      <c r="A21" t="s">
        <v>16</v>
      </c>
    </row>
    <row r="22" ht="15">
      <c r="A22" t="s">
        <v>20</v>
      </c>
    </row>
    <row r="23" ht="15">
      <c r="A23" t="s">
        <v>18</v>
      </c>
    </row>
  </sheetData>
  <printOptions horizontalCentered="1"/>
  <pageMargins left="0.7" right="0.7" top="0.5" bottom="0.5" header="0.3" footer="0.3"/>
  <pageSetup fitToHeight="1" fitToWidth="1" horizontalDpi="600" verticalDpi="600" orientation="landscape" r:id="rId1"/>
  <headerFooter>
    <oddFooter>&amp;L&amp;D &amp;T&amp;C&amp;P&amp;R&amp;F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topLeftCell="A1">
      <selection activeCell="E22" sqref="E22"/>
    </sheetView>
  </sheetViews>
  <sheetFormatPr defaultColWidth="9.140625" defaultRowHeight="15"/>
  <cols>
    <col min="1" max="1" width="39.00390625" style="0" bestFit="1" customWidth="1"/>
    <col min="2" max="2" width="11.421875" style="0" bestFit="1" customWidth="1"/>
    <col min="3" max="3" width="11.57421875" style="0" bestFit="1" customWidth="1"/>
    <col min="4" max="4" width="9.57421875" style="0" bestFit="1" customWidth="1"/>
    <col min="5" max="5" width="11.57421875" style="0" bestFit="1" customWidth="1"/>
    <col min="6" max="6" width="13.140625" style="0" bestFit="1" customWidth="1"/>
    <col min="7" max="7" width="12.140625" style="0" bestFit="1" customWidth="1"/>
    <col min="8" max="8" width="41.28125" style="0" bestFit="1" customWidth="1"/>
  </cols>
  <sheetData>
    <row r="1" ht="15">
      <c r="A1" s="1" t="s">
        <v>53</v>
      </c>
    </row>
    <row r="2" s="1" customFormat="1" ht="15">
      <c r="A2" s="1" t="s">
        <v>130</v>
      </c>
    </row>
    <row r="3" s="1" customFormat="1" ht="15"/>
    <row r="4" spans="1:2" ht="15">
      <c r="A4" t="s">
        <v>26</v>
      </c>
      <c r="B4" s="9">
        <f>'Design Review'!C7</f>
        <v>35</v>
      </c>
    </row>
    <row r="5" spans="1:2" s="4" customFormat="1" ht="15">
      <c r="A5" s="4" t="s">
        <v>104</v>
      </c>
      <c r="B5" s="47">
        <f>'Amendment 2 (min 220 nsf)'!B4</f>
        <v>5528.3</v>
      </c>
    </row>
    <row r="6" spans="1:2" ht="15">
      <c r="A6" t="s">
        <v>84</v>
      </c>
      <c r="B6" s="9">
        <f>'Amendment 2 (min 220 nsf)'!B7</f>
        <v>158</v>
      </c>
    </row>
    <row r="7" spans="1:2" s="4" customFormat="1" ht="15">
      <c r="A7" s="4" t="s">
        <v>85</v>
      </c>
      <c r="B7" s="48">
        <f>'Bicycle Parking'!B6</f>
        <v>125000</v>
      </c>
    </row>
    <row r="9" spans="1:8" ht="45">
      <c r="A9" s="18" t="s">
        <v>28</v>
      </c>
      <c r="B9" s="21" t="s">
        <v>99</v>
      </c>
      <c r="C9" s="21" t="s">
        <v>141</v>
      </c>
      <c r="D9" s="21" t="s">
        <v>145</v>
      </c>
      <c r="E9" s="21" t="s">
        <v>142</v>
      </c>
      <c r="F9" s="21" t="s">
        <v>146</v>
      </c>
      <c r="G9" s="21" t="s">
        <v>140</v>
      </c>
      <c r="H9" s="21" t="s">
        <v>138</v>
      </c>
    </row>
    <row r="10" spans="1:7" ht="15">
      <c r="A10" t="s">
        <v>98</v>
      </c>
      <c r="B10" s="46">
        <f>B6</f>
        <v>158</v>
      </c>
      <c r="C10" s="82">
        <f>B10</f>
        <v>158</v>
      </c>
      <c r="D10" s="81">
        <v>220</v>
      </c>
      <c r="E10" s="82">
        <f>C10</f>
        <v>158</v>
      </c>
      <c r="F10" s="82">
        <f>D10</f>
        <v>220</v>
      </c>
      <c r="G10" s="46">
        <f>F10-D10</f>
        <v>0</v>
      </c>
    </row>
    <row r="11" spans="1:7" ht="15">
      <c r="A11" t="s">
        <v>132</v>
      </c>
      <c r="B11" s="80">
        <v>0</v>
      </c>
      <c r="C11" s="80">
        <v>0.1</v>
      </c>
      <c r="D11" s="80">
        <v>0.1</v>
      </c>
      <c r="E11" s="80">
        <v>0.15</v>
      </c>
      <c r="F11" s="80">
        <v>0.15</v>
      </c>
      <c r="G11" s="79">
        <f>F11-D11</f>
        <v>0.04999999999999999</v>
      </c>
    </row>
    <row r="12" spans="1:7" ht="15">
      <c r="A12" t="s">
        <v>131</v>
      </c>
      <c r="B12" s="58">
        <f>$B$5*B11</f>
        <v>0</v>
      </c>
      <c r="C12" s="58">
        <f>$B$5*C11</f>
        <v>552.83</v>
      </c>
      <c r="D12" s="58">
        <f>$B$5*D11</f>
        <v>552.83</v>
      </c>
      <c r="E12" s="58">
        <f>$B$5*E11</f>
        <v>829.245</v>
      </c>
      <c r="F12" s="58">
        <f>$B$5*F11</f>
        <v>829.245</v>
      </c>
      <c r="G12" s="46">
        <f>F12-D12</f>
        <v>276.41499999999996</v>
      </c>
    </row>
    <row r="13" spans="1:7" ht="15">
      <c r="A13" t="s">
        <v>26</v>
      </c>
      <c r="B13" s="58">
        <f>ROUND($B$5/B10,0)</f>
        <v>35</v>
      </c>
      <c r="C13" s="58">
        <f>ROUND($B$5/C10,0)</f>
        <v>35</v>
      </c>
      <c r="D13" s="58">
        <f>ROUND($B$5/D10,0)</f>
        <v>25</v>
      </c>
      <c r="E13" s="58">
        <f>ROUND($B$5/E10,0)</f>
        <v>35</v>
      </c>
      <c r="F13" s="58">
        <f>ROUND($B$5/F10,0)</f>
        <v>25</v>
      </c>
      <c r="G13" s="46">
        <f>F13-D13</f>
        <v>0</v>
      </c>
    </row>
    <row r="14" spans="1:7" ht="15">
      <c r="A14" t="s">
        <v>133</v>
      </c>
      <c r="B14" s="58">
        <f>$B$4-B13</f>
        <v>0</v>
      </c>
      <c r="C14" s="58">
        <f>$B$4-C13</f>
        <v>0</v>
      </c>
      <c r="D14" s="58">
        <f>$B$4-D13</f>
        <v>10</v>
      </c>
      <c r="E14" s="58">
        <f>$B$4-E13</f>
        <v>0</v>
      </c>
      <c r="F14" s="58">
        <f>$B$4-F13</f>
        <v>10</v>
      </c>
      <c r="G14" s="46">
        <f>F14-D14</f>
        <v>0</v>
      </c>
    </row>
    <row r="15" spans="1:7" ht="15">
      <c r="A15" t="s">
        <v>134</v>
      </c>
      <c r="B15" s="83">
        <v>0</v>
      </c>
      <c r="C15" s="84">
        <f>ROUNDUP(C12/C10,0)</f>
        <v>4</v>
      </c>
      <c r="D15" s="84">
        <f>ROUNDUP(D12/D10,0)</f>
        <v>3</v>
      </c>
      <c r="E15" s="84">
        <f>ROUNDUP(E12/E10,0)</f>
        <v>6</v>
      </c>
      <c r="F15" s="84">
        <f>ROUNDUP(F12/F10,0)</f>
        <v>4</v>
      </c>
      <c r="G15" s="46">
        <f>F15-D15</f>
        <v>1</v>
      </c>
    </row>
    <row r="16" spans="1:7" ht="15">
      <c r="A16" t="s">
        <v>135</v>
      </c>
      <c r="B16" s="60">
        <f>B15/$B$4</f>
        <v>0</v>
      </c>
      <c r="C16" s="60">
        <f>C15/$B$4</f>
        <v>0.11428571428571428</v>
      </c>
      <c r="D16" s="60">
        <f>D15/$B$4</f>
        <v>0.08571428571428572</v>
      </c>
      <c r="E16" s="60">
        <f>E15/$B$4</f>
        <v>0.17142857142857143</v>
      </c>
      <c r="F16" s="60">
        <f>F15/$B$4</f>
        <v>0.11428571428571428</v>
      </c>
      <c r="G16" s="60">
        <f>F16-D16</f>
        <v>0.028571428571428567</v>
      </c>
    </row>
    <row r="17" spans="1:7" ht="15">
      <c r="A17" s="4" t="s">
        <v>87</v>
      </c>
      <c r="B17" s="51">
        <f>B15*$B$7</f>
        <v>0</v>
      </c>
      <c r="C17" s="51">
        <f>C15*$B$7</f>
        <v>500000</v>
      </c>
      <c r="D17" s="51">
        <f>D15*$B$7</f>
        <v>375000</v>
      </c>
      <c r="E17" s="51">
        <f>E15*$B$7</f>
        <v>750000</v>
      </c>
      <c r="F17" s="51">
        <f>F15*$B$7</f>
        <v>500000</v>
      </c>
      <c r="G17" s="55">
        <f>F17-D17</f>
        <v>125000</v>
      </c>
    </row>
    <row r="18" spans="1:6" ht="15">
      <c r="A18" s="4" t="s">
        <v>88</v>
      </c>
      <c r="B18" s="53">
        <v>0.08</v>
      </c>
      <c r="C18" s="52">
        <f>B18</f>
        <v>0.08</v>
      </c>
      <c r="D18" s="52">
        <f>C18</f>
        <v>0.08</v>
      </c>
      <c r="E18" s="52">
        <f>D18</f>
        <v>0.08</v>
      </c>
      <c r="F18" s="52">
        <f>E18</f>
        <v>0.08</v>
      </c>
    </row>
    <row r="19" spans="1:7" ht="15">
      <c r="A19" s="4" t="s">
        <v>90</v>
      </c>
      <c r="B19" s="51">
        <f>B18*B17</f>
        <v>0</v>
      </c>
      <c r="C19" s="51">
        <f>C18*C17</f>
        <v>40000</v>
      </c>
      <c r="D19" s="51">
        <f>D18*D17</f>
        <v>30000</v>
      </c>
      <c r="E19" s="51">
        <f>E18*E17</f>
        <v>60000</v>
      </c>
      <c r="F19" s="51">
        <f>F18*F17</f>
        <v>40000</v>
      </c>
      <c r="G19" s="55">
        <f>F19-D19</f>
        <v>10000</v>
      </c>
    </row>
    <row r="20" spans="1:7" ht="15">
      <c r="A20" s="4" t="s">
        <v>91</v>
      </c>
      <c r="B20" s="51">
        <f>B19/12</f>
        <v>0</v>
      </c>
      <c r="C20" s="51">
        <f>C19/12</f>
        <v>3333.3333333333335</v>
      </c>
      <c r="D20" s="51">
        <f>D19/12</f>
        <v>2500</v>
      </c>
      <c r="E20" s="51">
        <f>E19/12</f>
        <v>5000</v>
      </c>
      <c r="F20" s="51">
        <f>F19/12</f>
        <v>3333.3333333333335</v>
      </c>
      <c r="G20" s="55">
        <f>F20-D20</f>
        <v>833.3333333333335</v>
      </c>
    </row>
    <row r="21" spans="1:8" ht="15">
      <c r="A21" s="4" t="s">
        <v>137</v>
      </c>
      <c r="B21" s="58">
        <f>B13-B15</f>
        <v>35</v>
      </c>
      <c r="C21" s="58">
        <f>C13-C15</f>
        <v>31</v>
      </c>
      <c r="D21" s="58">
        <f>D13-D15</f>
        <v>22</v>
      </c>
      <c r="E21" s="58">
        <f>E13-E15</f>
        <v>29</v>
      </c>
      <c r="F21" s="58">
        <f>F13-F15</f>
        <v>21</v>
      </c>
      <c r="G21" s="46">
        <f>F21-D21</f>
        <v>-1</v>
      </c>
      <c r="H21" t="s">
        <v>139</v>
      </c>
    </row>
    <row r="22" spans="1:7" s="1" customFormat="1" ht="45">
      <c r="A22" s="37" t="s">
        <v>136</v>
      </c>
      <c r="B22" s="55">
        <f>B20/B21</f>
        <v>0</v>
      </c>
      <c r="C22" s="55">
        <f>C20/C21</f>
        <v>107.52688172043011</v>
      </c>
      <c r="D22" s="55">
        <f>D20/D21</f>
        <v>113.63636363636364</v>
      </c>
      <c r="E22" s="55">
        <f>E20/E21</f>
        <v>172.41379310344828</v>
      </c>
      <c r="F22" s="55">
        <f>F20/F21</f>
        <v>158.73015873015873</v>
      </c>
      <c r="G22" s="55">
        <f>G20/G21</f>
        <v>-833.3333333333335</v>
      </c>
    </row>
  </sheetData>
  <printOptions/>
  <pageMargins left="0.7" right="0.7" top="0.75" bottom="0.75" header="0.3" footer="0.3"/>
  <pageSetup fitToHeight="1" fitToWidth="1" horizontalDpi="600" verticalDpi="600" orientation="landscape" r:id="rId1"/>
  <headerFooter>
    <oddFooter>&amp;L&amp;D &amp;T&amp;C&amp;P&amp;R&amp;F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workbookViewId="0" topLeftCell="A1">
      <selection activeCell="A9" sqref="A9"/>
    </sheetView>
  </sheetViews>
  <sheetFormatPr defaultColWidth="9.140625" defaultRowHeight="15"/>
  <cols>
    <col min="1" max="1" width="31.7109375" style="0" customWidth="1"/>
    <col min="2" max="2" width="19.8515625" style="0" bestFit="1" customWidth="1"/>
    <col min="3" max="3" width="9.57421875" style="0" bestFit="1" customWidth="1"/>
    <col min="4" max="4" width="19.421875" style="0" bestFit="1" customWidth="1"/>
    <col min="5" max="5" width="20.28125" style="0" bestFit="1" customWidth="1"/>
  </cols>
  <sheetData>
    <row r="1" ht="15">
      <c r="A1" s="1" t="s">
        <v>53</v>
      </c>
    </row>
    <row r="2" s="1" customFormat="1" ht="15">
      <c r="A2" s="1" t="s">
        <v>115</v>
      </c>
    </row>
    <row r="3" s="1" customFormat="1" ht="15"/>
    <row r="4" spans="1:2" ht="15">
      <c r="A4" t="s">
        <v>26</v>
      </c>
      <c r="B4" s="9">
        <f>'Design Review'!C7</f>
        <v>35</v>
      </c>
    </row>
    <row r="5" spans="1:2" ht="15">
      <c r="A5" s="4" t="s">
        <v>104</v>
      </c>
      <c r="B5" s="9">
        <f>'Amendment 2 (min 220 nsf)'!B4</f>
        <v>5528.3</v>
      </c>
    </row>
    <row r="6" spans="1:2" ht="15">
      <c r="A6" t="s">
        <v>84</v>
      </c>
      <c r="B6" s="9">
        <f>'Amendment 2 (min 220 nsf)'!B7</f>
        <v>158</v>
      </c>
    </row>
    <row r="7" spans="1:2" s="4" customFormat="1" ht="15">
      <c r="A7" s="4" t="s">
        <v>85</v>
      </c>
      <c r="B7" s="48">
        <f>'Bicycle Parking'!B6</f>
        <v>125000</v>
      </c>
    </row>
    <row r="8" spans="1:2" s="4" customFormat="1" ht="15">
      <c r="A8" s="4" t="s">
        <v>127</v>
      </c>
      <c r="B8" s="66">
        <v>1000</v>
      </c>
    </row>
    <row r="10" spans="1:5" ht="15">
      <c r="A10" s="18" t="s">
        <v>28</v>
      </c>
      <c r="B10" s="18" t="s">
        <v>99</v>
      </c>
      <c r="C10" s="18" t="s">
        <v>57</v>
      </c>
      <c r="D10" s="18" t="s">
        <v>80</v>
      </c>
      <c r="E10" s="18" t="s">
        <v>106</v>
      </c>
    </row>
    <row r="11" spans="1:5" ht="15">
      <c r="A11" t="s">
        <v>98</v>
      </c>
      <c r="B11" s="46">
        <f>B6</f>
        <v>158</v>
      </c>
      <c r="C11" s="57">
        <f>ROUNDUP((19+1+0.5)*8.75,0)</f>
        <v>180</v>
      </c>
      <c r="D11" s="57">
        <f>ROUNDUP((21+0.75+(0.5/12))*8.75,0)</f>
        <v>191</v>
      </c>
      <c r="E11" s="45">
        <f>D11-C11</f>
        <v>11</v>
      </c>
    </row>
    <row r="12" spans="1:4" ht="15">
      <c r="A12" t="s">
        <v>100</v>
      </c>
      <c r="B12" s="58" t="s">
        <v>101</v>
      </c>
      <c r="C12" s="59" t="s">
        <v>102</v>
      </c>
      <c r="D12" s="59" t="s">
        <v>103</v>
      </c>
    </row>
    <row r="13" spans="1:4" ht="15">
      <c r="A13" t="s">
        <v>26</v>
      </c>
      <c r="B13" s="58">
        <f>ROUND($B$5/B11,0)</f>
        <v>35</v>
      </c>
      <c r="C13" s="58">
        <f>ROUND($B$5/C11,0)</f>
        <v>31</v>
      </c>
      <c r="D13" s="58">
        <f>ROUND($B$5/D11,0)</f>
        <v>29</v>
      </c>
    </row>
    <row r="14" spans="1:4" ht="15">
      <c r="A14" t="s">
        <v>86</v>
      </c>
      <c r="B14" s="58">
        <f>$B$4-B13</f>
        <v>0</v>
      </c>
      <c r="C14" s="58">
        <f>$B$4-C13</f>
        <v>4</v>
      </c>
      <c r="D14" s="58">
        <f>$B$4-D13</f>
        <v>6</v>
      </c>
    </row>
    <row r="15" spans="1:4" ht="15">
      <c r="A15" t="s">
        <v>105</v>
      </c>
      <c r="B15" s="60">
        <f>B14/$B$4</f>
        <v>0</v>
      </c>
      <c r="C15" s="60">
        <f>C14/$B$4</f>
        <v>0.11428571428571428</v>
      </c>
      <c r="D15" s="60">
        <f>D14/$B$4</f>
        <v>0.17142857142857143</v>
      </c>
    </row>
    <row r="16" spans="1:4" ht="15">
      <c r="A16" s="4" t="s">
        <v>87</v>
      </c>
      <c r="B16" s="51">
        <f>B14*$B$7</f>
        <v>0</v>
      </c>
      <c r="C16" s="51">
        <f>C14*$B$7</f>
        <v>500000</v>
      </c>
      <c r="D16" s="51">
        <f>D14*$B$7</f>
        <v>750000</v>
      </c>
    </row>
    <row r="17" spans="1:4" ht="15">
      <c r="A17" s="4" t="s">
        <v>88</v>
      </c>
      <c r="B17" s="53">
        <v>0.08</v>
      </c>
      <c r="C17" s="52">
        <f>B17</f>
        <v>0.08</v>
      </c>
      <c r="D17" s="52">
        <f>C17</f>
        <v>0.08</v>
      </c>
    </row>
    <row r="18" spans="1:4" ht="15">
      <c r="A18" s="4" t="s">
        <v>90</v>
      </c>
      <c r="B18" s="51">
        <f>B17*B16</f>
        <v>0</v>
      </c>
      <c r="C18" s="51">
        <f>C17*C16</f>
        <v>40000</v>
      </c>
      <c r="D18" s="51">
        <f>D17*D16</f>
        <v>60000</v>
      </c>
    </row>
    <row r="19" spans="1:4" ht="15">
      <c r="A19" s="4" t="s">
        <v>91</v>
      </c>
      <c r="B19" s="51">
        <f>B18/12</f>
        <v>0</v>
      </c>
      <c r="C19" s="51">
        <f>C18/12</f>
        <v>3333.3333333333335</v>
      </c>
      <c r="D19" s="51">
        <f>D18/12</f>
        <v>5000</v>
      </c>
    </row>
    <row r="20" spans="1:5" s="1" customFormat="1" ht="30">
      <c r="A20" s="37" t="s">
        <v>92</v>
      </c>
      <c r="B20" s="55">
        <f>B19/B13</f>
        <v>0</v>
      </c>
      <c r="C20" s="55">
        <f>C19/C13</f>
        <v>107.52688172043011</v>
      </c>
      <c r="D20" s="55">
        <f>D19/D13</f>
        <v>172.41379310344828</v>
      </c>
      <c r="E20" s="55">
        <f>D20-C20</f>
        <v>64.88691138301817</v>
      </c>
    </row>
    <row r="22" spans="1:4" ht="15">
      <c r="A22" t="s">
        <v>126</v>
      </c>
      <c r="C22" s="51">
        <v>0</v>
      </c>
      <c r="D22" s="51">
        <f>B8</f>
        <v>1000</v>
      </c>
    </row>
    <row r="23" spans="1:4" ht="15">
      <c r="A23" s="4" t="s">
        <v>90</v>
      </c>
      <c r="C23" s="51">
        <f>C22*C17</f>
        <v>0</v>
      </c>
      <c r="D23" s="51">
        <f>D22*D17</f>
        <v>80</v>
      </c>
    </row>
    <row r="24" spans="1:4" s="1" customFormat="1" ht="15">
      <c r="A24" s="1" t="s">
        <v>91</v>
      </c>
      <c r="C24" s="55">
        <f>C23/12</f>
        <v>0</v>
      </c>
      <c r="D24" s="55">
        <f>D23/12</f>
        <v>6.666666666666667</v>
      </c>
    </row>
  </sheetData>
  <printOptions/>
  <pageMargins left="0.7" right="0.7" top="0.75" bottom="0.75" header="0.3" footer="0.3"/>
  <pageSetup fitToHeight="1" fitToWidth="1" horizontalDpi="600" verticalDpi="600" orientation="landscape" r:id="rId1"/>
  <headerFooter>
    <oddFooter>&amp;L&amp;D &amp;T&amp;C&amp;P&amp;R&amp;F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 Gualy</dc:creator>
  <cp:keywords/>
  <dc:description/>
  <cp:lastModifiedBy>Scott E. Shapiro</cp:lastModifiedBy>
  <cp:lastPrinted>2014-09-22T19:29:06Z</cp:lastPrinted>
  <dcterms:created xsi:type="dcterms:W3CDTF">2014-08-12T23:49:01Z</dcterms:created>
  <dcterms:modified xsi:type="dcterms:W3CDTF">2014-09-22T19:29:46Z</dcterms:modified>
  <cp:category/>
  <cp:version/>
  <cp:contentType/>
  <cp:contentStatus/>
</cp:coreProperties>
</file>