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omments4.xml" ContentType="application/vnd.openxmlformats-officedocument.spreadsheetml.comments+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4665" yWindow="675" windowWidth="14700" windowHeight="13560" firstSheet="10" activeTab="11"/>
  </bookViews>
  <sheets>
    <sheet name="PopTypes_Dropdown" sheetId="29" state="hidden" r:id="rId1"/>
    <sheet name="Definitions" sheetId="33" r:id="rId2"/>
    <sheet name="1A" sheetId="1" r:id="rId3"/>
    <sheet name="1B" sheetId="2" r:id="rId4"/>
    <sheet name="2A" sheetId="3" r:id="rId5"/>
    <sheet name="2B" sheetId="4" r:id="rId6"/>
    <sheet name="2C" sheetId="39" r:id="rId7"/>
    <sheet name="2C (2)" sheetId="42" r:id="rId8"/>
    <sheet name="3" sheetId="6" r:id="rId9"/>
    <sheet name="4" sheetId="7" r:id="rId10"/>
    <sheet name="5" sheetId="8" r:id="rId11"/>
    <sheet name="6A" sheetId="9" r:id="rId12"/>
    <sheet name="6B (2)" sheetId="43" r:id="rId13"/>
    <sheet name="6B" sheetId="10" r:id="rId14"/>
    <sheet name="6C" sheetId="11" r:id="rId15"/>
    <sheet name="6D" sheetId="12" r:id="rId16"/>
    <sheet name="6E" sheetId="13" r:id="rId17"/>
    <sheet name="7A" sheetId="14" r:id="rId18"/>
    <sheet name="7B" sheetId="15" r:id="rId19"/>
    <sheet name="8A" sheetId="16" r:id="rId20"/>
    <sheet name="8B" sheetId="17" r:id="rId21"/>
    <sheet name="8C" sheetId="18" r:id="rId22"/>
    <sheet name="8D" sheetId="19" r:id="rId23"/>
    <sheet name="8E" sheetId="20" r:id="rId24"/>
    <sheet name="8E(2)" sheetId="34" r:id="rId25"/>
    <sheet name="8F" sheetId="21" r:id="rId26"/>
    <sheet name="9A" sheetId="22" r:id="rId27"/>
    <sheet name="9B" sheetId="23" r:id="rId28"/>
    <sheet name="9C" sheetId="24" r:id="rId29"/>
    <sheet name="9D" sheetId="25" r:id="rId30"/>
    <sheet name="9E" sheetId="26" r:id="rId31"/>
    <sheet name="11A" sheetId="27" r:id="rId32"/>
    <sheet name="11B" sheetId="28" r:id="rId33"/>
    <sheet name="HTF ROLLUP" sheetId="40" state="hidden" r:id="rId34"/>
    <sheet name="LIHTC_Dropdowns" sheetId="30" state="hidden" r:id="rId35"/>
  </sheets>
  <externalReferences>
    <externalReference r:id="rId36"/>
    <externalReference r:id="rId37"/>
  </externalReferences>
  <definedNames>
    <definedName name="DevFees">LIHTC_Dropdowns!$F$189:$F$194</definedName>
    <definedName name="eligible_tribes">LIHTC_Dropdowns!$F$201:$F$214</definedName>
    <definedName name="federal_funding_sources">LIHTC_Dropdowns!$F$171:$F$177</definedName>
    <definedName name="higher_income" localSheetId="12">[1]ScoringLists!$B$2:$B$16</definedName>
    <definedName name="higher_income">LIHTC_Dropdowns!$F$2:$F$16</definedName>
    <definedName name="Historic">LIHTC_Dropdowns!$F$197:$F$199</definedName>
    <definedName name="Homeless75">LIHTC_Dropdowns!$F$126:$F$127</definedName>
    <definedName name="in_within">LIHTC_Dropdowns!$F$229:$F$233</definedName>
    <definedName name="Inc_Higher" localSheetId="12">[1]ScoringLists!$B$18:$B$38</definedName>
    <definedName name="Inc_Higher">LIHTC_Dropdowns!$F$18:$F$38</definedName>
    <definedName name="Inc_Lower" localSheetId="12">[1]ScoringLists!$B$69:$B$89</definedName>
    <definedName name="Inc_Lower">LIHTC_Dropdowns!$F$69:$F$89</definedName>
    <definedName name="Inc_percent">LIHTC_Dropdowns!$F$91:$F$100</definedName>
    <definedName name="Incomes_4_Perc">LIHTC_Dropdowns!$B$11:$B$17</definedName>
    <definedName name="job_centers">LIHTC_Dropdowns!$F$235:$F$284</definedName>
    <definedName name="KC_HTF">LIHTC_Dropdowns!$F$179:$F$181</definedName>
    <definedName name="KC_only">LIHTC_Dropdowns!$F$221:$F$223</definedName>
    <definedName name="KC_OppArea">LIHTC_Dropdowns!$F$225:$F$227</definedName>
    <definedName name="leveraging_public_resources_10">LIHTC_Dropdowns!$B$65:$B$68</definedName>
    <definedName name="leveraging_taxable_bonds_7">LIHTC_Dropdowns!$B$70:$B$77</definedName>
    <definedName name="LIH_Commit">LIHTC_Dropdowns!$B$2:$B$8</definedName>
    <definedName name="LIH40percent">LIHTC_Dropdowns!$B$106:$B$107</definedName>
    <definedName name="LIH50percent">LIHTC_Dropdowns!$B$109:$B$113</definedName>
    <definedName name="LIH60percent">LIHTC_Dropdowns!$B$115:$B$120</definedName>
    <definedName name="local_funding_counties">LIHTC_Dropdowns!$F$140:$F$147</definedName>
    <definedName name="local_funding_sources">LIHTC_Dropdowns!$F$149:$F$161</definedName>
    <definedName name="local_funding_types">LIHTC_Dropdowns!$F$163:$F$169</definedName>
    <definedName name="Location_eff">LIHTC_Dropdowns!$F$216:$F$219</definedName>
    <definedName name="lower_income" localSheetId="12">[1]ScoringLists!$B$40:$B$67</definedName>
    <definedName name="lower_income">LIHTC_Dropdowns!$F$40:$F$67</definedName>
    <definedName name="NP_Sponsor">LIHTC_Dropdowns!$F$286:$F$289</definedName>
    <definedName name="NP_Sponsor_4_Perc">LIHTC_Dropdowns!$B$101:$B$103</definedName>
    <definedName name="PBRA_units">LIHTC_Dropdowns!$F$183:$F$186</definedName>
    <definedName name="Population_Types" localSheetId="12">[2]UnderTheHood!$C$2:$C$19</definedName>
    <definedName name="Population_Types">PopTypes_Dropdown!$B$3:$B$21</definedName>
    <definedName name="_xlnm.Print_Area" localSheetId="31">'11A'!$B$13:$O$163</definedName>
    <definedName name="_xlnm.Print_Area" localSheetId="32">'11B'!$B$13:$O$154</definedName>
    <definedName name="_xlnm.Print_Area" localSheetId="2">'1A'!$B$2:$Q$64</definedName>
    <definedName name="_xlnm.Print_Area" localSheetId="3">'1B'!$B$2:$M$24,'1B'!$B$26:$M$48,'1B'!$B$50:$M$72</definedName>
    <definedName name="_xlnm.Print_Area" localSheetId="4">'2A'!$B$2:$N$23</definedName>
    <definedName name="_xlnm.Print_Area" localSheetId="5">'2B'!$B$12:$P$35</definedName>
    <definedName name="_xlnm.Print_Area" localSheetId="6">'2C'!$B$12:$J$144</definedName>
    <definedName name="_xlnm.Print_Area" localSheetId="7">'2C (2)'!$B$12:$J$144</definedName>
    <definedName name="_xlnm.Print_Area" localSheetId="8">'3'!$B$11:$I$44</definedName>
    <definedName name="_xlnm.Print_Area" localSheetId="9">'4'!$B$2:$H$27</definedName>
    <definedName name="_xlnm.Print_Area" localSheetId="10">'5'!$B$8:$H$71</definedName>
    <definedName name="_xlnm.Print_Area" localSheetId="11">'6A'!$B$10:$Y$121</definedName>
    <definedName name="_xlnm.Print_Area" localSheetId="13">'6B'!$B$6:$L$101</definedName>
    <definedName name="_xlnm.Print_Area" localSheetId="12">'6B (2)'!$B$6:$V$112</definedName>
    <definedName name="_xlnm.Print_Area" localSheetId="14">'6C'!$B$10:$X$123</definedName>
    <definedName name="_xlnm.Print_Area" localSheetId="15">'6D'!$B$6:$H$53</definedName>
    <definedName name="_xlnm.Print_Area" localSheetId="16">'6E'!$B$2:$K$54</definedName>
    <definedName name="_xlnm.Print_Area" localSheetId="17">'7A'!$B$8:$O$59</definedName>
    <definedName name="_xlnm.Print_Area" localSheetId="18">'7B'!$B$10:$N$109,'7B'!$Q$10:$AC$109</definedName>
    <definedName name="_xlnm.Print_Area" localSheetId="19">'8A'!$B$2:$O$25,'8A'!$Q$2:$AD$25</definedName>
    <definedName name="_xlnm.Print_Area" localSheetId="20">'8B'!$B$6:$J$37</definedName>
    <definedName name="_xlnm.Print_Area" localSheetId="21">'8C'!$B$8:$L$39,'8C'!$O$8:$Y$39</definedName>
    <definedName name="_xlnm.Print_Area" localSheetId="22">'8D'!$B$12:$Q$51</definedName>
    <definedName name="_xlnm.Print_Area" localSheetId="23">'8E'!$B$18:$P$179,'8E'!$R$18:$AG$179</definedName>
    <definedName name="_xlnm.Print_Area" localSheetId="24">'8E(2)'!$B$8:$P$169,'8E(2)'!$R$8:$AF$169</definedName>
    <definedName name="_xlnm.Print_Area" localSheetId="25">'8F'!$B$7:$F$48</definedName>
    <definedName name="_xlnm.Print_Area" localSheetId="26">'9A'!$B$2:$I$81</definedName>
    <definedName name="_xlnm.Print_Area" localSheetId="27">'9B'!$B$7:$Y$36</definedName>
    <definedName name="_xlnm.Print_Area" localSheetId="28">'9C'!$B$12:$M$42</definedName>
    <definedName name="_xlnm.Print_Area" localSheetId="29">'9D'!$B$15:$L$47</definedName>
    <definedName name="_xlnm.Print_Area" localSheetId="30">'9E'!$B$7:$K$25</definedName>
    <definedName name="_xlnm.Print_Area" localSheetId="1">Definitions!$A$1:$L$44</definedName>
    <definedName name="_xlnm.Print_Titles" localSheetId="11">'6A'!$10:$18</definedName>
    <definedName name="_xlnm.Print_Titles" localSheetId="13">'6B'!$6:$12</definedName>
    <definedName name="_xlnm.Print_Titles" localSheetId="12">'6B (2)'!$6:$11</definedName>
    <definedName name="_xlnm.Print_Titles" localSheetId="14">'6C'!$10:$19</definedName>
    <definedName name="PriorityPopulations10">LIHTC_Dropdowns!$B$43:$B$46</definedName>
    <definedName name="PriorityPopulations20">LIHTC_Dropdowns!$B$48:$B$51</definedName>
    <definedName name="Project_Based_Rental_Assistance">LIHTC_Dropdowns!$B$58:$B$62</definedName>
    <definedName name="property_type_10">LIHTC_Dropdowns!$B$88:$B$92</definedName>
    <definedName name="RELOC" localSheetId="12">#REF!</definedName>
    <definedName name="RELOC">#REF!</definedName>
    <definedName name="senior_housing_10">LIHTC_Dropdowns!$B$53:$B$54</definedName>
    <definedName name="SpecNeeds20">LIHTC_Dropdowns!$F$130:$F$138</definedName>
    <definedName name="TDC_Limit">LIHTC_Dropdowns!$F$291:$F$292</definedName>
    <definedName name="Years" localSheetId="12">[1]ScoringLists!$B$102:$B$124</definedName>
    <definedName name="Years">LIHTC_Dropdowns!$F$102:$F$124</definedName>
    <definedName name="Years_4_Perc">LIHTC_Dropdowns!$B$19:$B$41</definedName>
  </definedNames>
  <calcPr calcId="145621"/>
</workbook>
</file>

<file path=xl/calcChain.xml><?xml version="1.0" encoding="utf-8"?>
<calcChain xmlns="http://schemas.openxmlformats.org/spreadsheetml/2006/main">
  <c r="AB144" i="34" l="1"/>
  <c r="AA144" i="34"/>
  <c r="T163" i="34"/>
  <c r="U163" i="34"/>
  <c r="V163" i="34"/>
  <c r="W163" i="34"/>
  <c r="X163" i="34"/>
  <c r="AA163" i="34"/>
  <c r="Z163" i="34"/>
  <c r="Y163" i="34"/>
  <c r="W162" i="34"/>
  <c r="V162" i="34"/>
  <c r="U162" i="34"/>
  <c r="T162" i="34"/>
  <c r="V81" i="34"/>
  <c r="U81" i="34"/>
  <c r="T81" i="34"/>
  <c r="S81" i="34"/>
  <c r="Y81" i="34"/>
  <c r="Z83" i="15" l="1"/>
  <c r="Y92" i="15"/>
  <c r="V92" i="15"/>
  <c r="Y97" i="15"/>
  <c r="T97" i="15"/>
  <c r="Z81" i="15"/>
  <c r="Y78" i="15"/>
  <c r="Z27" i="15"/>
  <c r="V95" i="15"/>
  <c r="V94" i="15"/>
  <c r="V72" i="15"/>
  <c r="F97" i="15"/>
  <c r="G97" i="15"/>
  <c r="L83" i="15"/>
  <c r="G83" i="15"/>
  <c r="I83" i="15"/>
  <c r="I92" i="15"/>
  <c r="J94" i="15"/>
  <c r="T63" i="43"/>
  <c r="L82" i="15"/>
  <c r="F72" i="15"/>
  <c r="E97" i="15"/>
  <c r="E79" i="15"/>
  <c r="I72" i="15"/>
  <c r="E72" i="15"/>
  <c r="H72" i="15"/>
  <c r="K97" i="15"/>
  <c r="H94" i="15"/>
  <c r="J81" i="34"/>
  <c r="K81" i="34" s="1"/>
  <c r="L81" i="34" s="1"/>
  <c r="M81" i="34" s="1"/>
  <c r="N81" i="34" s="1"/>
  <c r="O81" i="34" s="1"/>
  <c r="H162" i="34" s="1"/>
  <c r="I162" i="34" s="1"/>
  <c r="J162" i="34" s="1"/>
  <c r="K162" i="34" s="1"/>
  <c r="L162" i="34" s="1"/>
  <c r="M162" i="34" s="1"/>
  <c r="N162" i="34" s="1"/>
  <c r="O162" i="34" s="1"/>
  <c r="I66" i="20"/>
  <c r="X90" i="20"/>
  <c r="G90" i="20"/>
  <c r="F15" i="9" l="1"/>
  <c r="T13" i="34"/>
  <c r="D13" i="34"/>
  <c r="T23" i="20"/>
  <c r="D23" i="20"/>
  <c r="D15" i="15"/>
  <c r="S15" i="15"/>
  <c r="Q102" i="43"/>
  <c r="T69" i="9" l="1"/>
  <c r="T50" i="9"/>
  <c r="M50" i="9"/>
  <c r="T98" i="9"/>
  <c r="S109" i="9"/>
  <c r="E15" i="14" l="1"/>
  <c r="T73" i="43"/>
  <c r="CQ2" i="40" l="1"/>
  <c r="CJ2" i="40"/>
  <c r="CD2" i="40"/>
  <c r="CC2" i="40"/>
  <c r="CB2" i="40"/>
  <c r="BX2" i="40"/>
  <c r="BR2" i="40"/>
  <c r="BQ2" i="40"/>
  <c r="BP2" i="40"/>
  <c r="BL2" i="40"/>
  <c r="BJ2" i="40"/>
  <c r="BI2" i="40"/>
  <c r="BF2" i="40"/>
  <c r="BD2" i="40"/>
  <c r="BC2" i="40"/>
  <c r="AZ2" i="40"/>
  <c r="AY2" i="40"/>
  <c r="AX2" i="40"/>
  <c r="AW2" i="40"/>
  <c r="AV2" i="40"/>
  <c r="AU2" i="40"/>
  <c r="AT2" i="40"/>
  <c r="AR2" i="40"/>
  <c r="AQ2" i="40"/>
  <c r="AP2" i="40"/>
  <c r="AO2" i="40"/>
  <c r="AN2" i="40"/>
  <c r="AM2" i="40"/>
  <c r="AL2" i="40"/>
  <c r="AK2" i="40"/>
  <c r="AJ2" i="40"/>
  <c r="AI2" i="40"/>
  <c r="AH2" i="40"/>
  <c r="AG2" i="40"/>
  <c r="AF2" i="40"/>
  <c r="AE2" i="40"/>
  <c r="AD2" i="40"/>
  <c r="AC2" i="40"/>
  <c r="AB2" i="40"/>
  <c r="AA2" i="40"/>
  <c r="Z2" i="40"/>
  <c r="Y2" i="40"/>
  <c r="X2" i="40"/>
  <c r="W2" i="40"/>
  <c r="V2" i="40"/>
  <c r="U2" i="40"/>
  <c r="T2" i="40"/>
  <c r="S2" i="40"/>
  <c r="G2" i="40"/>
  <c r="E2" i="40"/>
  <c r="D2" i="40"/>
  <c r="C2" i="40"/>
  <c r="B2" i="40"/>
  <c r="A2" i="40"/>
  <c r="N153" i="28"/>
  <c r="G140" i="28"/>
  <c r="K91" i="28"/>
  <c r="K89" i="28"/>
  <c r="G78" i="28"/>
  <c r="J73" i="28"/>
  <c r="J71" i="28"/>
  <c r="G16" i="28"/>
  <c r="N162" i="27"/>
  <c r="G134" i="27"/>
  <c r="G76" i="27"/>
  <c r="G16" i="27"/>
  <c r="E12" i="26"/>
  <c r="D10" i="26"/>
  <c r="E21" i="25"/>
  <c r="D18" i="25"/>
  <c r="D15" i="24"/>
  <c r="D10" i="23"/>
  <c r="D52" i="22"/>
  <c r="D28" i="22"/>
  <c r="D27" i="22"/>
  <c r="D24" i="22"/>
  <c r="D19" i="22"/>
  <c r="D18" i="22"/>
  <c r="D17" i="22"/>
  <c r="D8" i="22"/>
  <c r="D5" i="22"/>
  <c r="D10" i="21"/>
  <c r="C163" i="34"/>
  <c r="C162" i="34"/>
  <c r="W161" i="34"/>
  <c r="V161" i="34"/>
  <c r="U161" i="34"/>
  <c r="T161" i="34"/>
  <c r="C161" i="34"/>
  <c r="AE156" i="34"/>
  <c r="AD156" i="34"/>
  <c r="AC156" i="34"/>
  <c r="AB156" i="34"/>
  <c r="AA156" i="34"/>
  <c r="Z156" i="34"/>
  <c r="Y156" i="34"/>
  <c r="X156" i="34"/>
  <c r="S154" i="34"/>
  <c r="C154" i="34"/>
  <c r="C153" i="34"/>
  <c r="AE112" i="34"/>
  <c r="AD112" i="34"/>
  <c r="AC112" i="34"/>
  <c r="AB112" i="34"/>
  <c r="AA112" i="34"/>
  <c r="Z112" i="34"/>
  <c r="Y112" i="34"/>
  <c r="X112" i="34"/>
  <c r="O112" i="34"/>
  <c r="N112" i="34"/>
  <c r="M112" i="34"/>
  <c r="L112" i="34"/>
  <c r="K112" i="34"/>
  <c r="J112" i="34"/>
  <c r="I112" i="34"/>
  <c r="H112" i="34"/>
  <c r="T103" i="34"/>
  <c r="D103" i="34"/>
  <c r="T102" i="34"/>
  <c r="D102" i="34"/>
  <c r="T94" i="34"/>
  <c r="D94" i="34"/>
  <c r="T92" i="34"/>
  <c r="D92" i="34"/>
  <c r="X80" i="34"/>
  <c r="W80" i="34"/>
  <c r="V80" i="34"/>
  <c r="U80" i="34"/>
  <c r="T80" i="34"/>
  <c r="S80" i="34"/>
  <c r="AE72" i="34"/>
  <c r="AE75" i="34" s="1"/>
  <c r="AD72" i="34"/>
  <c r="AD75" i="34" s="1"/>
  <c r="AC72" i="34"/>
  <c r="AC75" i="34" s="1"/>
  <c r="AB72" i="34"/>
  <c r="AB75" i="34" s="1"/>
  <c r="AA72" i="34"/>
  <c r="AA75" i="34" s="1"/>
  <c r="Z72" i="34"/>
  <c r="Z75" i="34" s="1"/>
  <c r="Y72" i="34"/>
  <c r="Y75" i="34" s="1"/>
  <c r="X72" i="34"/>
  <c r="W72" i="34"/>
  <c r="V72" i="34"/>
  <c r="U72" i="34"/>
  <c r="T72" i="34"/>
  <c r="S72" i="34"/>
  <c r="S153" i="34" s="1"/>
  <c r="I72" i="34"/>
  <c r="I75" i="34" s="1"/>
  <c r="H72" i="34"/>
  <c r="I65" i="34"/>
  <c r="J65" i="34" s="1"/>
  <c r="K65" i="34" s="1"/>
  <c r="L65" i="34" s="1"/>
  <c r="M65" i="34" s="1"/>
  <c r="N65" i="34" s="1"/>
  <c r="O65" i="34" s="1"/>
  <c r="H146" i="34" s="1"/>
  <c r="I146" i="34" s="1"/>
  <c r="J146" i="34" s="1"/>
  <c r="K146" i="34" s="1"/>
  <c r="L146" i="34" s="1"/>
  <c r="M146" i="34" s="1"/>
  <c r="N146" i="34" s="1"/>
  <c r="O146" i="34" s="1"/>
  <c r="AA63" i="34"/>
  <c r="AB63" i="34" s="1"/>
  <c r="AC63" i="34" s="1"/>
  <c r="AD63" i="34" s="1"/>
  <c r="AE63" i="34" s="1"/>
  <c r="X144" i="34" s="1"/>
  <c r="Y144" i="34" s="1"/>
  <c r="Z144" i="34" s="1"/>
  <c r="Z63" i="34"/>
  <c r="K63" i="34"/>
  <c r="L63" i="34" s="1"/>
  <c r="M63" i="34" s="1"/>
  <c r="N63" i="34" s="1"/>
  <c r="O63" i="34" s="1"/>
  <c r="H144" i="34" s="1"/>
  <c r="I144" i="34" s="1"/>
  <c r="J144" i="34" s="1"/>
  <c r="K144" i="34" s="1"/>
  <c r="L144" i="34" s="1"/>
  <c r="M144" i="34" s="1"/>
  <c r="N144" i="34" s="1"/>
  <c r="O144" i="34" s="1"/>
  <c r="I63" i="34"/>
  <c r="J63" i="34" s="1"/>
  <c r="I60" i="34"/>
  <c r="J60" i="34" s="1"/>
  <c r="K60" i="34" s="1"/>
  <c r="L60" i="34" s="1"/>
  <c r="M60" i="34" s="1"/>
  <c r="N60" i="34" s="1"/>
  <c r="O60" i="34" s="1"/>
  <c r="H141" i="34" s="1"/>
  <c r="I141" i="34" s="1"/>
  <c r="J141" i="34" s="1"/>
  <c r="K141" i="34" s="1"/>
  <c r="L141" i="34" s="1"/>
  <c r="M141" i="34" s="1"/>
  <c r="N141" i="34" s="1"/>
  <c r="O141" i="34" s="1"/>
  <c r="Y59" i="34"/>
  <c r="I56" i="34"/>
  <c r="Y55" i="34"/>
  <c r="Z55" i="34" s="1"/>
  <c r="AA55" i="34" s="1"/>
  <c r="AB55" i="34" s="1"/>
  <c r="AC55" i="34" s="1"/>
  <c r="AD55" i="34" s="1"/>
  <c r="AE55" i="34" s="1"/>
  <c r="X136" i="34" s="1"/>
  <c r="Y136" i="34" s="1"/>
  <c r="Z136" i="34" s="1"/>
  <c r="AA136" i="34" s="1"/>
  <c r="AB136" i="34" s="1"/>
  <c r="AC136" i="34" s="1"/>
  <c r="AD136" i="34" s="1"/>
  <c r="AE136" i="34" s="1"/>
  <c r="I55" i="34"/>
  <c r="J55" i="34" s="1"/>
  <c r="K55" i="34" s="1"/>
  <c r="L55" i="34" s="1"/>
  <c r="M55" i="34" s="1"/>
  <c r="N55" i="34" s="1"/>
  <c r="O55" i="34" s="1"/>
  <c r="H136" i="34" s="1"/>
  <c r="I136" i="34" s="1"/>
  <c r="J136" i="34" s="1"/>
  <c r="K136" i="34" s="1"/>
  <c r="L136" i="34" s="1"/>
  <c r="M136" i="34" s="1"/>
  <c r="N136" i="34" s="1"/>
  <c r="O136" i="34" s="1"/>
  <c r="Y54" i="34"/>
  <c r="Z54" i="34" s="1"/>
  <c r="AA54" i="34" s="1"/>
  <c r="AB54" i="34" s="1"/>
  <c r="AC54" i="34" s="1"/>
  <c r="AD54" i="34" s="1"/>
  <c r="AE54" i="34" s="1"/>
  <c r="X135" i="34" s="1"/>
  <c r="Y135" i="34" s="1"/>
  <c r="Z135" i="34" s="1"/>
  <c r="AA135" i="34" s="1"/>
  <c r="AB135" i="34" s="1"/>
  <c r="AC135" i="34" s="1"/>
  <c r="AD135" i="34" s="1"/>
  <c r="AE135" i="34" s="1"/>
  <c r="I54" i="34"/>
  <c r="J54" i="34" s="1"/>
  <c r="K54" i="34" s="1"/>
  <c r="L54" i="34" s="1"/>
  <c r="M54" i="34" s="1"/>
  <c r="N54" i="34" s="1"/>
  <c r="O54" i="34" s="1"/>
  <c r="H135" i="34" s="1"/>
  <c r="I135" i="34" s="1"/>
  <c r="J135" i="34" s="1"/>
  <c r="K135" i="34" s="1"/>
  <c r="L135" i="34" s="1"/>
  <c r="M135" i="34" s="1"/>
  <c r="N135" i="34" s="1"/>
  <c r="O135" i="34" s="1"/>
  <c r="Y53" i="34"/>
  <c r="Z53" i="34" s="1"/>
  <c r="AA53" i="34" s="1"/>
  <c r="AB53" i="34" s="1"/>
  <c r="AC53" i="34" s="1"/>
  <c r="AD53" i="34" s="1"/>
  <c r="AE53" i="34" s="1"/>
  <c r="X134" i="34" s="1"/>
  <c r="Y134" i="34" s="1"/>
  <c r="Z134" i="34" s="1"/>
  <c r="AA134" i="34" s="1"/>
  <c r="AB134" i="34" s="1"/>
  <c r="AC134" i="34" s="1"/>
  <c r="AD134" i="34" s="1"/>
  <c r="AE134" i="34" s="1"/>
  <c r="I53" i="34"/>
  <c r="J53" i="34" s="1"/>
  <c r="K53" i="34" s="1"/>
  <c r="L53" i="34" s="1"/>
  <c r="M53" i="34" s="1"/>
  <c r="N53" i="34" s="1"/>
  <c r="O53" i="34" s="1"/>
  <c r="H134" i="34" s="1"/>
  <c r="I134" i="34" s="1"/>
  <c r="J134" i="34" s="1"/>
  <c r="K134" i="34" s="1"/>
  <c r="L134" i="34" s="1"/>
  <c r="M134" i="34" s="1"/>
  <c r="N134" i="34" s="1"/>
  <c r="O134" i="34" s="1"/>
  <c r="Y52" i="34"/>
  <c r="Z52" i="34" s="1"/>
  <c r="AA52" i="34" s="1"/>
  <c r="AB52" i="34" s="1"/>
  <c r="AC52" i="34" s="1"/>
  <c r="AD52" i="34" s="1"/>
  <c r="AE52" i="34" s="1"/>
  <c r="X133" i="34" s="1"/>
  <c r="Y133" i="34" s="1"/>
  <c r="Z133" i="34" s="1"/>
  <c r="AA133" i="34" s="1"/>
  <c r="AB133" i="34" s="1"/>
  <c r="AC133" i="34" s="1"/>
  <c r="AD133" i="34" s="1"/>
  <c r="AE133" i="34" s="1"/>
  <c r="I52" i="34"/>
  <c r="J52" i="34" s="1"/>
  <c r="K52" i="34" s="1"/>
  <c r="L52" i="34" s="1"/>
  <c r="M52" i="34" s="1"/>
  <c r="N52" i="34" s="1"/>
  <c r="O52" i="34" s="1"/>
  <c r="H133" i="34" s="1"/>
  <c r="I133" i="34" s="1"/>
  <c r="J133" i="34" s="1"/>
  <c r="K133" i="34" s="1"/>
  <c r="L133" i="34" s="1"/>
  <c r="M133" i="34" s="1"/>
  <c r="N133" i="34" s="1"/>
  <c r="O133" i="34" s="1"/>
  <c r="Y50" i="34"/>
  <c r="Z50" i="34" s="1"/>
  <c r="AA50" i="34" s="1"/>
  <c r="AB50" i="34" s="1"/>
  <c r="AC50" i="34" s="1"/>
  <c r="AD50" i="34" s="1"/>
  <c r="AE50" i="34" s="1"/>
  <c r="X131" i="34" s="1"/>
  <c r="Y131" i="34" s="1"/>
  <c r="Z131" i="34" s="1"/>
  <c r="AA131" i="34" s="1"/>
  <c r="AB131" i="34" s="1"/>
  <c r="AC131" i="34" s="1"/>
  <c r="AD131" i="34" s="1"/>
  <c r="AE131" i="34" s="1"/>
  <c r="I50" i="34"/>
  <c r="J50" i="34" s="1"/>
  <c r="K50" i="34" s="1"/>
  <c r="L50" i="34" s="1"/>
  <c r="M50" i="34" s="1"/>
  <c r="N50" i="34" s="1"/>
  <c r="O50" i="34" s="1"/>
  <c r="H131" i="34" s="1"/>
  <c r="I131" i="34" s="1"/>
  <c r="J131" i="34" s="1"/>
  <c r="K131" i="34" s="1"/>
  <c r="L131" i="34" s="1"/>
  <c r="M131" i="34" s="1"/>
  <c r="N131" i="34" s="1"/>
  <c r="O131" i="34" s="1"/>
  <c r="Y49" i="34"/>
  <c r="Z49" i="34" s="1"/>
  <c r="AA49" i="34" s="1"/>
  <c r="AB49" i="34" s="1"/>
  <c r="AC49" i="34" s="1"/>
  <c r="AD49" i="34" s="1"/>
  <c r="AE49" i="34" s="1"/>
  <c r="X130" i="34" s="1"/>
  <c r="Y130" i="34" s="1"/>
  <c r="Z130" i="34" s="1"/>
  <c r="AA130" i="34" s="1"/>
  <c r="AB130" i="34" s="1"/>
  <c r="AC130" i="34" s="1"/>
  <c r="AD130" i="34" s="1"/>
  <c r="AE130" i="34" s="1"/>
  <c r="I49" i="34"/>
  <c r="J49" i="34" s="1"/>
  <c r="K49" i="34" s="1"/>
  <c r="L49" i="34" s="1"/>
  <c r="M49" i="34" s="1"/>
  <c r="N49" i="34" s="1"/>
  <c r="O49" i="34" s="1"/>
  <c r="H130" i="34" s="1"/>
  <c r="I130" i="34" s="1"/>
  <c r="J130" i="34" s="1"/>
  <c r="K130" i="34" s="1"/>
  <c r="L130" i="34" s="1"/>
  <c r="M130" i="34" s="1"/>
  <c r="N130" i="34" s="1"/>
  <c r="O130" i="34" s="1"/>
  <c r="Y48" i="34"/>
  <c r="Z48" i="34" s="1"/>
  <c r="AA48" i="34" s="1"/>
  <c r="AB48" i="34" s="1"/>
  <c r="AC48" i="34" s="1"/>
  <c r="AD48" i="34" s="1"/>
  <c r="AE48" i="34" s="1"/>
  <c r="X129" i="34" s="1"/>
  <c r="Y129" i="34" s="1"/>
  <c r="Z129" i="34" s="1"/>
  <c r="AA129" i="34" s="1"/>
  <c r="AB129" i="34" s="1"/>
  <c r="AC129" i="34" s="1"/>
  <c r="AD129" i="34" s="1"/>
  <c r="AE129" i="34" s="1"/>
  <c r="I48" i="34"/>
  <c r="J48" i="34" s="1"/>
  <c r="K48" i="34" s="1"/>
  <c r="L48" i="34" s="1"/>
  <c r="M48" i="34" s="1"/>
  <c r="N48" i="34" s="1"/>
  <c r="O48" i="34" s="1"/>
  <c r="H129" i="34" s="1"/>
  <c r="I129" i="34" s="1"/>
  <c r="J129" i="34" s="1"/>
  <c r="K129" i="34" s="1"/>
  <c r="L129" i="34" s="1"/>
  <c r="M129" i="34" s="1"/>
  <c r="N129" i="34" s="1"/>
  <c r="O129" i="34" s="1"/>
  <c r="Y47" i="34"/>
  <c r="Z47" i="34" s="1"/>
  <c r="AA47" i="34" s="1"/>
  <c r="AB47" i="34" s="1"/>
  <c r="AC47" i="34" s="1"/>
  <c r="AD47" i="34" s="1"/>
  <c r="AE47" i="34" s="1"/>
  <c r="X128" i="34" s="1"/>
  <c r="Y128" i="34" s="1"/>
  <c r="Z128" i="34" s="1"/>
  <c r="AA128" i="34" s="1"/>
  <c r="AB128" i="34" s="1"/>
  <c r="AC128" i="34" s="1"/>
  <c r="AD128" i="34" s="1"/>
  <c r="AE128" i="34" s="1"/>
  <c r="Y46" i="34"/>
  <c r="Z46" i="34" s="1"/>
  <c r="AA46" i="34" s="1"/>
  <c r="AB46" i="34" s="1"/>
  <c r="AC46" i="34" s="1"/>
  <c r="AD46" i="34" s="1"/>
  <c r="AE46" i="34" s="1"/>
  <c r="X127" i="34" s="1"/>
  <c r="Y127" i="34" s="1"/>
  <c r="Z127" i="34" s="1"/>
  <c r="AA127" i="34" s="1"/>
  <c r="AB127" i="34" s="1"/>
  <c r="AC127" i="34" s="1"/>
  <c r="AD127" i="34" s="1"/>
  <c r="AE127" i="34" s="1"/>
  <c r="I46" i="34"/>
  <c r="J46" i="34" s="1"/>
  <c r="K46" i="34" s="1"/>
  <c r="L46" i="34" s="1"/>
  <c r="M46" i="34" s="1"/>
  <c r="N46" i="34" s="1"/>
  <c r="O46" i="34" s="1"/>
  <c r="H127" i="34" s="1"/>
  <c r="I127" i="34" s="1"/>
  <c r="J127" i="34" s="1"/>
  <c r="K127" i="34" s="1"/>
  <c r="L127" i="34" s="1"/>
  <c r="M127" i="34" s="1"/>
  <c r="N127" i="34" s="1"/>
  <c r="O127" i="34" s="1"/>
  <c r="Y45" i="34"/>
  <c r="Z45" i="34" s="1"/>
  <c r="AA45" i="34" s="1"/>
  <c r="AB45" i="34" s="1"/>
  <c r="AC45" i="34" s="1"/>
  <c r="AD45" i="34" s="1"/>
  <c r="AE45" i="34" s="1"/>
  <c r="X126" i="34" s="1"/>
  <c r="Y126" i="34" s="1"/>
  <c r="Z126" i="34" s="1"/>
  <c r="AA126" i="34" s="1"/>
  <c r="AB126" i="34" s="1"/>
  <c r="AC126" i="34" s="1"/>
  <c r="AD126" i="34" s="1"/>
  <c r="AE126" i="34" s="1"/>
  <c r="I45" i="34"/>
  <c r="J45" i="34" s="1"/>
  <c r="K45" i="34" s="1"/>
  <c r="L45" i="34" s="1"/>
  <c r="M45" i="34" s="1"/>
  <c r="N45" i="34" s="1"/>
  <c r="O45" i="34" s="1"/>
  <c r="H126" i="34" s="1"/>
  <c r="I126" i="34" s="1"/>
  <c r="J126" i="34" s="1"/>
  <c r="K126" i="34" s="1"/>
  <c r="L126" i="34" s="1"/>
  <c r="M126" i="34" s="1"/>
  <c r="N126" i="34" s="1"/>
  <c r="O126" i="34" s="1"/>
  <c r="Y44" i="34"/>
  <c r="Z44" i="34" s="1"/>
  <c r="AA44" i="34" s="1"/>
  <c r="AB44" i="34" s="1"/>
  <c r="AC44" i="34" s="1"/>
  <c r="AD44" i="34" s="1"/>
  <c r="AE44" i="34" s="1"/>
  <c r="X125" i="34" s="1"/>
  <c r="Y125" i="34" s="1"/>
  <c r="Z125" i="34" s="1"/>
  <c r="AA125" i="34" s="1"/>
  <c r="AB125" i="34" s="1"/>
  <c r="AC125" i="34" s="1"/>
  <c r="AD125" i="34" s="1"/>
  <c r="AE125" i="34" s="1"/>
  <c r="I44" i="34"/>
  <c r="J44" i="34" s="1"/>
  <c r="K44" i="34" s="1"/>
  <c r="L44" i="34" s="1"/>
  <c r="M44" i="34" s="1"/>
  <c r="N44" i="34" s="1"/>
  <c r="O44" i="34" s="1"/>
  <c r="H125" i="34" s="1"/>
  <c r="I125" i="34" s="1"/>
  <c r="J125" i="34" s="1"/>
  <c r="K125" i="34" s="1"/>
  <c r="L125" i="34" s="1"/>
  <c r="M125" i="34" s="1"/>
  <c r="N125" i="34" s="1"/>
  <c r="O125" i="34" s="1"/>
  <c r="Y43" i="34"/>
  <c r="Z43" i="34" s="1"/>
  <c r="AA43" i="34" s="1"/>
  <c r="AB43" i="34" s="1"/>
  <c r="AC43" i="34" s="1"/>
  <c r="AD43" i="34" s="1"/>
  <c r="AE43" i="34" s="1"/>
  <c r="X124" i="34" s="1"/>
  <c r="Y124" i="34" s="1"/>
  <c r="Z124" i="34" s="1"/>
  <c r="AA124" i="34" s="1"/>
  <c r="AB124" i="34" s="1"/>
  <c r="AC124" i="34" s="1"/>
  <c r="AD124" i="34" s="1"/>
  <c r="AE124" i="34" s="1"/>
  <c r="I43" i="34"/>
  <c r="J43" i="34" s="1"/>
  <c r="K43" i="34" s="1"/>
  <c r="L43" i="34" s="1"/>
  <c r="M43" i="34" s="1"/>
  <c r="N43" i="34" s="1"/>
  <c r="O43" i="34" s="1"/>
  <c r="H124" i="34" s="1"/>
  <c r="I124" i="34" s="1"/>
  <c r="J124" i="34" s="1"/>
  <c r="K124" i="34" s="1"/>
  <c r="L124" i="34" s="1"/>
  <c r="M124" i="34" s="1"/>
  <c r="N124" i="34" s="1"/>
  <c r="O124" i="34" s="1"/>
  <c r="Y41" i="34"/>
  <c r="Z41" i="34" s="1"/>
  <c r="AA41" i="34" s="1"/>
  <c r="AB41" i="34" s="1"/>
  <c r="AC41" i="34" s="1"/>
  <c r="AD41" i="34" s="1"/>
  <c r="AE41" i="34" s="1"/>
  <c r="X122" i="34" s="1"/>
  <c r="Y122" i="34" s="1"/>
  <c r="Z122" i="34" s="1"/>
  <c r="AA122" i="34" s="1"/>
  <c r="AB122" i="34" s="1"/>
  <c r="AC122" i="34" s="1"/>
  <c r="AD122" i="34" s="1"/>
  <c r="AE122" i="34" s="1"/>
  <c r="I41" i="34"/>
  <c r="J41" i="34" s="1"/>
  <c r="K41" i="34" s="1"/>
  <c r="L41" i="34" s="1"/>
  <c r="M41" i="34" s="1"/>
  <c r="N41" i="34" s="1"/>
  <c r="O41" i="34" s="1"/>
  <c r="H122" i="34" s="1"/>
  <c r="I122" i="34" s="1"/>
  <c r="J122" i="34" s="1"/>
  <c r="K122" i="34" s="1"/>
  <c r="L122" i="34" s="1"/>
  <c r="M122" i="34" s="1"/>
  <c r="N122" i="34" s="1"/>
  <c r="O122" i="34" s="1"/>
  <c r="I40" i="34"/>
  <c r="J40" i="34" s="1"/>
  <c r="K40" i="34" s="1"/>
  <c r="L40" i="34" s="1"/>
  <c r="M40" i="34" s="1"/>
  <c r="N40" i="34" s="1"/>
  <c r="O40" i="34" s="1"/>
  <c r="H121" i="34" s="1"/>
  <c r="I121" i="34" s="1"/>
  <c r="J121" i="34" s="1"/>
  <c r="K121" i="34" s="1"/>
  <c r="L121" i="34" s="1"/>
  <c r="M121" i="34" s="1"/>
  <c r="N121" i="34" s="1"/>
  <c r="O121" i="34" s="1"/>
  <c r="Y39" i="34"/>
  <c r="Z39" i="34" s="1"/>
  <c r="AA39" i="34" s="1"/>
  <c r="AB39" i="34" s="1"/>
  <c r="AC39" i="34" s="1"/>
  <c r="AD39" i="34" s="1"/>
  <c r="AE39" i="34" s="1"/>
  <c r="X120" i="34" s="1"/>
  <c r="Y120" i="34" s="1"/>
  <c r="Z120" i="34" s="1"/>
  <c r="AA120" i="34" s="1"/>
  <c r="AB120" i="34" s="1"/>
  <c r="AC120" i="34" s="1"/>
  <c r="AD120" i="34" s="1"/>
  <c r="AE120" i="34" s="1"/>
  <c r="I39" i="34"/>
  <c r="J39" i="34" s="1"/>
  <c r="K39" i="34" s="1"/>
  <c r="L39" i="34" s="1"/>
  <c r="M39" i="34" s="1"/>
  <c r="N39" i="34" s="1"/>
  <c r="O39" i="34" s="1"/>
  <c r="H120" i="34" s="1"/>
  <c r="I120" i="34" s="1"/>
  <c r="J120" i="34" s="1"/>
  <c r="K120" i="34" s="1"/>
  <c r="L120" i="34" s="1"/>
  <c r="M120" i="34" s="1"/>
  <c r="N120" i="34" s="1"/>
  <c r="O120" i="34" s="1"/>
  <c r="Y38" i="34"/>
  <c r="Z38" i="34" s="1"/>
  <c r="AA38" i="34" s="1"/>
  <c r="AB38" i="34" s="1"/>
  <c r="AC38" i="34" s="1"/>
  <c r="AD38" i="34" s="1"/>
  <c r="AE38" i="34" s="1"/>
  <c r="X119" i="34" s="1"/>
  <c r="Y119" i="34" s="1"/>
  <c r="Z119" i="34" s="1"/>
  <c r="AA119" i="34" s="1"/>
  <c r="AB119" i="34" s="1"/>
  <c r="AC119" i="34" s="1"/>
  <c r="AD119" i="34" s="1"/>
  <c r="AE119" i="34" s="1"/>
  <c r="Y37" i="34"/>
  <c r="Z37" i="34" s="1"/>
  <c r="AA37" i="34" s="1"/>
  <c r="AB37" i="34" s="1"/>
  <c r="AC37" i="34" s="1"/>
  <c r="AD37" i="34" s="1"/>
  <c r="AE37" i="34" s="1"/>
  <c r="X118" i="34" s="1"/>
  <c r="Y118" i="34" s="1"/>
  <c r="Z118" i="34" s="1"/>
  <c r="AA118" i="34" s="1"/>
  <c r="AB118" i="34" s="1"/>
  <c r="AC118" i="34" s="1"/>
  <c r="AD118" i="34" s="1"/>
  <c r="AE118" i="34" s="1"/>
  <c r="I37" i="34"/>
  <c r="J37" i="34" s="1"/>
  <c r="K37" i="34" s="1"/>
  <c r="L37" i="34" s="1"/>
  <c r="M37" i="34" s="1"/>
  <c r="N37" i="34" s="1"/>
  <c r="O37" i="34" s="1"/>
  <c r="H118" i="34" s="1"/>
  <c r="I118" i="34" s="1"/>
  <c r="J118" i="34" s="1"/>
  <c r="K118" i="34" s="1"/>
  <c r="L118" i="34" s="1"/>
  <c r="M118" i="34" s="1"/>
  <c r="N118" i="34" s="1"/>
  <c r="O118" i="34" s="1"/>
  <c r="Y36" i="34"/>
  <c r="Z36" i="34" s="1"/>
  <c r="AA36" i="34" s="1"/>
  <c r="I36" i="34"/>
  <c r="J36" i="34" s="1"/>
  <c r="K36" i="34" s="1"/>
  <c r="L36" i="34" s="1"/>
  <c r="M36" i="34" s="1"/>
  <c r="N36" i="34" s="1"/>
  <c r="O36" i="34" s="1"/>
  <c r="H117" i="34" s="1"/>
  <c r="I117" i="34" s="1"/>
  <c r="J117" i="34" s="1"/>
  <c r="K117" i="34" s="1"/>
  <c r="L117" i="34" s="1"/>
  <c r="M117" i="34" s="1"/>
  <c r="N117" i="34" s="1"/>
  <c r="O117" i="34" s="1"/>
  <c r="AE31" i="34"/>
  <c r="AD31" i="34"/>
  <c r="AC31" i="34"/>
  <c r="AB31" i="34"/>
  <c r="AA31" i="34"/>
  <c r="Z31" i="34"/>
  <c r="Y31" i="34"/>
  <c r="O31" i="34"/>
  <c r="N31" i="34"/>
  <c r="M31" i="34"/>
  <c r="L31" i="34"/>
  <c r="K31" i="34"/>
  <c r="J31" i="34"/>
  <c r="I31" i="34"/>
  <c r="Y25" i="34"/>
  <c r="I25" i="34"/>
  <c r="Z22" i="34"/>
  <c r="AA22" i="34" s="1"/>
  <c r="AB22" i="34" s="1"/>
  <c r="AC22" i="34" s="1"/>
  <c r="AD22" i="34" s="1"/>
  <c r="AE22" i="34" s="1"/>
  <c r="X103" i="34" s="1"/>
  <c r="Y103" i="34" s="1"/>
  <c r="Z103" i="34" s="1"/>
  <c r="AA103" i="34" s="1"/>
  <c r="AB103" i="34" s="1"/>
  <c r="AC103" i="34" s="1"/>
  <c r="AD103" i="34" s="1"/>
  <c r="AE103" i="34" s="1"/>
  <c r="L22" i="34"/>
  <c r="M22" i="34" s="1"/>
  <c r="N22" i="34" s="1"/>
  <c r="O22" i="34" s="1"/>
  <c r="H103" i="34" s="1"/>
  <c r="I103" i="34" s="1"/>
  <c r="J103" i="34" s="1"/>
  <c r="K103" i="34" s="1"/>
  <c r="L103" i="34" s="1"/>
  <c r="M103" i="34" s="1"/>
  <c r="N103" i="34" s="1"/>
  <c r="O103" i="34" s="1"/>
  <c r="J22" i="34"/>
  <c r="K22" i="34" s="1"/>
  <c r="Z21" i="34"/>
  <c r="AA21" i="34" s="1"/>
  <c r="AB21" i="34" s="1"/>
  <c r="AC21" i="34" s="1"/>
  <c r="AD21" i="34" s="1"/>
  <c r="AE21" i="34" s="1"/>
  <c r="X102" i="34" s="1"/>
  <c r="Y102" i="34" s="1"/>
  <c r="Z102" i="34" s="1"/>
  <c r="AA102" i="34" s="1"/>
  <c r="AB102" i="34" s="1"/>
  <c r="AC102" i="34" s="1"/>
  <c r="AD102" i="34" s="1"/>
  <c r="AE102" i="34" s="1"/>
  <c r="Y21" i="34"/>
  <c r="K21" i="34"/>
  <c r="L21" i="34" s="1"/>
  <c r="M21" i="34" s="1"/>
  <c r="N21" i="34" s="1"/>
  <c r="O21" i="34" s="1"/>
  <c r="H102" i="34" s="1"/>
  <c r="I102" i="34" s="1"/>
  <c r="J102" i="34" s="1"/>
  <c r="K102" i="34" s="1"/>
  <c r="L102" i="34" s="1"/>
  <c r="M102" i="34" s="1"/>
  <c r="N102" i="34" s="1"/>
  <c r="O102" i="34" s="1"/>
  <c r="I21" i="34"/>
  <c r="J21" i="34" s="1"/>
  <c r="Y20" i="34"/>
  <c r="I20" i="34"/>
  <c r="Z18" i="34"/>
  <c r="AA18" i="34" s="1"/>
  <c r="Y18" i="34"/>
  <c r="K18" i="34"/>
  <c r="L18" i="34" s="1"/>
  <c r="I18" i="34"/>
  <c r="J18" i="34" s="1"/>
  <c r="T11" i="34"/>
  <c r="D11" i="34"/>
  <c r="S172" i="20"/>
  <c r="S162" i="34" s="1"/>
  <c r="C172" i="20"/>
  <c r="S171" i="20"/>
  <c r="S161" i="34" s="1"/>
  <c r="C171" i="20"/>
  <c r="AF166" i="20"/>
  <c r="AE166" i="20"/>
  <c r="AD166" i="20"/>
  <c r="AC166" i="20"/>
  <c r="AB166" i="20"/>
  <c r="AA166" i="20"/>
  <c r="Z166" i="20"/>
  <c r="Y166" i="20"/>
  <c r="S164" i="20"/>
  <c r="C164" i="20"/>
  <c r="S163" i="20"/>
  <c r="AF122" i="20"/>
  <c r="AE122" i="20"/>
  <c r="AD122" i="20"/>
  <c r="AC122" i="20"/>
  <c r="AB122" i="20"/>
  <c r="AA122" i="20"/>
  <c r="Z122" i="20"/>
  <c r="Y122" i="20"/>
  <c r="O122" i="20"/>
  <c r="N122" i="20"/>
  <c r="M122" i="20"/>
  <c r="L122" i="20"/>
  <c r="K122" i="20"/>
  <c r="J122" i="20"/>
  <c r="I122" i="20"/>
  <c r="H122" i="20"/>
  <c r="T113" i="20"/>
  <c r="D113" i="20"/>
  <c r="D112" i="20"/>
  <c r="T104" i="20"/>
  <c r="D104" i="20"/>
  <c r="T102" i="20"/>
  <c r="D102" i="20"/>
  <c r="AA91" i="20"/>
  <c r="J91" i="20"/>
  <c r="K91" i="20" s="1"/>
  <c r="AF85" i="20"/>
  <c r="AE85" i="20"/>
  <c r="AD85" i="20"/>
  <c r="AC85" i="20"/>
  <c r="AB85" i="20"/>
  <c r="AA85" i="20"/>
  <c r="Z85" i="20"/>
  <c r="I85" i="20"/>
  <c r="J82" i="20"/>
  <c r="G82" i="20"/>
  <c r="G72" i="34" s="1"/>
  <c r="AA75" i="20"/>
  <c r="J75" i="20"/>
  <c r="K75" i="20" s="1"/>
  <c r="L75" i="20" s="1"/>
  <c r="M75" i="20" s="1"/>
  <c r="N75" i="20" s="1"/>
  <c r="O75" i="20" s="1"/>
  <c r="H156" i="20" s="1"/>
  <c r="I156" i="20" s="1"/>
  <c r="J156" i="20" s="1"/>
  <c r="K156" i="20" s="1"/>
  <c r="L156" i="20" s="1"/>
  <c r="M156" i="20" s="1"/>
  <c r="N156" i="20" s="1"/>
  <c r="O156" i="20" s="1"/>
  <c r="Z73" i="20"/>
  <c r="AA73" i="20" s="1"/>
  <c r="AB73" i="20" s="1"/>
  <c r="AC73" i="20" s="1"/>
  <c r="AD73" i="20" s="1"/>
  <c r="AE73" i="20" s="1"/>
  <c r="AF73" i="20" s="1"/>
  <c r="Y154" i="20" s="1"/>
  <c r="I73" i="20"/>
  <c r="Z71" i="20"/>
  <c r="AA70" i="20"/>
  <c r="Y60" i="34" s="1"/>
  <c r="Z60" i="34" s="1"/>
  <c r="AA60" i="34" s="1"/>
  <c r="AB60" i="34" s="1"/>
  <c r="AC60" i="34" s="1"/>
  <c r="AD60" i="34" s="1"/>
  <c r="AE60" i="34" s="1"/>
  <c r="X141" i="34" s="1"/>
  <c r="Y141" i="34" s="1"/>
  <c r="Z141" i="34" s="1"/>
  <c r="AA141" i="34" s="1"/>
  <c r="AB141" i="34" s="1"/>
  <c r="AC141" i="34" s="1"/>
  <c r="AD141" i="34" s="1"/>
  <c r="AE141" i="34" s="1"/>
  <c r="K70" i="20"/>
  <c r="L70" i="20" s="1"/>
  <c r="M70" i="20" s="1"/>
  <c r="N70" i="20" s="1"/>
  <c r="O70" i="20" s="1"/>
  <c r="H151" i="20" s="1"/>
  <c r="I151" i="20" s="1"/>
  <c r="J151" i="20" s="1"/>
  <c r="K151" i="20" s="1"/>
  <c r="L151" i="20" s="1"/>
  <c r="M151" i="20" s="1"/>
  <c r="N151" i="20" s="1"/>
  <c r="O151" i="20" s="1"/>
  <c r="J70" i="20"/>
  <c r="CK2" i="40" s="1"/>
  <c r="AA69" i="20"/>
  <c r="I69" i="20"/>
  <c r="Z66" i="20"/>
  <c r="J66" i="20"/>
  <c r="AA65" i="20"/>
  <c r="AB65" i="20" s="1"/>
  <c r="AC65" i="20" s="1"/>
  <c r="AD65" i="20" s="1"/>
  <c r="AE65" i="20" s="1"/>
  <c r="AF65" i="20" s="1"/>
  <c r="Y146" i="20" s="1"/>
  <c r="Z146" i="20" s="1"/>
  <c r="AA146" i="20" s="1"/>
  <c r="AB146" i="20" s="1"/>
  <c r="AC146" i="20" s="1"/>
  <c r="AD146" i="20" s="1"/>
  <c r="AE146" i="20" s="1"/>
  <c r="AF146" i="20" s="1"/>
  <c r="J65" i="20"/>
  <c r="K65" i="20" s="1"/>
  <c r="L65" i="20" s="1"/>
  <c r="M65" i="20" s="1"/>
  <c r="N65" i="20" s="1"/>
  <c r="O65" i="20" s="1"/>
  <c r="H146" i="20" s="1"/>
  <c r="I146" i="20" s="1"/>
  <c r="J146" i="20" s="1"/>
  <c r="K146" i="20" s="1"/>
  <c r="L146" i="20" s="1"/>
  <c r="M146" i="20" s="1"/>
  <c r="N146" i="20" s="1"/>
  <c r="O146" i="20" s="1"/>
  <c r="AC64" i="20"/>
  <c r="AD64" i="20" s="1"/>
  <c r="AE64" i="20" s="1"/>
  <c r="AF64" i="20" s="1"/>
  <c r="Y145" i="20" s="1"/>
  <c r="Z145" i="20" s="1"/>
  <c r="AA145" i="20" s="1"/>
  <c r="AB145" i="20" s="1"/>
  <c r="AC145" i="20" s="1"/>
  <c r="AD145" i="20" s="1"/>
  <c r="AE145" i="20" s="1"/>
  <c r="AF145" i="20" s="1"/>
  <c r="AA64" i="20"/>
  <c r="AB64" i="20" s="1"/>
  <c r="J64" i="20"/>
  <c r="K64" i="20" s="1"/>
  <c r="L64" i="20" s="1"/>
  <c r="M64" i="20" s="1"/>
  <c r="N64" i="20" s="1"/>
  <c r="O64" i="20" s="1"/>
  <c r="H145" i="20" s="1"/>
  <c r="I145" i="20" s="1"/>
  <c r="J145" i="20" s="1"/>
  <c r="K145" i="20" s="1"/>
  <c r="L145" i="20" s="1"/>
  <c r="M145" i="20" s="1"/>
  <c r="N145" i="20" s="1"/>
  <c r="O145" i="20" s="1"/>
  <c r="AD63" i="20"/>
  <c r="AE63" i="20" s="1"/>
  <c r="AF63" i="20" s="1"/>
  <c r="Y144" i="20" s="1"/>
  <c r="Z144" i="20" s="1"/>
  <c r="AA144" i="20" s="1"/>
  <c r="AB144" i="20" s="1"/>
  <c r="AC144" i="20" s="1"/>
  <c r="AD144" i="20" s="1"/>
  <c r="AE144" i="20" s="1"/>
  <c r="AF144" i="20" s="1"/>
  <c r="AB63" i="20"/>
  <c r="AC63" i="20" s="1"/>
  <c r="AA63" i="20"/>
  <c r="J63" i="20"/>
  <c r="K63" i="20" s="1"/>
  <c r="L63" i="20" s="1"/>
  <c r="M63" i="20" s="1"/>
  <c r="N63" i="20" s="1"/>
  <c r="O63" i="20" s="1"/>
  <c r="H144" i="20" s="1"/>
  <c r="I144" i="20" s="1"/>
  <c r="J144" i="20" s="1"/>
  <c r="K144" i="20" s="1"/>
  <c r="L144" i="20" s="1"/>
  <c r="M144" i="20" s="1"/>
  <c r="N144" i="20" s="1"/>
  <c r="O144" i="20" s="1"/>
  <c r="AA62" i="20"/>
  <c r="AB62" i="20" s="1"/>
  <c r="AC62" i="20" s="1"/>
  <c r="AD62" i="20" s="1"/>
  <c r="AE62" i="20" s="1"/>
  <c r="AF62" i="20" s="1"/>
  <c r="Y143" i="20" s="1"/>
  <c r="Z143" i="20" s="1"/>
  <c r="AA143" i="20" s="1"/>
  <c r="AB143" i="20" s="1"/>
  <c r="AC143" i="20" s="1"/>
  <c r="AD143" i="20" s="1"/>
  <c r="AE143" i="20" s="1"/>
  <c r="AF143" i="20" s="1"/>
  <c r="J62" i="20"/>
  <c r="K62" i="20" s="1"/>
  <c r="L62" i="20" s="1"/>
  <c r="M62" i="20" s="1"/>
  <c r="N62" i="20" s="1"/>
  <c r="O62" i="20" s="1"/>
  <c r="H143" i="20" s="1"/>
  <c r="I143" i="20" s="1"/>
  <c r="J143" i="20" s="1"/>
  <c r="K143" i="20" s="1"/>
  <c r="L143" i="20" s="1"/>
  <c r="M143" i="20" s="1"/>
  <c r="N143" i="20" s="1"/>
  <c r="O143" i="20" s="1"/>
  <c r="Z61" i="20"/>
  <c r="J61" i="20"/>
  <c r="K61" i="20" s="1"/>
  <c r="L61" i="20" s="1"/>
  <c r="M61" i="20" s="1"/>
  <c r="N61" i="20" s="1"/>
  <c r="O61" i="20" s="1"/>
  <c r="H142" i="20" s="1"/>
  <c r="I142" i="20" s="1"/>
  <c r="J142" i="20" s="1"/>
  <c r="K142" i="20" s="1"/>
  <c r="L142" i="20" s="1"/>
  <c r="M142" i="20" s="1"/>
  <c r="N142" i="20" s="1"/>
  <c r="O142" i="20" s="1"/>
  <c r="I61" i="20"/>
  <c r="I51" i="34" s="1"/>
  <c r="J51" i="34" s="1"/>
  <c r="K51" i="34" s="1"/>
  <c r="L51" i="34" s="1"/>
  <c r="M51" i="34" s="1"/>
  <c r="N51" i="34" s="1"/>
  <c r="O51" i="34" s="1"/>
  <c r="H132" i="34" s="1"/>
  <c r="I132" i="34" s="1"/>
  <c r="J132" i="34" s="1"/>
  <c r="K132" i="34" s="1"/>
  <c r="L132" i="34" s="1"/>
  <c r="M132" i="34" s="1"/>
  <c r="N132" i="34" s="1"/>
  <c r="O132" i="34" s="1"/>
  <c r="AB60" i="20"/>
  <c r="AC60" i="20" s="1"/>
  <c r="AD60" i="20" s="1"/>
  <c r="AE60" i="20" s="1"/>
  <c r="AF60" i="20" s="1"/>
  <c r="Y141" i="20" s="1"/>
  <c r="Z141" i="20" s="1"/>
  <c r="AA141" i="20" s="1"/>
  <c r="AB141" i="20" s="1"/>
  <c r="AC141" i="20" s="1"/>
  <c r="AD141" i="20" s="1"/>
  <c r="AE141" i="20" s="1"/>
  <c r="AF141" i="20" s="1"/>
  <c r="AA60" i="20"/>
  <c r="J60" i="20"/>
  <c r="K60" i="20" s="1"/>
  <c r="L60" i="20" s="1"/>
  <c r="M60" i="20" s="1"/>
  <c r="N60" i="20" s="1"/>
  <c r="O60" i="20" s="1"/>
  <c r="H141" i="20" s="1"/>
  <c r="I141" i="20" s="1"/>
  <c r="J141" i="20" s="1"/>
  <c r="K141" i="20" s="1"/>
  <c r="L141" i="20" s="1"/>
  <c r="M141" i="20" s="1"/>
  <c r="N141" i="20" s="1"/>
  <c r="O141" i="20" s="1"/>
  <c r="AC59" i="20"/>
  <c r="AD59" i="20" s="1"/>
  <c r="AE59" i="20" s="1"/>
  <c r="AF59" i="20" s="1"/>
  <c r="Y140" i="20" s="1"/>
  <c r="Z140" i="20" s="1"/>
  <c r="AA140" i="20" s="1"/>
  <c r="AB140" i="20" s="1"/>
  <c r="AC140" i="20" s="1"/>
  <c r="AD140" i="20" s="1"/>
  <c r="AE140" i="20" s="1"/>
  <c r="AF140" i="20" s="1"/>
  <c r="AA59" i="20"/>
  <c r="AB59" i="20" s="1"/>
  <c r="J59" i="20"/>
  <c r="K59" i="20" s="1"/>
  <c r="L59" i="20" s="1"/>
  <c r="M59" i="20" s="1"/>
  <c r="N59" i="20" s="1"/>
  <c r="O59" i="20" s="1"/>
  <c r="H140" i="20" s="1"/>
  <c r="I140" i="20" s="1"/>
  <c r="J140" i="20" s="1"/>
  <c r="K140" i="20" s="1"/>
  <c r="L140" i="20" s="1"/>
  <c r="M140" i="20" s="1"/>
  <c r="N140" i="20" s="1"/>
  <c r="O140" i="20" s="1"/>
  <c r="AD58" i="20"/>
  <c r="AE58" i="20" s="1"/>
  <c r="AF58" i="20" s="1"/>
  <c r="Y139" i="20" s="1"/>
  <c r="Z139" i="20" s="1"/>
  <c r="AA139" i="20" s="1"/>
  <c r="AB139" i="20" s="1"/>
  <c r="AC139" i="20" s="1"/>
  <c r="AD139" i="20" s="1"/>
  <c r="AE139" i="20" s="1"/>
  <c r="AF139" i="20" s="1"/>
  <c r="AB58" i="20"/>
  <c r="AC58" i="20" s="1"/>
  <c r="AA58" i="20"/>
  <c r="J58" i="20"/>
  <c r="K58" i="20" s="1"/>
  <c r="L58" i="20" s="1"/>
  <c r="M58" i="20" s="1"/>
  <c r="N58" i="20" s="1"/>
  <c r="O58" i="20" s="1"/>
  <c r="H139" i="20" s="1"/>
  <c r="I139" i="20" s="1"/>
  <c r="J139" i="20" s="1"/>
  <c r="K139" i="20" s="1"/>
  <c r="L139" i="20" s="1"/>
  <c r="M139" i="20" s="1"/>
  <c r="N139" i="20" s="1"/>
  <c r="O139" i="20" s="1"/>
  <c r="AA57" i="20"/>
  <c r="AB57" i="20" s="1"/>
  <c r="AC57" i="20" s="1"/>
  <c r="AD57" i="20" s="1"/>
  <c r="AE57" i="20" s="1"/>
  <c r="AF57" i="20" s="1"/>
  <c r="Y138" i="20" s="1"/>
  <c r="Z138" i="20" s="1"/>
  <c r="AA138" i="20" s="1"/>
  <c r="AB138" i="20" s="1"/>
  <c r="AC138" i="20" s="1"/>
  <c r="AD138" i="20" s="1"/>
  <c r="AE138" i="20" s="1"/>
  <c r="AF138" i="20" s="1"/>
  <c r="I57" i="20"/>
  <c r="J57" i="20" s="1"/>
  <c r="K57" i="20" s="1"/>
  <c r="L57" i="20" s="1"/>
  <c r="M57" i="20" s="1"/>
  <c r="N57" i="20" s="1"/>
  <c r="O57" i="20" s="1"/>
  <c r="H138" i="20" s="1"/>
  <c r="I138" i="20" s="1"/>
  <c r="J138" i="20" s="1"/>
  <c r="K138" i="20" s="1"/>
  <c r="L138" i="20" s="1"/>
  <c r="M138" i="20" s="1"/>
  <c r="N138" i="20" s="1"/>
  <c r="O138" i="20" s="1"/>
  <c r="AA56" i="20"/>
  <c r="AB56" i="20" s="1"/>
  <c r="AC56" i="20" s="1"/>
  <c r="AD56" i="20" s="1"/>
  <c r="AE56" i="20" s="1"/>
  <c r="AF56" i="20" s="1"/>
  <c r="Y137" i="20" s="1"/>
  <c r="Z137" i="20" s="1"/>
  <c r="AA137" i="20" s="1"/>
  <c r="AB137" i="20" s="1"/>
  <c r="AC137" i="20" s="1"/>
  <c r="AD137" i="20" s="1"/>
  <c r="AE137" i="20" s="1"/>
  <c r="AF137" i="20" s="1"/>
  <c r="J56" i="20"/>
  <c r="K56" i="20" s="1"/>
  <c r="L56" i="20" s="1"/>
  <c r="M56" i="20" s="1"/>
  <c r="N56" i="20" s="1"/>
  <c r="O56" i="20" s="1"/>
  <c r="H137" i="20" s="1"/>
  <c r="I137" i="20" s="1"/>
  <c r="J137" i="20" s="1"/>
  <c r="K137" i="20" s="1"/>
  <c r="L137" i="20" s="1"/>
  <c r="M137" i="20" s="1"/>
  <c r="N137" i="20" s="1"/>
  <c r="O137" i="20" s="1"/>
  <c r="AA55" i="20"/>
  <c r="AB55" i="20" s="1"/>
  <c r="AC55" i="20" s="1"/>
  <c r="AD55" i="20" s="1"/>
  <c r="AE55" i="20" s="1"/>
  <c r="AF55" i="20" s="1"/>
  <c r="Y136" i="20" s="1"/>
  <c r="Z136" i="20" s="1"/>
  <c r="AA136" i="20" s="1"/>
  <c r="AB136" i="20" s="1"/>
  <c r="AC136" i="20" s="1"/>
  <c r="AD136" i="20" s="1"/>
  <c r="AE136" i="20" s="1"/>
  <c r="AF136" i="20" s="1"/>
  <c r="J55" i="20"/>
  <c r="K55" i="20" s="1"/>
  <c r="L55" i="20" s="1"/>
  <c r="M55" i="20" s="1"/>
  <c r="N55" i="20" s="1"/>
  <c r="O55" i="20" s="1"/>
  <c r="H136" i="20" s="1"/>
  <c r="I136" i="20" s="1"/>
  <c r="J136" i="20" s="1"/>
  <c r="K136" i="20" s="1"/>
  <c r="L136" i="20" s="1"/>
  <c r="M136" i="20" s="1"/>
  <c r="N136" i="20" s="1"/>
  <c r="O136" i="20" s="1"/>
  <c r="AA54" i="20"/>
  <c r="AB54" i="20" s="1"/>
  <c r="AC54" i="20" s="1"/>
  <c r="AD54" i="20" s="1"/>
  <c r="AE54" i="20" s="1"/>
  <c r="AF54" i="20" s="1"/>
  <c r="Y135" i="20" s="1"/>
  <c r="Z135" i="20" s="1"/>
  <c r="AA135" i="20" s="1"/>
  <c r="AB135" i="20" s="1"/>
  <c r="AC135" i="20" s="1"/>
  <c r="AD135" i="20" s="1"/>
  <c r="AE135" i="20" s="1"/>
  <c r="AF135" i="20" s="1"/>
  <c r="J54" i="20"/>
  <c r="K54" i="20" s="1"/>
  <c r="L54" i="20" s="1"/>
  <c r="M54" i="20" s="1"/>
  <c r="N54" i="20" s="1"/>
  <c r="O54" i="20" s="1"/>
  <c r="H135" i="20" s="1"/>
  <c r="I135" i="20" s="1"/>
  <c r="J135" i="20" s="1"/>
  <c r="K135" i="20" s="1"/>
  <c r="L135" i="20" s="1"/>
  <c r="M135" i="20" s="1"/>
  <c r="N135" i="20" s="1"/>
  <c r="O135" i="20" s="1"/>
  <c r="AA53" i="20"/>
  <c r="AB53" i="20" s="1"/>
  <c r="AC53" i="20" s="1"/>
  <c r="AD53" i="20" s="1"/>
  <c r="AE53" i="20" s="1"/>
  <c r="AF53" i="20" s="1"/>
  <c r="Y134" i="20" s="1"/>
  <c r="Z134" i="20" s="1"/>
  <c r="AA134" i="20" s="1"/>
  <c r="AB134" i="20" s="1"/>
  <c r="AC134" i="20" s="1"/>
  <c r="AD134" i="20" s="1"/>
  <c r="AE134" i="20" s="1"/>
  <c r="AF134" i="20" s="1"/>
  <c r="J53" i="20"/>
  <c r="K53" i="20" s="1"/>
  <c r="L53" i="20" s="1"/>
  <c r="M53" i="20" s="1"/>
  <c r="N53" i="20" s="1"/>
  <c r="O53" i="20" s="1"/>
  <c r="H134" i="20" s="1"/>
  <c r="I134" i="20" s="1"/>
  <c r="J134" i="20" s="1"/>
  <c r="K134" i="20" s="1"/>
  <c r="L134" i="20" s="1"/>
  <c r="M134" i="20" s="1"/>
  <c r="N134" i="20" s="1"/>
  <c r="O134" i="20" s="1"/>
  <c r="AA52" i="20"/>
  <c r="AB52" i="20" s="1"/>
  <c r="AC52" i="20" s="1"/>
  <c r="AD52" i="20" s="1"/>
  <c r="AE52" i="20" s="1"/>
  <c r="AF52" i="20" s="1"/>
  <c r="Y133" i="20" s="1"/>
  <c r="Z133" i="20" s="1"/>
  <c r="AA133" i="20" s="1"/>
  <c r="AB133" i="20" s="1"/>
  <c r="AC133" i="20" s="1"/>
  <c r="AD133" i="20" s="1"/>
  <c r="AE133" i="20" s="1"/>
  <c r="AF133" i="20" s="1"/>
  <c r="Z52" i="20"/>
  <c r="Y42" i="34" s="1"/>
  <c r="Z42" i="34" s="1"/>
  <c r="AA42" i="34" s="1"/>
  <c r="AB42" i="34" s="1"/>
  <c r="AC42" i="34" s="1"/>
  <c r="AD42" i="34" s="1"/>
  <c r="AE42" i="34" s="1"/>
  <c r="X123" i="34" s="1"/>
  <c r="Y123" i="34" s="1"/>
  <c r="Z123" i="34" s="1"/>
  <c r="AA123" i="34" s="1"/>
  <c r="AB123" i="34" s="1"/>
  <c r="AC123" i="34" s="1"/>
  <c r="AD123" i="34" s="1"/>
  <c r="AE123" i="34" s="1"/>
  <c r="J52" i="20"/>
  <c r="K52" i="20" s="1"/>
  <c r="L52" i="20" s="1"/>
  <c r="M52" i="20" s="1"/>
  <c r="N52" i="20" s="1"/>
  <c r="O52" i="20" s="1"/>
  <c r="H133" i="20" s="1"/>
  <c r="I133" i="20" s="1"/>
  <c r="J133" i="20" s="1"/>
  <c r="K133" i="20" s="1"/>
  <c r="L133" i="20" s="1"/>
  <c r="M133" i="20" s="1"/>
  <c r="N133" i="20" s="1"/>
  <c r="O133" i="20" s="1"/>
  <c r="I52" i="20"/>
  <c r="I42" i="34" s="1"/>
  <c r="J42" i="34" s="1"/>
  <c r="K42" i="34" s="1"/>
  <c r="L42" i="34" s="1"/>
  <c r="M42" i="34" s="1"/>
  <c r="N42" i="34" s="1"/>
  <c r="O42" i="34" s="1"/>
  <c r="H123" i="34" s="1"/>
  <c r="I123" i="34" s="1"/>
  <c r="J123" i="34" s="1"/>
  <c r="K123" i="34" s="1"/>
  <c r="L123" i="34" s="1"/>
  <c r="M123" i="34" s="1"/>
  <c r="N123" i="34" s="1"/>
  <c r="O123" i="34" s="1"/>
  <c r="AB51" i="20"/>
  <c r="AC51" i="20" s="1"/>
  <c r="AD51" i="20" s="1"/>
  <c r="AE51" i="20" s="1"/>
  <c r="AF51" i="20" s="1"/>
  <c r="Y132" i="20" s="1"/>
  <c r="Z132" i="20" s="1"/>
  <c r="AA132" i="20" s="1"/>
  <c r="AB132" i="20" s="1"/>
  <c r="AC132" i="20" s="1"/>
  <c r="AD132" i="20" s="1"/>
  <c r="AE132" i="20" s="1"/>
  <c r="AF132" i="20" s="1"/>
  <c r="AA51" i="20"/>
  <c r="J51" i="20"/>
  <c r="K51" i="20" s="1"/>
  <c r="L51" i="20" s="1"/>
  <c r="M51" i="20" s="1"/>
  <c r="N51" i="20" s="1"/>
  <c r="O51" i="20" s="1"/>
  <c r="H132" i="20" s="1"/>
  <c r="I132" i="20" s="1"/>
  <c r="J132" i="20" s="1"/>
  <c r="K132" i="20" s="1"/>
  <c r="L132" i="20" s="1"/>
  <c r="M132" i="20" s="1"/>
  <c r="N132" i="20" s="1"/>
  <c r="O132" i="20" s="1"/>
  <c r="Z50" i="20"/>
  <c r="J50" i="20"/>
  <c r="K50" i="20" s="1"/>
  <c r="L50" i="20" s="1"/>
  <c r="M50" i="20" s="1"/>
  <c r="N50" i="20" s="1"/>
  <c r="O50" i="20" s="1"/>
  <c r="H131" i="20" s="1"/>
  <c r="I131" i="20" s="1"/>
  <c r="J131" i="20" s="1"/>
  <c r="K131" i="20" s="1"/>
  <c r="L131" i="20" s="1"/>
  <c r="M131" i="20" s="1"/>
  <c r="N131" i="20" s="1"/>
  <c r="O131" i="20" s="1"/>
  <c r="AB49" i="20"/>
  <c r="AC49" i="20" s="1"/>
  <c r="AD49" i="20" s="1"/>
  <c r="AE49" i="20" s="1"/>
  <c r="AF49" i="20" s="1"/>
  <c r="Y130" i="20" s="1"/>
  <c r="Z130" i="20" s="1"/>
  <c r="AA130" i="20" s="1"/>
  <c r="AB130" i="20" s="1"/>
  <c r="AC130" i="20" s="1"/>
  <c r="AD130" i="20" s="1"/>
  <c r="AE130" i="20" s="1"/>
  <c r="AF130" i="20" s="1"/>
  <c r="AA49" i="20"/>
  <c r="J49" i="20"/>
  <c r="K49" i="20" s="1"/>
  <c r="L49" i="20" s="1"/>
  <c r="M49" i="20" s="1"/>
  <c r="N49" i="20" s="1"/>
  <c r="O49" i="20" s="1"/>
  <c r="H130" i="20" s="1"/>
  <c r="I130" i="20" s="1"/>
  <c r="J130" i="20" s="1"/>
  <c r="K130" i="20" s="1"/>
  <c r="L130" i="20" s="1"/>
  <c r="M130" i="20" s="1"/>
  <c r="N130" i="20" s="1"/>
  <c r="O130" i="20" s="1"/>
  <c r="AA48" i="20"/>
  <c r="AB48" i="20" s="1"/>
  <c r="AC48" i="20" s="1"/>
  <c r="AD48" i="20" s="1"/>
  <c r="AE48" i="20" s="1"/>
  <c r="AF48" i="20" s="1"/>
  <c r="Y129" i="20" s="1"/>
  <c r="Z129" i="20" s="1"/>
  <c r="AA129" i="20" s="1"/>
  <c r="AB129" i="20" s="1"/>
  <c r="AC129" i="20" s="1"/>
  <c r="AD129" i="20" s="1"/>
  <c r="AE129" i="20" s="1"/>
  <c r="AF129" i="20" s="1"/>
  <c r="I48" i="20"/>
  <c r="J48" i="20" s="1"/>
  <c r="K48" i="20" s="1"/>
  <c r="L48" i="20" s="1"/>
  <c r="M48" i="20" s="1"/>
  <c r="N48" i="20" s="1"/>
  <c r="O48" i="20" s="1"/>
  <c r="H129" i="20" s="1"/>
  <c r="I129" i="20" s="1"/>
  <c r="J129" i="20" s="1"/>
  <c r="K129" i="20" s="1"/>
  <c r="L129" i="20" s="1"/>
  <c r="M129" i="20" s="1"/>
  <c r="N129" i="20" s="1"/>
  <c r="O129" i="20" s="1"/>
  <c r="Z47" i="20"/>
  <c r="AA47" i="20" s="1"/>
  <c r="AB47" i="20" s="1"/>
  <c r="AC47" i="20" s="1"/>
  <c r="AD47" i="20" s="1"/>
  <c r="AE47" i="20" s="1"/>
  <c r="AF47" i="20" s="1"/>
  <c r="Y128" i="20" s="1"/>
  <c r="Z128" i="20" s="1"/>
  <c r="AA128" i="20" s="1"/>
  <c r="AB128" i="20" s="1"/>
  <c r="AC128" i="20" s="1"/>
  <c r="AD128" i="20" s="1"/>
  <c r="AE128" i="20" s="1"/>
  <c r="AF128" i="20" s="1"/>
  <c r="J47" i="20"/>
  <c r="K47" i="20" s="1"/>
  <c r="L47" i="20" s="1"/>
  <c r="M47" i="20" s="1"/>
  <c r="N47" i="20" s="1"/>
  <c r="O47" i="20" s="1"/>
  <c r="H128" i="20" s="1"/>
  <c r="I128" i="20" s="1"/>
  <c r="J128" i="20" s="1"/>
  <c r="K128" i="20" s="1"/>
  <c r="L128" i="20" s="1"/>
  <c r="M128" i="20" s="1"/>
  <c r="N128" i="20" s="1"/>
  <c r="O128" i="20" s="1"/>
  <c r="I47" i="20"/>
  <c r="CG2" i="40" s="1"/>
  <c r="Z46" i="20"/>
  <c r="I46" i="20"/>
  <c r="CF2" i="40" s="1"/>
  <c r="AF41" i="20"/>
  <c r="AE41" i="20"/>
  <c r="AD41" i="20"/>
  <c r="AC41" i="20"/>
  <c r="AB41" i="20"/>
  <c r="AA41" i="20"/>
  <c r="Z41" i="20"/>
  <c r="O41" i="20"/>
  <c r="N41" i="20"/>
  <c r="M41" i="20"/>
  <c r="L41" i="20"/>
  <c r="K41" i="20"/>
  <c r="J41" i="20"/>
  <c r="I41" i="20"/>
  <c r="Z35" i="20"/>
  <c r="I35" i="20"/>
  <c r="AB32" i="20"/>
  <c r="AC32" i="20" s="1"/>
  <c r="AD32" i="20" s="1"/>
  <c r="AE32" i="20" s="1"/>
  <c r="AF32" i="20" s="1"/>
  <c r="Y113" i="20" s="1"/>
  <c r="Z113" i="20" s="1"/>
  <c r="AA113" i="20" s="1"/>
  <c r="AB113" i="20" s="1"/>
  <c r="AC113" i="20" s="1"/>
  <c r="AD113" i="20" s="1"/>
  <c r="AE113" i="20" s="1"/>
  <c r="AF113" i="20" s="1"/>
  <c r="AA32" i="20"/>
  <c r="J32" i="20"/>
  <c r="K32" i="20" s="1"/>
  <c r="L32" i="20" s="1"/>
  <c r="M32" i="20" s="1"/>
  <c r="N32" i="20" s="1"/>
  <c r="O32" i="20" s="1"/>
  <c r="H113" i="20" s="1"/>
  <c r="I113" i="20" s="1"/>
  <c r="J113" i="20" s="1"/>
  <c r="K113" i="20" s="1"/>
  <c r="L113" i="20" s="1"/>
  <c r="M113" i="20" s="1"/>
  <c r="N113" i="20" s="1"/>
  <c r="O113" i="20" s="1"/>
  <c r="AA31" i="20"/>
  <c r="AB31" i="20" s="1"/>
  <c r="AC31" i="20" s="1"/>
  <c r="AD31" i="20" s="1"/>
  <c r="AE31" i="20" s="1"/>
  <c r="AF31" i="20" s="1"/>
  <c r="Y112" i="20" s="1"/>
  <c r="Z112" i="20" s="1"/>
  <c r="AA112" i="20" s="1"/>
  <c r="AB112" i="20" s="1"/>
  <c r="AC112" i="20" s="1"/>
  <c r="AD112" i="20" s="1"/>
  <c r="AE112" i="20" s="1"/>
  <c r="AF112" i="20" s="1"/>
  <c r="T31" i="20"/>
  <c r="T112" i="20" s="1"/>
  <c r="J31" i="20"/>
  <c r="K31" i="20" s="1"/>
  <c r="L31" i="20" s="1"/>
  <c r="M31" i="20" s="1"/>
  <c r="N31" i="20" s="1"/>
  <c r="O31" i="20" s="1"/>
  <c r="H112" i="20" s="1"/>
  <c r="I112" i="20" s="1"/>
  <c r="J112" i="20" s="1"/>
  <c r="K112" i="20" s="1"/>
  <c r="L112" i="20" s="1"/>
  <c r="M112" i="20" s="1"/>
  <c r="N112" i="20" s="1"/>
  <c r="O112" i="20" s="1"/>
  <c r="Z30" i="20"/>
  <c r="I30" i="20"/>
  <c r="AA29" i="20"/>
  <c r="AB29" i="20" s="1"/>
  <c r="AC29" i="20" s="1"/>
  <c r="AD29" i="20" s="1"/>
  <c r="AE29" i="20" s="1"/>
  <c r="AF29" i="20" s="1"/>
  <c r="Y110" i="20" s="1"/>
  <c r="Z110" i="20" s="1"/>
  <c r="AA110" i="20" s="1"/>
  <c r="AB110" i="20" s="1"/>
  <c r="AC110" i="20" s="1"/>
  <c r="AD110" i="20" s="1"/>
  <c r="AE110" i="20" s="1"/>
  <c r="AF110" i="20" s="1"/>
  <c r="Z29" i="20"/>
  <c r="I29" i="20"/>
  <c r="J29" i="20" s="1"/>
  <c r="K29" i="20" s="1"/>
  <c r="L29" i="20" s="1"/>
  <c r="M29" i="20" s="1"/>
  <c r="N29" i="20" s="1"/>
  <c r="O29" i="20" s="1"/>
  <c r="H110" i="20" s="1"/>
  <c r="I110" i="20" s="1"/>
  <c r="J110" i="20" s="1"/>
  <c r="K110" i="20" s="1"/>
  <c r="L110" i="20" s="1"/>
  <c r="M110" i="20" s="1"/>
  <c r="N110" i="20" s="1"/>
  <c r="O110" i="20" s="1"/>
  <c r="Z28" i="20"/>
  <c r="AA28" i="20" s="1"/>
  <c r="AB28" i="20" s="1"/>
  <c r="AC28" i="20" s="1"/>
  <c r="I28" i="20"/>
  <c r="J28" i="20" s="1"/>
  <c r="K28" i="20" s="1"/>
  <c r="T21" i="20"/>
  <c r="D21" i="20"/>
  <c r="P43" i="19"/>
  <c r="O43" i="19"/>
  <c r="N43" i="19"/>
  <c r="M43" i="19"/>
  <c r="K43" i="19"/>
  <c r="P31" i="19"/>
  <c r="O31" i="19"/>
  <c r="N31" i="19"/>
  <c r="P29" i="19"/>
  <c r="O29" i="19"/>
  <c r="N29" i="19"/>
  <c r="M29" i="19"/>
  <c r="K29" i="19"/>
  <c r="K28" i="19"/>
  <c r="J28" i="19"/>
  <c r="H28" i="19"/>
  <c r="K27" i="19"/>
  <c r="J27" i="19"/>
  <c r="H27" i="19"/>
  <c r="K26" i="19"/>
  <c r="J26" i="19"/>
  <c r="H26" i="19"/>
  <c r="K25" i="19"/>
  <c r="J25" i="19"/>
  <c r="H25" i="19"/>
  <c r="K24" i="19"/>
  <c r="J24" i="19"/>
  <c r="H24" i="19"/>
  <c r="K23" i="19"/>
  <c r="J23" i="19"/>
  <c r="H23" i="19"/>
  <c r="K22" i="19"/>
  <c r="J22" i="19"/>
  <c r="H22" i="19"/>
  <c r="K21" i="19"/>
  <c r="J21" i="19"/>
  <c r="H21" i="19"/>
  <c r="K20" i="19"/>
  <c r="J20" i="19"/>
  <c r="H20" i="19"/>
  <c r="P19" i="19"/>
  <c r="O19" i="19"/>
  <c r="N19" i="19"/>
  <c r="D15" i="19"/>
  <c r="X31" i="18"/>
  <c r="K31" i="18"/>
  <c r="X29" i="18"/>
  <c r="K29" i="18"/>
  <c r="X28" i="18"/>
  <c r="W28" i="18"/>
  <c r="U28" i="18"/>
  <c r="K28" i="18"/>
  <c r="J28" i="18"/>
  <c r="H28" i="18"/>
  <c r="X27" i="18"/>
  <c r="W27" i="18"/>
  <c r="U27" i="18"/>
  <c r="K27" i="18"/>
  <c r="J27" i="18"/>
  <c r="H27" i="18"/>
  <c r="X26" i="18"/>
  <c r="W26" i="18"/>
  <c r="U26" i="18"/>
  <c r="K26" i="18"/>
  <c r="J26" i="18"/>
  <c r="H26" i="18"/>
  <c r="X25" i="18"/>
  <c r="W25" i="18"/>
  <c r="U25" i="18"/>
  <c r="K25" i="18"/>
  <c r="J25" i="18"/>
  <c r="H25" i="18"/>
  <c r="X24" i="18"/>
  <c r="W24" i="18"/>
  <c r="U24" i="18"/>
  <c r="K24" i="18"/>
  <c r="J24" i="18"/>
  <c r="H24" i="18"/>
  <c r="X20" i="18"/>
  <c r="K20" i="18"/>
  <c r="X19" i="18"/>
  <c r="W19" i="18"/>
  <c r="U19" i="18"/>
  <c r="K19" i="18"/>
  <c r="J19" i="18"/>
  <c r="H19" i="18"/>
  <c r="X18" i="18"/>
  <c r="W18" i="18"/>
  <c r="U18" i="18"/>
  <c r="K18" i="18"/>
  <c r="J18" i="18"/>
  <c r="H18" i="18"/>
  <c r="F18" i="18"/>
  <c r="X17" i="18"/>
  <c r="W17" i="18"/>
  <c r="U17" i="18"/>
  <c r="K17" i="18"/>
  <c r="J17" i="18"/>
  <c r="H17" i="18"/>
  <c r="X16" i="18"/>
  <c r="W16" i="18"/>
  <c r="U16" i="18"/>
  <c r="K16" i="18"/>
  <c r="J16" i="18"/>
  <c r="H16" i="18"/>
  <c r="X15" i="18"/>
  <c r="W15" i="18"/>
  <c r="U15" i="18"/>
  <c r="K15" i="18"/>
  <c r="J15" i="18"/>
  <c r="H15" i="18"/>
  <c r="Q11" i="18"/>
  <c r="D11" i="18"/>
  <c r="H36" i="17"/>
  <c r="G36" i="17"/>
  <c r="F36" i="17"/>
  <c r="H35" i="17"/>
  <c r="H34" i="17"/>
  <c r="H33" i="17"/>
  <c r="H28" i="17"/>
  <c r="G28" i="17"/>
  <c r="F28" i="17"/>
  <c r="H27" i="17"/>
  <c r="H26" i="17"/>
  <c r="H25" i="17"/>
  <c r="H24" i="17"/>
  <c r="H23" i="17"/>
  <c r="H18" i="17"/>
  <c r="G18" i="17"/>
  <c r="F18" i="17"/>
  <c r="H17" i="17"/>
  <c r="H16" i="17"/>
  <c r="H15" i="17"/>
  <c r="H14" i="17"/>
  <c r="D9" i="17"/>
  <c r="AB24" i="16"/>
  <c r="M24" i="16"/>
  <c r="AC23" i="16"/>
  <c r="AB23" i="16"/>
  <c r="AA23" i="16"/>
  <c r="S23" i="16"/>
  <c r="N23" i="16"/>
  <c r="M23" i="16"/>
  <c r="L23" i="16"/>
  <c r="D23" i="16"/>
  <c r="AC22" i="16"/>
  <c r="AB22" i="16"/>
  <c r="AA22" i="16"/>
  <c r="Z22" i="16"/>
  <c r="X22" i="16"/>
  <c r="N22" i="16"/>
  <c r="M22" i="16"/>
  <c r="L22" i="16"/>
  <c r="K22" i="16"/>
  <c r="I22" i="16"/>
  <c r="AC20" i="16"/>
  <c r="AB20" i="16"/>
  <c r="AA20" i="16"/>
  <c r="Z20" i="16"/>
  <c r="X20" i="16"/>
  <c r="N20" i="16"/>
  <c r="M20" i="16"/>
  <c r="L20" i="16"/>
  <c r="K20" i="16"/>
  <c r="I20" i="16"/>
  <c r="AC19" i="16"/>
  <c r="AB19" i="16"/>
  <c r="AA19" i="16"/>
  <c r="Z19" i="16"/>
  <c r="X19" i="16"/>
  <c r="N19" i="16"/>
  <c r="M19" i="16"/>
  <c r="L19" i="16"/>
  <c r="K19" i="16"/>
  <c r="I19" i="16"/>
  <c r="AC18" i="16"/>
  <c r="AB18" i="16"/>
  <c r="AA18" i="16"/>
  <c r="Z18" i="16"/>
  <c r="X18" i="16"/>
  <c r="N18" i="16"/>
  <c r="M18" i="16"/>
  <c r="L18" i="16"/>
  <c r="K18" i="16"/>
  <c r="I18" i="16"/>
  <c r="AC17" i="16"/>
  <c r="AB17" i="16"/>
  <c r="AA17" i="16"/>
  <c r="Z17" i="16"/>
  <c r="X17" i="16"/>
  <c r="N17" i="16"/>
  <c r="M17" i="16"/>
  <c r="L17" i="16"/>
  <c r="K17" i="16"/>
  <c r="I17" i="16"/>
  <c r="AC16" i="16"/>
  <c r="AB16" i="16"/>
  <c r="AA16" i="16"/>
  <c r="Z16" i="16"/>
  <c r="X16" i="16"/>
  <c r="N16" i="16"/>
  <c r="M16" i="16"/>
  <c r="L16" i="16"/>
  <c r="K16" i="16"/>
  <c r="I16" i="16"/>
  <c r="AC15" i="16"/>
  <c r="AB15" i="16"/>
  <c r="AA15" i="16"/>
  <c r="Z15" i="16"/>
  <c r="X15" i="16"/>
  <c r="N15" i="16"/>
  <c r="M15" i="16"/>
  <c r="L15" i="16"/>
  <c r="K15" i="16"/>
  <c r="I15" i="16"/>
  <c r="AC14" i="16"/>
  <c r="AB14" i="16"/>
  <c r="AA14" i="16"/>
  <c r="Z14" i="16"/>
  <c r="X14" i="16"/>
  <c r="N14" i="16"/>
  <c r="M14" i="16"/>
  <c r="L14" i="16"/>
  <c r="K14" i="16"/>
  <c r="I14" i="16"/>
  <c r="AC13" i="16"/>
  <c r="AB13" i="16"/>
  <c r="AA13" i="16"/>
  <c r="Z13" i="16"/>
  <c r="X13" i="16"/>
  <c r="N13" i="16"/>
  <c r="M13" i="16"/>
  <c r="L13" i="16"/>
  <c r="K13" i="16"/>
  <c r="I13" i="16"/>
  <c r="AC12" i="16"/>
  <c r="AB12" i="16"/>
  <c r="AA12" i="16"/>
  <c r="Z12" i="16"/>
  <c r="X12" i="16"/>
  <c r="N12" i="16"/>
  <c r="M12" i="16"/>
  <c r="L12" i="16"/>
  <c r="K12" i="16"/>
  <c r="I12" i="16"/>
  <c r="AC11" i="16"/>
  <c r="AB11" i="16"/>
  <c r="AA11" i="16"/>
  <c r="Z11" i="16"/>
  <c r="X11" i="16"/>
  <c r="N11" i="16"/>
  <c r="M11" i="16"/>
  <c r="L11" i="16"/>
  <c r="K11" i="16"/>
  <c r="I11" i="16"/>
  <c r="AC10" i="16"/>
  <c r="AB10" i="16"/>
  <c r="AA10" i="16"/>
  <c r="Z10" i="16"/>
  <c r="X10" i="16"/>
  <c r="N10" i="16"/>
  <c r="M10" i="16"/>
  <c r="L10" i="16"/>
  <c r="K10" i="16"/>
  <c r="I10" i="16"/>
  <c r="AC9" i="16"/>
  <c r="AB9" i="16"/>
  <c r="AA9" i="16"/>
  <c r="Z9" i="16"/>
  <c r="X9" i="16"/>
  <c r="N9" i="16"/>
  <c r="M9" i="16"/>
  <c r="L9" i="16"/>
  <c r="K9" i="16"/>
  <c r="I9" i="16"/>
  <c r="AC8" i="16"/>
  <c r="AB8" i="16"/>
  <c r="AA8" i="16"/>
  <c r="Z8" i="16"/>
  <c r="X8" i="16"/>
  <c r="N8" i="16"/>
  <c r="M8" i="16"/>
  <c r="L8" i="16"/>
  <c r="K8" i="16"/>
  <c r="I8" i="16"/>
  <c r="S5" i="16"/>
  <c r="D5" i="16"/>
  <c r="AA102" i="15"/>
  <c r="X102" i="15"/>
  <c r="W102" i="15"/>
  <c r="U102" i="15"/>
  <c r="J102" i="15"/>
  <c r="AA100" i="15"/>
  <c r="Z100" i="15"/>
  <c r="Y100" i="15"/>
  <c r="X100" i="15"/>
  <c r="W100" i="15"/>
  <c r="V100" i="15"/>
  <c r="U100" i="15"/>
  <c r="T100" i="15"/>
  <c r="L100" i="15"/>
  <c r="K100" i="15"/>
  <c r="J100" i="15"/>
  <c r="I100" i="15"/>
  <c r="H100" i="15"/>
  <c r="G100" i="15"/>
  <c r="G102" i="15" s="1"/>
  <c r="F100" i="15"/>
  <c r="E100" i="15"/>
  <c r="AB98" i="15"/>
  <c r="M98" i="15"/>
  <c r="AB97" i="15"/>
  <c r="M97" i="15"/>
  <c r="AB96" i="15"/>
  <c r="M96" i="15"/>
  <c r="I96" i="15"/>
  <c r="AB95" i="15"/>
  <c r="M95" i="15"/>
  <c r="AB94" i="15"/>
  <c r="Y94" i="15"/>
  <c r="X94" i="15"/>
  <c r="W94" i="15"/>
  <c r="U94" i="15"/>
  <c r="T94" i="15"/>
  <c r="M94" i="15"/>
  <c r="K94" i="15"/>
  <c r="I94" i="15"/>
  <c r="G94" i="15"/>
  <c r="F94" i="15"/>
  <c r="E94" i="15"/>
  <c r="AB93" i="15"/>
  <c r="M93" i="15"/>
  <c r="AB92" i="15"/>
  <c r="W92" i="15"/>
  <c r="U92" i="15"/>
  <c r="T92" i="15"/>
  <c r="M92" i="15"/>
  <c r="K92" i="15"/>
  <c r="H92" i="15"/>
  <c r="G92" i="15"/>
  <c r="F92" i="15"/>
  <c r="E92" i="15"/>
  <c r="AB91" i="15"/>
  <c r="M91" i="15"/>
  <c r="AA88" i="15"/>
  <c r="X88" i="15"/>
  <c r="W88" i="15"/>
  <c r="U88" i="15"/>
  <c r="J88" i="15"/>
  <c r="G88" i="15"/>
  <c r="AA86" i="15"/>
  <c r="Z86" i="15"/>
  <c r="Y86" i="15"/>
  <c r="Y88" i="15" s="1"/>
  <c r="X86" i="15"/>
  <c r="W86" i="15"/>
  <c r="V86" i="15"/>
  <c r="U86" i="15"/>
  <c r="T86" i="15"/>
  <c r="T88" i="15" s="1"/>
  <c r="L86" i="15"/>
  <c r="K86" i="15"/>
  <c r="K88" i="15" s="1"/>
  <c r="J86" i="15"/>
  <c r="I86" i="15"/>
  <c r="I88" i="15" s="1"/>
  <c r="I102" i="15" s="1"/>
  <c r="H86" i="15"/>
  <c r="G86" i="15"/>
  <c r="F86" i="15"/>
  <c r="E86" i="15"/>
  <c r="AB85" i="15"/>
  <c r="R85" i="15"/>
  <c r="M85" i="15"/>
  <c r="C85" i="15"/>
  <c r="AB84" i="15"/>
  <c r="M84" i="15"/>
  <c r="C84" i="15"/>
  <c r="AB83" i="15"/>
  <c r="R83" i="15"/>
  <c r="M83" i="15"/>
  <c r="K83" i="15"/>
  <c r="J83" i="15"/>
  <c r="C83" i="15"/>
  <c r="AB82" i="15"/>
  <c r="M82" i="15"/>
  <c r="C82" i="15"/>
  <c r="AB81" i="15"/>
  <c r="R81" i="15"/>
  <c r="M81" i="15"/>
  <c r="C81" i="15"/>
  <c r="AB80" i="15"/>
  <c r="R80" i="15"/>
  <c r="M80" i="15"/>
  <c r="C80" i="15"/>
  <c r="AB79" i="15"/>
  <c r="R79" i="15"/>
  <c r="M79" i="15"/>
  <c r="K79" i="15"/>
  <c r="C79" i="15"/>
  <c r="AB78" i="15"/>
  <c r="R78" i="15"/>
  <c r="M78" i="15"/>
  <c r="L78" i="15"/>
  <c r="C78" i="15"/>
  <c r="AB75" i="15"/>
  <c r="AA75" i="15"/>
  <c r="Z75" i="15"/>
  <c r="Y75" i="15"/>
  <c r="X75" i="15"/>
  <c r="W75" i="15"/>
  <c r="V75" i="15"/>
  <c r="V88" i="15" s="1"/>
  <c r="U75" i="15"/>
  <c r="T75" i="15"/>
  <c r="L75" i="15"/>
  <c r="K75" i="15"/>
  <c r="J75" i="15"/>
  <c r="I75" i="15"/>
  <c r="H75" i="15"/>
  <c r="H88" i="15" s="1"/>
  <c r="H102" i="15" s="1"/>
  <c r="G75" i="15"/>
  <c r="F75" i="15"/>
  <c r="F88" i="15" s="1"/>
  <c r="E75" i="15"/>
  <c r="AB74" i="15"/>
  <c r="R74" i="15"/>
  <c r="M74" i="15"/>
  <c r="C74" i="15"/>
  <c r="AB73" i="15"/>
  <c r="M73" i="15"/>
  <c r="AB72" i="15"/>
  <c r="Y72" i="15"/>
  <c r="X72" i="15"/>
  <c r="W72" i="15"/>
  <c r="U72" i="15"/>
  <c r="T72" i="15"/>
  <c r="R72" i="15"/>
  <c r="M72" i="15"/>
  <c r="C72" i="15"/>
  <c r="AB71" i="15"/>
  <c r="R71" i="15"/>
  <c r="M71" i="15"/>
  <c r="C71" i="15"/>
  <c r="S66" i="15"/>
  <c r="D66" i="15"/>
  <c r="S64" i="15"/>
  <c r="D64" i="15"/>
  <c r="AA51" i="15"/>
  <c r="Z51" i="15"/>
  <c r="Y51" i="15"/>
  <c r="X51" i="15"/>
  <c r="W51" i="15"/>
  <c r="V51" i="15"/>
  <c r="U51" i="15"/>
  <c r="T51" i="15"/>
  <c r="L51" i="15"/>
  <c r="K51" i="15"/>
  <c r="J51" i="15"/>
  <c r="I51" i="15"/>
  <c r="H51" i="15"/>
  <c r="G51" i="15"/>
  <c r="F51" i="15"/>
  <c r="E51" i="15"/>
  <c r="AA49" i="15"/>
  <c r="Z49" i="15"/>
  <c r="Y49" i="15"/>
  <c r="X49" i="15"/>
  <c r="W49" i="15"/>
  <c r="V49" i="15"/>
  <c r="U49" i="15"/>
  <c r="T49" i="15"/>
  <c r="L49" i="15"/>
  <c r="K49" i="15"/>
  <c r="J49" i="15"/>
  <c r="I49" i="15"/>
  <c r="H49" i="15"/>
  <c r="G49" i="15"/>
  <c r="F49" i="15"/>
  <c r="E49" i="15"/>
  <c r="Z46" i="15"/>
  <c r="K44" i="15"/>
  <c r="AA43" i="15"/>
  <c r="Z43" i="15"/>
  <c r="L43" i="15"/>
  <c r="K43" i="15"/>
  <c r="AA41" i="15"/>
  <c r="Z41" i="15"/>
  <c r="L41" i="15"/>
  <c r="K41" i="15"/>
  <c r="Z40" i="15"/>
  <c r="AA37" i="15"/>
  <c r="Z37" i="15"/>
  <c r="Y37" i="15"/>
  <c r="X37" i="15"/>
  <c r="W37" i="15"/>
  <c r="V37" i="15"/>
  <c r="U37" i="15"/>
  <c r="T37" i="15"/>
  <c r="L37" i="15"/>
  <c r="K37" i="15"/>
  <c r="J37" i="15"/>
  <c r="I37" i="15"/>
  <c r="H37" i="15"/>
  <c r="G37" i="15"/>
  <c r="F37" i="15"/>
  <c r="E37" i="15"/>
  <c r="AA35" i="15"/>
  <c r="Z35" i="15"/>
  <c r="Y35" i="15"/>
  <c r="X35" i="15"/>
  <c r="W35" i="15"/>
  <c r="V35" i="15"/>
  <c r="U35" i="15"/>
  <c r="T35" i="15"/>
  <c r="L35" i="15"/>
  <c r="K35" i="15"/>
  <c r="J35" i="15"/>
  <c r="I35" i="15"/>
  <c r="H35" i="15"/>
  <c r="G35" i="15"/>
  <c r="F35" i="15"/>
  <c r="E35" i="15"/>
  <c r="R34" i="15"/>
  <c r="C34" i="15"/>
  <c r="R33" i="15"/>
  <c r="Z32" i="15"/>
  <c r="R32" i="15"/>
  <c r="K32" i="15"/>
  <c r="C32" i="15"/>
  <c r="C31" i="15"/>
  <c r="R30" i="15"/>
  <c r="C30" i="15"/>
  <c r="R29" i="15"/>
  <c r="K29" i="15"/>
  <c r="C29" i="15"/>
  <c r="AA28" i="15"/>
  <c r="Z28" i="15"/>
  <c r="R28" i="15"/>
  <c r="L28" i="15"/>
  <c r="C28" i="15"/>
  <c r="AA27" i="15"/>
  <c r="R27" i="15"/>
  <c r="C27" i="15"/>
  <c r="AA24" i="15"/>
  <c r="Z24" i="15"/>
  <c r="Y24" i="15"/>
  <c r="X24" i="15"/>
  <c r="W24" i="15"/>
  <c r="V24" i="15"/>
  <c r="U24" i="15"/>
  <c r="T24" i="15"/>
  <c r="L24" i="15"/>
  <c r="K24" i="15"/>
  <c r="J24" i="15"/>
  <c r="I24" i="15"/>
  <c r="H24" i="15"/>
  <c r="G24" i="15"/>
  <c r="F24" i="15"/>
  <c r="E24" i="15"/>
  <c r="R23" i="15"/>
  <c r="C23" i="15"/>
  <c r="R22" i="15"/>
  <c r="C22" i="15"/>
  <c r="AA21" i="15"/>
  <c r="R21" i="15"/>
  <c r="C21" i="15"/>
  <c r="S13" i="15"/>
  <c r="D13" i="15"/>
  <c r="F58" i="14"/>
  <c r="F56" i="14"/>
  <c r="E56" i="14"/>
  <c r="F42" i="14"/>
  <c r="BZ2" i="40" s="1"/>
  <c r="E42" i="14"/>
  <c r="BY2" i="40" s="1"/>
  <c r="F18" i="14"/>
  <c r="E18" i="14"/>
  <c r="F20" i="14" s="1"/>
  <c r="BS2" i="40" s="1"/>
  <c r="D11" i="14"/>
  <c r="I53" i="13"/>
  <c r="I51" i="13"/>
  <c r="I50" i="13"/>
  <c r="I47" i="13"/>
  <c r="I46" i="13"/>
  <c r="I45" i="13"/>
  <c r="I44" i="13"/>
  <c r="I43" i="13"/>
  <c r="I40" i="13"/>
  <c r="I39" i="13"/>
  <c r="I38" i="13"/>
  <c r="I36" i="13"/>
  <c r="I35" i="13"/>
  <c r="I32" i="13"/>
  <c r="I31" i="13"/>
  <c r="I30" i="13"/>
  <c r="I29" i="13"/>
  <c r="I28" i="13"/>
  <c r="I27" i="13"/>
  <c r="I26" i="13"/>
  <c r="I25" i="13"/>
  <c r="I24" i="13"/>
  <c r="I21" i="13"/>
  <c r="I20" i="13"/>
  <c r="I19" i="13"/>
  <c r="I18" i="13"/>
  <c r="I17" i="13"/>
  <c r="I16" i="13"/>
  <c r="I15" i="13"/>
  <c r="I14" i="13"/>
  <c r="I13" i="13"/>
  <c r="I10" i="13"/>
  <c r="I9" i="13"/>
  <c r="E5" i="13"/>
  <c r="G48" i="12"/>
  <c r="F48" i="12"/>
  <c r="G36" i="12"/>
  <c r="F36" i="12"/>
  <c r="G24" i="12"/>
  <c r="F24" i="12"/>
  <c r="G23" i="12"/>
  <c r="G26" i="12" s="1"/>
  <c r="G28" i="12" s="1"/>
  <c r="G30" i="12" s="1"/>
  <c r="G32" i="12" s="1"/>
  <c r="G21" i="12"/>
  <c r="F21" i="12"/>
  <c r="F23" i="12" s="1"/>
  <c r="F26" i="12" s="1"/>
  <c r="F28" i="12" s="1"/>
  <c r="F30" i="12" s="1"/>
  <c r="F32" i="12" s="1"/>
  <c r="G16" i="12"/>
  <c r="F16" i="12"/>
  <c r="E9" i="12"/>
  <c r="W118" i="11"/>
  <c r="V118" i="11"/>
  <c r="K118" i="11"/>
  <c r="J118" i="11"/>
  <c r="U116" i="11"/>
  <c r="U115" i="11"/>
  <c r="I115" i="11"/>
  <c r="U114" i="11"/>
  <c r="U113" i="11"/>
  <c r="I113" i="11"/>
  <c r="U112" i="11"/>
  <c r="I112" i="11"/>
  <c r="U111" i="11"/>
  <c r="I111" i="11"/>
  <c r="U110" i="11"/>
  <c r="I110" i="11"/>
  <c r="U109" i="11"/>
  <c r="W106" i="11"/>
  <c r="V106" i="11"/>
  <c r="K106" i="11"/>
  <c r="J106" i="11"/>
  <c r="U105" i="11"/>
  <c r="I105" i="11"/>
  <c r="U104" i="11"/>
  <c r="U103" i="11"/>
  <c r="I103" i="11"/>
  <c r="U102" i="11"/>
  <c r="I102" i="11"/>
  <c r="U101" i="11"/>
  <c r="I101" i="11"/>
  <c r="U100" i="11"/>
  <c r="I100" i="11"/>
  <c r="U99" i="11"/>
  <c r="U106" i="11" s="1"/>
  <c r="I99" i="11"/>
  <c r="U98" i="11"/>
  <c r="I98" i="11"/>
  <c r="U97" i="11"/>
  <c r="I97" i="11"/>
  <c r="U96" i="11"/>
  <c r="I96" i="11"/>
  <c r="U95" i="11"/>
  <c r="I95" i="11"/>
  <c r="I92" i="11"/>
  <c r="U91" i="11"/>
  <c r="Q91" i="11"/>
  <c r="I91" i="11"/>
  <c r="E91" i="11"/>
  <c r="U90" i="11"/>
  <c r="U92" i="11" s="1"/>
  <c r="I90" i="11"/>
  <c r="U89" i="11"/>
  <c r="I89" i="11"/>
  <c r="I86" i="11"/>
  <c r="U85" i="11"/>
  <c r="Q85" i="11"/>
  <c r="I85" i="11"/>
  <c r="E85" i="11"/>
  <c r="U84" i="11"/>
  <c r="I84" i="11"/>
  <c r="U83" i="11"/>
  <c r="I83" i="11"/>
  <c r="U82" i="11"/>
  <c r="I82" i="11"/>
  <c r="U81" i="11"/>
  <c r="U86" i="11" s="1"/>
  <c r="I81" i="11"/>
  <c r="U80" i="11"/>
  <c r="I80" i="11"/>
  <c r="U79" i="11"/>
  <c r="I79" i="11"/>
  <c r="U78" i="11"/>
  <c r="I78" i="11"/>
  <c r="W75" i="11"/>
  <c r="V75" i="11"/>
  <c r="U75" i="11"/>
  <c r="K75" i="11"/>
  <c r="J75" i="11"/>
  <c r="U74" i="11"/>
  <c r="I74" i="11"/>
  <c r="U73" i="11"/>
  <c r="I73" i="11"/>
  <c r="W72" i="11"/>
  <c r="U72" i="11"/>
  <c r="I72" i="11"/>
  <c r="U71" i="11"/>
  <c r="U70" i="11"/>
  <c r="I70" i="11"/>
  <c r="U67" i="11"/>
  <c r="I67" i="11"/>
  <c r="U66" i="11"/>
  <c r="I66" i="11"/>
  <c r="U65" i="11"/>
  <c r="I65" i="11"/>
  <c r="W62" i="11"/>
  <c r="V62" i="11"/>
  <c r="K62" i="11"/>
  <c r="J62" i="11"/>
  <c r="I62" i="11"/>
  <c r="U61" i="11"/>
  <c r="I61" i="11"/>
  <c r="U60" i="11"/>
  <c r="I60" i="11"/>
  <c r="U59" i="11"/>
  <c r="I59" i="11"/>
  <c r="U58" i="11"/>
  <c r="I58" i="11"/>
  <c r="U57" i="11"/>
  <c r="U62" i="11" s="1"/>
  <c r="I57" i="11"/>
  <c r="U56" i="11"/>
  <c r="I56" i="11"/>
  <c r="U55" i="11"/>
  <c r="I55" i="11"/>
  <c r="U54" i="11"/>
  <c r="I54" i="11"/>
  <c r="U53" i="11"/>
  <c r="I53" i="11"/>
  <c r="U52" i="11"/>
  <c r="I52" i="11"/>
  <c r="U51" i="11"/>
  <c r="I51" i="11"/>
  <c r="U50" i="11"/>
  <c r="I50" i="11"/>
  <c r="U49" i="11"/>
  <c r="I49" i="11"/>
  <c r="W46" i="11"/>
  <c r="V46" i="11"/>
  <c r="U46" i="11"/>
  <c r="K46" i="11"/>
  <c r="J46" i="11"/>
  <c r="I46" i="11"/>
  <c r="U45" i="11"/>
  <c r="Q45" i="11"/>
  <c r="I45" i="11"/>
  <c r="E45" i="11"/>
  <c r="U44" i="11"/>
  <c r="I44" i="11"/>
  <c r="U43" i="11"/>
  <c r="I43" i="11"/>
  <c r="U42" i="11"/>
  <c r="I42" i="11"/>
  <c r="U41" i="11"/>
  <c r="I41" i="11"/>
  <c r="U40" i="11"/>
  <c r="I40" i="11"/>
  <c r="U39" i="11"/>
  <c r="I39" i="11"/>
  <c r="U38" i="11"/>
  <c r="I38" i="11"/>
  <c r="U37" i="11"/>
  <c r="I37" i="11"/>
  <c r="U36" i="11"/>
  <c r="I36" i="11"/>
  <c r="U35" i="11"/>
  <c r="I35" i="11"/>
  <c r="U34" i="11"/>
  <c r="I34" i="11"/>
  <c r="U33" i="11"/>
  <c r="I33" i="11"/>
  <c r="U32" i="11"/>
  <c r="I32" i="11"/>
  <c r="U31" i="11"/>
  <c r="I31" i="11"/>
  <c r="U30" i="11"/>
  <c r="I30" i="11"/>
  <c r="V27" i="11"/>
  <c r="U27" i="11"/>
  <c r="J27" i="11"/>
  <c r="I27" i="11"/>
  <c r="U26" i="11"/>
  <c r="Q26" i="11"/>
  <c r="I26" i="11"/>
  <c r="E26" i="11"/>
  <c r="U25" i="11"/>
  <c r="I25" i="11"/>
  <c r="U24" i="11"/>
  <c r="I24" i="11"/>
  <c r="U23" i="11"/>
  <c r="I23" i="11"/>
  <c r="U22" i="11"/>
  <c r="I22" i="11"/>
  <c r="U21" i="11"/>
  <c r="I21" i="11"/>
  <c r="R13" i="11"/>
  <c r="F13" i="11"/>
  <c r="U111" i="43"/>
  <c r="U109" i="43"/>
  <c r="T109" i="43"/>
  <c r="S109" i="43"/>
  <c r="R109" i="43"/>
  <c r="Q109" i="43"/>
  <c r="S108" i="43"/>
  <c r="P108" i="43"/>
  <c r="S107" i="43"/>
  <c r="P107" i="43"/>
  <c r="I114" i="11" s="1"/>
  <c r="S106" i="43"/>
  <c r="P106" i="43"/>
  <c r="S105" i="43"/>
  <c r="P105" i="43"/>
  <c r="O105" i="43"/>
  <c r="S104" i="43"/>
  <c r="P104" i="43"/>
  <c r="S103" i="43"/>
  <c r="P103" i="43"/>
  <c r="S102" i="43"/>
  <c r="P102" i="43"/>
  <c r="I109" i="11" s="1"/>
  <c r="U98" i="43"/>
  <c r="T98" i="43"/>
  <c r="R98" i="43"/>
  <c r="Q98" i="43"/>
  <c r="P98" i="43"/>
  <c r="S97" i="43"/>
  <c r="P97" i="43"/>
  <c r="O97" i="43"/>
  <c r="S96" i="43"/>
  <c r="P96" i="43"/>
  <c r="I104" i="11" s="1"/>
  <c r="I106" i="11" s="1"/>
  <c r="S95" i="43"/>
  <c r="P95" i="43"/>
  <c r="O95" i="43"/>
  <c r="S94" i="43"/>
  <c r="P94" i="43"/>
  <c r="O94" i="43"/>
  <c r="S93" i="43"/>
  <c r="P93" i="43"/>
  <c r="O93" i="43"/>
  <c r="S92" i="43"/>
  <c r="P92" i="43"/>
  <c r="O92" i="43"/>
  <c r="S91" i="43"/>
  <c r="S98" i="43" s="1"/>
  <c r="P91" i="43"/>
  <c r="S90" i="43"/>
  <c r="P90" i="43"/>
  <c r="O90" i="43"/>
  <c r="S89" i="43"/>
  <c r="P89" i="43"/>
  <c r="O89" i="43"/>
  <c r="S88" i="43"/>
  <c r="P88" i="43"/>
  <c r="S87" i="43"/>
  <c r="P87" i="43"/>
  <c r="O87" i="43"/>
  <c r="U84" i="43"/>
  <c r="T84" i="43"/>
  <c r="R84" i="43"/>
  <c r="Q84" i="43"/>
  <c r="P84" i="43"/>
  <c r="S83" i="43"/>
  <c r="P83" i="43"/>
  <c r="O83" i="43"/>
  <c r="S82" i="43"/>
  <c r="S84" i="43" s="1"/>
  <c r="O84" i="43" s="1"/>
  <c r="P82" i="43"/>
  <c r="O82" i="43"/>
  <c r="S81" i="43"/>
  <c r="P81" i="43"/>
  <c r="O81" i="43"/>
  <c r="U78" i="43"/>
  <c r="T78" i="43"/>
  <c r="R78" i="43"/>
  <c r="Q78" i="43"/>
  <c r="P78" i="43"/>
  <c r="S77" i="43"/>
  <c r="P77" i="43"/>
  <c r="O77" i="43"/>
  <c r="S76" i="43"/>
  <c r="P76" i="43"/>
  <c r="O76" i="43"/>
  <c r="S75" i="43"/>
  <c r="P75" i="43"/>
  <c r="O75" i="43"/>
  <c r="S74" i="43"/>
  <c r="P74" i="43"/>
  <c r="O74" i="43"/>
  <c r="S73" i="43"/>
  <c r="S78" i="43" s="1"/>
  <c r="Q73" i="43"/>
  <c r="P73" i="43"/>
  <c r="S72" i="43"/>
  <c r="P72" i="43"/>
  <c r="O72" i="43"/>
  <c r="S71" i="43"/>
  <c r="P71" i="43"/>
  <c r="O71" i="43"/>
  <c r="S70" i="43"/>
  <c r="P70" i="43"/>
  <c r="O70" i="43"/>
  <c r="U67" i="43"/>
  <c r="T67" i="43"/>
  <c r="R67" i="43"/>
  <c r="Q67" i="43"/>
  <c r="P67" i="43"/>
  <c r="S66" i="43"/>
  <c r="P66" i="43"/>
  <c r="O66" i="43"/>
  <c r="T65" i="43"/>
  <c r="S65" i="43"/>
  <c r="Q65" i="43"/>
  <c r="P65" i="43"/>
  <c r="O65" i="43"/>
  <c r="T64" i="43"/>
  <c r="S64" i="43"/>
  <c r="Q64" i="43"/>
  <c r="P64" i="43"/>
  <c r="O64" i="43"/>
  <c r="S63" i="43"/>
  <c r="S67" i="43" s="1"/>
  <c r="P63" i="43"/>
  <c r="I71" i="11" s="1"/>
  <c r="I75" i="11" s="1"/>
  <c r="O63" i="43"/>
  <c r="T62" i="43"/>
  <c r="S62" i="43"/>
  <c r="P62" i="43"/>
  <c r="U59" i="43"/>
  <c r="T59" i="43"/>
  <c r="S59" i="43"/>
  <c r="R59" i="43"/>
  <c r="Q59" i="43"/>
  <c r="P59" i="43"/>
  <c r="O59" i="43"/>
  <c r="S58" i="43"/>
  <c r="P58" i="43"/>
  <c r="O58" i="43"/>
  <c r="S57" i="43"/>
  <c r="P57" i="43"/>
  <c r="O57" i="43"/>
  <c r="U54" i="43"/>
  <c r="T54" i="43"/>
  <c r="R54" i="43"/>
  <c r="Q54" i="43"/>
  <c r="P54" i="43"/>
  <c r="S53" i="43"/>
  <c r="P53" i="43"/>
  <c r="O53" i="43"/>
  <c r="T52" i="43"/>
  <c r="S52" i="43"/>
  <c r="P52" i="43"/>
  <c r="O52" i="43"/>
  <c r="S51" i="43"/>
  <c r="P51" i="43"/>
  <c r="O51" i="43"/>
  <c r="S50" i="43"/>
  <c r="P50" i="43"/>
  <c r="O50" i="43"/>
  <c r="S49" i="43"/>
  <c r="S54" i="43" s="1"/>
  <c r="O54" i="43" s="1"/>
  <c r="P49" i="43"/>
  <c r="S48" i="43"/>
  <c r="P48" i="43"/>
  <c r="O48" i="43"/>
  <c r="S47" i="43"/>
  <c r="P47" i="43"/>
  <c r="O47" i="43"/>
  <c r="S46" i="43"/>
  <c r="P46" i="43"/>
  <c r="O46" i="43"/>
  <c r="S45" i="43"/>
  <c r="P45" i="43"/>
  <c r="O45" i="43"/>
  <c r="S44" i="43"/>
  <c r="P44" i="43"/>
  <c r="O44" i="43"/>
  <c r="S43" i="43"/>
  <c r="P43" i="43"/>
  <c r="S42" i="43"/>
  <c r="P42" i="43"/>
  <c r="O42" i="43"/>
  <c r="S41" i="43"/>
  <c r="P41" i="43"/>
  <c r="O41" i="43"/>
  <c r="U38" i="43"/>
  <c r="T38" i="43"/>
  <c r="S38" i="43"/>
  <c r="R38" i="43"/>
  <c r="Q38" i="43"/>
  <c r="P38" i="43"/>
  <c r="O38" i="43"/>
  <c r="S37" i="43"/>
  <c r="P37" i="43"/>
  <c r="O37" i="43"/>
  <c r="S36" i="43"/>
  <c r="P36" i="43"/>
  <c r="O36" i="43"/>
  <c r="T35" i="43"/>
  <c r="S35" i="43"/>
  <c r="Q35" i="43"/>
  <c r="P35" i="43"/>
  <c r="O35" i="43"/>
  <c r="S34" i="43"/>
  <c r="P34" i="43"/>
  <c r="O34" i="43"/>
  <c r="S33" i="43"/>
  <c r="P33" i="43"/>
  <c r="O33" i="43"/>
  <c r="S32" i="43"/>
  <c r="P32" i="43"/>
  <c r="O32" i="43"/>
  <c r="S31" i="43"/>
  <c r="P31" i="43"/>
  <c r="O31" i="43"/>
  <c r="S30" i="43"/>
  <c r="P30" i="43"/>
  <c r="O30" i="43"/>
  <c r="S29" i="43"/>
  <c r="P29" i="43"/>
  <c r="O29" i="43"/>
  <c r="S28" i="43"/>
  <c r="P28" i="43"/>
  <c r="O28" i="43"/>
  <c r="S27" i="43"/>
  <c r="P27" i="43"/>
  <c r="O27" i="43"/>
  <c r="S26" i="43"/>
  <c r="P26" i="43"/>
  <c r="O26" i="43"/>
  <c r="T25" i="43"/>
  <c r="S25" i="43"/>
  <c r="Q25" i="43"/>
  <c r="P25" i="43"/>
  <c r="O25" i="43"/>
  <c r="T24" i="43"/>
  <c r="S24" i="43"/>
  <c r="Q24" i="43"/>
  <c r="P24" i="43"/>
  <c r="O24" i="43"/>
  <c r="S23" i="43"/>
  <c r="P23" i="43"/>
  <c r="O23" i="43"/>
  <c r="S22" i="43"/>
  <c r="P22" i="43"/>
  <c r="O22" i="43"/>
  <c r="U19" i="43"/>
  <c r="T19" i="43"/>
  <c r="S19" i="43"/>
  <c r="R19" i="43"/>
  <c r="Q19" i="43"/>
  <c r="P19" i="43"/>
  <c r="O19" i="43"/>
  <c r="S18" i="43"/>
  <c r="P18" i="43"/>
  <c r="O18" i="43"/>
  <c r="S17" i="43"/>
  <c r="P17" i="43"/>
  <c r="O17" i="43"/>
  <c r="T16" i="43"/>
  <c r="S16" i="43"/>
  <c r="P16" i="43"/>
  <c r="O16" i="43"/>
  <c r="S15" i="43"/>
  <c r="P15" i="43"/>
  <c r="O15" i="43"/>
  <c r="S14" i="43"/>
  <c r="P14" i="43"/>
  <c r="O14" i="43"/>
  <c r="S13" i="43"/>
  <c r="P13" i="43"/>
  <c r="O13" i="43"/>
  <c r="S10" i="43"/>
  <c r="P10" i="43"/>
  <c r="H7" i="43"/>
  <c r="I100" i="10"/>
  <c r="I97" i="10"/>
  <c r="I91" i="10"/>
  <c r="I89" i="10"/>
  <c r="I88" i="10"/>
  <c r="I87" i="10"/>
  <c r="I86" i="10"/>
  <c r="I84" i="10"/>
  <c r="I83" i="10"/>
  <c r="I82" i="10"/>
  <c r="I81" i="10"/>
  <c r="I78" i="10"/>
  <c r="I77" i="10"/>
  <c r="I76" i="10"/>
  <c r="I73" i="10"/>
  <c r="I72" i="10"/>
  <c r="I71" i="10"/>
  <c r="I70" i="10"/>
  <c r="I69" i="10"/>
  <c r="I68" i="10"/>
  <c r="I67" i="10"/>
  <c r="I66" i="10"/>
  <c r="I63" i="10"/>
  <c r="I62" i="10"/>
  <c r="I61" i="10"/>
  <c r="I60" i="10"/>
  <c r="I56" i="10"/>
  <c r="I55" i="10"/>
  <c r="I52" i="10"/>
  <c r="I51" i="10"/>
  <c r="I50" i="10"/>
  <c r="I49" i="10"/>
  <c r="I48" i="10"/>
  <c r="I47" i="10"/>
  <c r="I46" i="10"/>
  <c r="I45" i="10"/>
  <c r="I44" i="10"/>
  <c r="I43" i="10"/>
  <c r="I41" i="10"/>
  <c r="I40" i="10"/>
  <c r="I37" i="10"/>
  <c r="I36" i="10"/>
  <c r="I35" i="10"/>
  <c r="I34" i="10"/>
  <c r="I33" i="10"/>
  <c r="I32" i="10"/>
  <c r="I31" i="10"/>
  <c r="I30" i="10"/>
  <c r="I29" i="10"/>
  <c r="I28" i="10"/>
  <c r="I27" i="10"/>
  <c r="I26" i="10"/>
  <c r="I25" i="10"/>
  <c r="I24" i="10"/>
  <c r="I23" i="10"/>
  <c r="I22" i="10"/>
  <c r="I19" i="10"/>
  <c r="I18" i="10"/>
  <c r="I17" i="10"/>
  <c r="I16" i="10"/>
  <c r="I15" i="10"/>
  <c r="I14" i="10"/>
  <c r="F9" i="10"/>
  <c r="X119" i="9"/>
  <c r="W119" i="9"/>
  <c r="V119" i="9"/>
  <c r="R119" i="9"/>
  <c r="Q119" i="9"/>
  <c r="P119" i="9"/>
  <c r="V118" i="9"/>
  <c r="V116" i="9"/>
  <c r="T116" i="9"/>
  <c r="S116" i="9"/>
  <c r="S119" i="9" s="1"/>
  <c r="R116" i="9"/>
  <c r="Q116" i="9"/>
  <c r="P116" i="9"/>
  <c r="O116" i="9"/>
  <c r="N116" i="9"/>
  <c r="M116" i="9"/>
  <c r="L116" i="9"/>
  <c r="V115" i="9"/>
  <c r="K115" i="9"/>
  <c r="J115" i="9"/>
  <c r="O108" i="43" s="1"/>
  <c r="V114" i="9"/>
  <c r="K114" i="9"/>
  <c r="I99" i="10" s="1"/>
  <c r="V113" i="9"/>
  <c r="K113" i="9"/>
  <c r="I98" i="10" s="1"/>
  <c r="J113" i="9"/>
  <c r="O106" i="43" s="1"/>
  <c r="V112" i="9"/>
  <c r="K112" i="9"/>
  <c r="J112" i="9"/>
  <c r="V111" i="9"/>
  <c r="K111" i="9"/>
  <c r="I96" i="10" s="1"/>
  <c r="J111" i="9"/>
  <c r="O104" i="43" s="1"/>
  <c r="V110" i="9"/>
  <c r="K110" i="9"/>
  <c r="I95" i="10" s="1"/>
  <c r="V109" i="9"/>
  <c r="K109" i="9"/>
  <c r="J109" i="9" s="1"/>
  <c r="O102" i="43" s="1"/>
  <c r="V105" i="9"/>
  <c r="T105" i="9"/>
  <c r="S105" i="9"/>
  <c r="R105" i="9"/>
  <c r="Q105" i="9"/>
  <c r="P105" i="9"/>
  <c r="O105" i="9"/>
  <c r="N105" i="9"/>
  <c r="M105" i="9"/>
  <c r="L105" i="9"/>
  <c r="V104" i="9"/>
  <c r="K104" i="9"/>
  <c r="J104" i="9"/>
  <c r="V103" i="9"/>
  <c r="K103" i="9"/>
  <c r="J103" i="9" s="1"/>
  <c r="O96" i="43" s="1"/>
  <c r="V102" i="9"/>
  <c r="K102" i="9"/>
  <c r="J102" i="9"/>
  <c r="V101" i="9"/>
  <c r="K101" i="9"/>
  <c r="J101" i="9"/>
  <c r="V100" i="9"/>
  <c r="K100" i="9"/>
  <c r="J100" i="9"/>
  <c r="V99" i="9"/>
  <c r="K99" i="9"/>
  <c r="J99" i="9"/>
  <c r="V98" i="9"/>
  <c r="K98" i="9"/>
  <c r="I85" i="10" s="1"/>
  <c r="V97" i="9"/>
  <c r="K97" i="9"/>
  <c r="J97" i="9"/>
  <c r="V96" i="9"/>
  <c r="K96" i="9"/>
  <c r="J96" i="9"/>
  <c r="V95" i="9"/>
  <c r="K95" i="9"/>
  <c r="J95" i="9"/>
  <c r="O88" i="43" s="1"/>
  <c r="V94" i="9"/>
  <c r="K94" i="9"/>
  <c r="J94" i="9"/>
  <c r="V91" i="9"/>
  <c r="T91" i="9"/>
  <c r="S91" i="9"/>
  <c r="R91" i="9"/>
  <c r="Q91" i="9"/>
  <c r="P91" i="9"/>
  <c r="O91" i="9"/>
  <c r="N91" i="9"/>
  <c r="N119" i="9" s="1"/>
  <c r="M91" i="9"/>
  <c r="L91" i="9"/>
  <c r="K91" i="9"/>
  <c r="V90" i="9"/>
  <c r="K90" i="9"/>
  <c r="J90" i="9"/>
  <c r="V89" i="9"/>
  <c r="K89" i="9"/>
  <c r="J89" i="9"/>
  <c r="BK2" i="40" s="1"/>
  <c r="V88" i="9"/>
  <c r="K88" i="9"/>
  <c r="J88" i="9"/>
  <c r="V85" i="9"/>
  <c r="T85" i="9"/>
  <c r="S85" i="9"/>
  <c r="R85" i="9"/>
  <c r="Q85" i="9"/>
  <c r="P85" i="9"/>
  <c r="O85" i="9"/>
  <c r="N85" i="9"/>
  <c r="M85" i="9"/>
  <c r="L85" i="9"/>
  <c r="V84" i="9"/>
  <c r="K84" i="9"/>
  <c r="J84" i="9"/>
  <c r="V83" i="9"/>
  <c r="K83" i="9"/>
  <c r="J83" i="9"/>
  <c r="V82" i="9"/>
  <c r="K82" i="9"/>
  <c r="J82" i="9"/>
  <c r="V81" i="9"/>
  <c r="K81" i="9"/>
  <c r="J81" i="9"/>
  <c r="V80" i="9"/>
  <c r="M80" i="9"/>
  <c r="K80" i="9"/>
  <c r="K85" i="9" s="1"/>
  <c r="J80" i="9"/>
  <c r="O73" i="43" s="1"/>
  <c r="V79" i="9"/>
  <c r="K79" i="9"/>
  <c r="J79" i="9"/>
  <c r="V78" i="9"/>
  <c r="K78" i="9"/>
  <c r="J78" i="9"/>
  <c r="V77" i="9"/>
  <c r="K77" i="9"/>
  <c r="J77" i="9"/>
  <c r="V74" i="9"/>
  <c r="T74" i="9"/>
  <c r="S74" i="9"/>
  <c r="R74" i="9"/>
  <c r="Q74" i="9"/>
  <c r="P74" i="9"/>
  <c r="O74" i="9"/>
  <c r="N74" i="9"/>
  <c r="M74" i="9"/>
  <c r="L74" i="9"/>
  <c r="V73" i="9"/>
  <c r="K73" i="9"/>
  <c r="J73" i="9"/>
  <c r="V72" i="9"/>
  <c r="R72" i="9"/>
  <c r="K72" i="9"/>
  <c r="J72" i="9"/>
  <c r="V71" i="9"/>
  <c r="T71" i="9"/>
  <c r="K71" i="9"/>
  <c r="J71" i="9"/>
  <c r="V70" i="9"/>
  <c r="K70" i="9"/>
  <c r="J70" i="9"/>
  <c r="V69" i="9"/>
  <c r="K69" i="9"/>
  <c r="I59" i="10" s="1"/>
  <c r="J69" i="9"/>
  <c r="O62" i="43" s="1"/>
  <c r="V66" i="9"/>
  <c r="T66" i="9"/>
  <c r="S66" i="9"/>
  <c r="R66" i="9"/>
  <c r="Q66" i="9"/>
  <c r="P66" i="9"/>
  <c r="O66" i="9"/>
  <c r="N66" i="9"/>
  <c r="M66" i="9"/>
  <c r="L66" i="9"/>
  <c r="K66" i="9"/>
  <c r="J66" i="9"/>
  <c r="V65" i="9"/>
  <c r="K65" i="9"/>
  <c r="J65" i="9"/>
  <c r="V64" i="9"/>
  <c r="K64" i="9"/>
  <c r="J64" i="9"/>
  <c r="V61" i="9"/>
  <c r="T61" i="9"/>
  <c r="S61" i="9"/>
  <c r="R61" i="9"/>
  <c r="Q61" i="9"/>
  <c r="P61" i="9"/>
  <c r="O61" i="9"/>
  <c r="N61" i="9"/>
  <c r="M61" i="9"/>
  <c r="L61" i="9"/>
  <c r="V60" i="9"/>
  <c r="K60" i="9"/>
  <c r="J60" i="9"/>
  <c r="V59" i="9"/>
  <c r="K59" i="9"/>
  <c r="J59" i="9"/>
  <c r="V58" i="9"/>
  <c r="K58" i="9"/>
  <c r="J58" i="9"/>
  <c r="V57" i="9"/>
  <c r="K57" i="9"/>
  <c r="J57" i="9"/>
  <c r="V56" i="9"/>
  <c r="T56" i="9"/>
  <c r="S56" i="9"/>
  <c r="P56" i="9"/>
  <c r="K56" i="9"/>
  <c r="J56" i="9" s="1"/>
  <c r="V55" i="9"/>
  <c r="N55" i="9"/>
  <c r="K55" i="9"/>
  <c r="J55" i="9"/>
  <c r="V54" i="9"/>
  <c r="K54" i="9"/>
  <c r="J54" i="9"/>
  <c r="V53" i="9"/>
  <c r="K53" i="9"/>
  <c r="J53" i="9"/>
  <c r="V52" i="9"/>
  <c r="K52" i="9"/>
  <c r="J52" i="9"/>
  <c r="V51" i="9"/>
  <c r="K51" i="9"/>
  <c r="J51" i="9"/>
  <c r="V50" i="9"/>
  <c r="K50" i="9"/>
  <c r="I42" i="10" s="1"/>
  <c r="J50" i="9"/>
  <c r="V49" i="9"/>
  <c r="K49" i="9"/>
  <c r="J49" i="9"/>
  <c r="V48" i="9"/>
  <c r="K48" i="9"/>
  <c r="J48" i="9"/>
  <c r="X45" i="9"/>
  <c r="W45" i="9"/>
  <c r="V45" i="9"/>
  <c r="T45" i="9"/>
  <c r="S45" i="9"/>
  <c r="R45" i="9"/>
  <c r="Q45" i="9"/>
  <c r="P45" i="9"/>
  <c r="O45" i="9"/>
  <c r="N45" i="9"/>
  <c r="M45" i="9"/>
  <c r="L45" i="9"/>
  <c r="K45" i="9"/>
  <c r="J45" i="9"/>
  <c r="V44" i="9"/>
  <c r="K44" i="9"/>
  <c r="J44" i="9"/>
  <c r="V43" i="9"/>
  <c r="T43" i="9"/>
  <c r="K43" i="9"/>
  <c r="J43" i="9"/>
  <c r="W42" i="9"/>
  <c r="V42" i="9"/>
  <c r="L42" i="9"/>
  <c r="K42" i="9"/>
  <c r="J42" i="9"/>
  <c r="V41" i="9"/>
  <c r="O41" i="9"/>
  <c r="K41" i="9"/>
  <c r="J41" i="9"/>
  <c r="V40" i="9"/>
  <c r="K40" i="9"/>
  <c r="J40" i="9"/>
  <c r="V39" i="9"/>
  <c r="K39" i="9"/>
  <c r="J39" i="9"/>
  <c r="V38" i="9"/>
  <c r="K38" i="9"/>
  <c r="J38" i="9"/>
  <c r="V37" i="9"/>
  <c r="O37" i="9"/>
  <c r="K37" i="9"/>
  <c r="J37" i="9"/>
  <c r="V36" i="9"/>
  <c r="K36" i="9"/>
  <c r="J36" i="9"/>
  <c r="V35" i="9"/>
  <c r="K35" i="9"/>
  <c r="J35" i="9"/>
  <c r="G35" i="9"/>
  <c r="V34" i="9"/>
  <c r="K34" i="9"/>
  <c r="J34" i="9"/>
  <c r="G34" i="9"/>
  <c r="V33" i="9"/>
  <c r="K33" i="9"/>
  <c r="J33" i="9"/>
  <c r="W32" i="9"/>
  <c r="V32" i="9"/>
  <c r="K32" i="9"/>
  <c r="J32" i="9"/>
  <c r="W31" i="9"/>
  <c r="V31" i="9"/>
  <c r="T31" i="9"/>
  <c r="S31" i="9"/>
  <c r="O31" i="9"/>
  <c r="N31" i="9"/>
  <c r="M31" i="9"/>
  <c r="L31" i="9"/>
  <c r="K31" i="9"/>
  <c r="J31" i="9"/>
  <c r="V30" i="9"/>
  <c r="K30" i="9"/>
  <c r="J30" i="9"/>
  <c r="V29" i="9"/>
  <c r="K29" i="9"/>
  <c r="J29" i="9"/>
  <c r="V26" i="9"/>
  <c r="T26" i="9"/>
  <c r="S26" i="9"/>
  <c r="P26" i="9"/>
  <c r="O26" i="9"/>
  <c r="N26" i="9"/>
  <c r="M26" i="9"/>
  <c r="L26" i="9"/>
  <c r="K26" i="9"/>
  <c r="J26" i="9"/>
  <c r="V25" i="9"/>
  <c r="K25" i="9"/>
  <c r="J25" i="9"/>
  <c r="V24" i="9"/>
  <c r="K24" i="9"/>
  <c r="J24" i="9"/>
  <c r="V23" i="9"/>
  <c r="M23" i="9"/>
  <c r="K23" i="9"/>
  <c r="J23" i="9"/>
  <c r="V22" i="9"/>
  <c r="K22" i="9"/>
  <c r="J22" i="9"/>
  <c r="V21" i="9"/>
  <c r="K21" i="9"/>
  <c r="J21" i="9"/>
  <c r="V20" i="9"/>
  <c r="K20" i="9"/>
  <c r="J20" i="9"/>
  <c r="F13" i="9"/>
  <c r="D55" i="8"/>
  <c r="D11" i="8"/>
  <c r="G18" i="7"/>
  <c r="F18" i="7"/>
  <c r="G17" i="7"/>
  <c r="G16" i="7"/>
  <c r="G15" i="7"/>
  <c r="G14" i="7"/>
  <c r="G13" i="7"/>
  <c r="G12" i="7"/>
  <c r="G11" i="7"/>
  <c r="G10" i="7"/>
  <c r="G9" i="7"/>
  <c r="D5" i="7"/>
  <c r="H29" i="6"/>
  <c r="G29" i="6"/>
  <c r="D14" i="6"/>
  <c r="H143" i="42"/>
  <c r="H142" i="42"/>
  <c r="H141" i="42"/>
  <c r="H140" i="42"/>
  <c r="H139" i="42"/>
  <c r="H138" i="42"/>
  <c r="H137" i="42"/>
  <c r="H136" i="42"/>
  <c r="H135" i="42"/>
  <c r="H133" i="42"/>
  <c r="I132" i="42"/>
  <c r="I131" i="42"/>
  <c r="I130" i="42"/>
  <c r="I129" i="42"/>
  <c r="I128" i="42"/>
  <c r="H124" i="42"/>
  <c r="I123" i="42"/>
  <c r="I122" i="42"/>
  <c r="I121" i="42"/>
  <c r="I120" i="42"/>
  <c r="I119" i="42"/>
  <c r="G119" i="42"/>
  <c r="I118" i="42"/>
  <c r="I117" i="42"/>
  <c r="I116" i="42"/>
  <c r="I115" i="42"/>
  <c r="I114" i="42"/>
  <c r="I113" i="42"/>
  <c r="H113" i="42"/>
  <c r="G113" i="42"/>
  <c r="I112" i="42"/>
  <c r="I111" i="42"/>
  <c r="I110" i="42"/>
  <c r="I109" i="42"/>
  <c r="I108" i="42"/>
  <c r="G108" i="42"/>
  <c r="I107" i="42"/>
  <c r="G107" i="42"/>
  <c r="I106" i="42"/>
  <c r="H106" i="42"/>
  <c r="G106" i="42"/>
  <c r="I105" i="42"/>
  <c r="H105" i="42"/>
  <c r="G105" i="42"/>
  <c r="I104" i="42"/>
  <c r="I103" i="42"/>
  <c r="I102" i="42"/>
  <c r="H97" i="42"/>
  <c r="I96" i="42"/>
  <c r="I95" i="42"/>
  <c r="I94" i="42"/>
  <c r="I93" i="42"/>
  <c r="I92" i="42"/>
  <c r="I91" i="42"/>
  <c r="I90" i="42"/>
  <c r="I89" i="42"/>
  <c r="I88" i="42"/>
  <c r="H84" i="42"/>
  <c r="I83" i="42"/>
  <c r="G83" i="42"/>
  <c r="I82" i="42"/>
  <c r="G82" i="42"/>
  <c r="I81" i="42"/>
  <c r="G81" i="42"/>
  <c r="I80" i="42"/>
  <c r="I79" i="42"/>
  <c r="I78" i="42"/>
  <c r="I77" i="42"/>
  <c r="I76" i="42"/>
  <c r="I75" i="42"/>
  <c r="G75" i="42"/>
  <c r="I74" i="42"/>
  <c r="H74" i="42"/>
  <c r="G74" i="42"/>
  <c r="I73" i="42"/>
  <c r="I72" i="42"/>
  <c r="I71" i="42"/>
  <c r="I70" i="42"/>
  <c r="I69" i="42"/>
  <c r="G69" i="42"/>
  <c r="I68" i="42"/>
  <c r="H68" i="42"/>
  <c r="G68" i="42"/>
  <c r="I67" i="42"/>
  <c r="H67" i="42"/>
  <c r="G67" i="42"/>
  <c r="I66" i="42"/>
  <c r="H66" i="42"/>
  <c r="G66" i="42"/>
  <c r="H61" i="42"/>
  <c r="I60" i="42"/>
  <c r="I59" i="42"/>
  <c r="I58" i="42"/>
  <c r="H54" i="42"/>
  <c r="I53" i="42"/>
  <c r="I52" i="42"/>
  <c r="I51" i="42"/>
  <c r="I50" i="42"/>
  <c r="I49" i="42"/>
  <c r="I48" i="42"/>
  <c r="I47" i="42"/>
  <c r="I46" i="42"/>
  <c r="H42" i="42"/>
  <c r="I41" i="42"/>
  <c r="I40" i="42"/>
  <c r="I39" i="42"/>
  <c r="I38" i="42"/>
  <c r="H38" i="42"/>
  <c r="G38" i="42"/>
  <c r="I37" i="42"/>
  <c r="H37" i="42"/>
  <c r="G37" i="42"/>
  <c r="I36" i="42"/>
  <c r="I35" i="42"/>
  <c r="G35" i="42"/>
  <c r="I34" i="42"/>
  <c r="I33" i="42"/>
  <c r="I32" i="42"/>
  <c r="H32" i="42"/>
  <c r="G32" i="42"/>
  <c r="I31" i="42"/>
  <c r="H27" i="42"/>
  <c r="I26" i="42"/>
  <c r="I25" i="42"/>
  <c r="H15" i="42"/>
  <c r="D15" i="42"/>
  <c r="H143" i="39"/>
  <c r="H142" i="39"/>
  <c r="H141" i="39"/>
  <c r="H140" i="39"/>
  <c r="H139" i="39"/>
  <c r="H138" i="39"/>
  <c r="H137" i="39"/>
  <c r="H136" i="39"/>
  <c r="H135" i="39"/>
  <c r="H133" i="39"/>
  <c r="I132" i="39"/>
  <c r="I131" i="39"/>
  <c r="I130" i="39"/>
  <c r="I129" i="39"/>
  <c r="I128" i="39"/>
  <c r="H124" i="39"/>
  <c r="I123" i="39"/>
  <c r="I122" i="39"/>
  <c r="I121" i="39"/>
  <c r="I120" i="39"/>
  <c r="I119" i="39"/>
  <c r="G119" i="39"/>
  <c r="I118" i="39"/>
  <c r="I117" i="39"/>
  <c r="I116" i="39"/>
  <c r="I115" i="39"/>
  <c r="I114" i="39"/>
  <c r="I113" i="39"/>
  <c r="H113" i="39"/>
  <c r="G113" i="39"/>
  <c r="I112" i="39"/>
  <c r="I111" i="39"/>
  <c r="I110" i="39"/>
  <c r="I109" i="39"/>
  <c r="I108" i="39"/>
  <c r="G108" i="39"/>
  <c r="I107" i="39"/>
  <c r="G107" i="39"/>
  <c r="I106" i="39"/>
  <c r="H106" i="39"/>
  <c r="G106" i="39"/>
  <c r="I105" i="39"/>
  <c r="H105" i="39"/>
  <c r="G105" i="39"/>
  <c r="I104" i="39"/>
  <c r="I103" i="39"/>
  <c r="I102" i="39"/>
  <c r="H97" i="39"/>
  <c r="I96" i="39"/>
  <c r="I95" i="39"/>
  <c r="I94" i="39"/>
  <c r="I93" i="39"/>
  <c r="I92" i="39"/>
  <c r="I91" i="39"/>
  <c r="I90" i="39"/>
  <c r="I89" i="39"/>
  <c r="I88" i="39"/>
  <c r="H84" i="39"/>
  <c r="I83" i="39"/>
  <c r="G83" i="39"/>
  <c r="I82" i="39"/>
  <c r="G82" i="39"/>
  <c r="I81" i="39"/>
  <c r="G81" i="39"/>
  <c r="I80" i="39"/>
  <c r="I79" i="39"/>
  <c r="I78" i="39"/>
  <c r="I77" i="39"/>
  <c r="I76" i="39"/>
  <c r="I75" i="39"/>
  <c r="G75" i="39"/>
  <c r="I74" i="39"/>
  <c r="H74" i="39"/>
  <c r="G74" i="39"/>
  <c r="I73" i="39"/>
  <c r="I72" i="39"/>
  <c r="I71" i="39"/>
  <c r="I70" i="39"/>
  <c r="I69" i="39"/>
  <c r="G69" i="39"/>
  <c r="I68" i="39"/>
  <c r="H68" i="39"/>
  <c r="G68" i="39"/>
  <c r="I67" i="39"/>
  <c r="H67" i="39"/>
  <c r="G67" i="39"/>
  <c r="I66" i="39"/>
  <c r="H66" i="39"/>
  <c r="G66" i="39"/>
  <c r="H61" i="39"/>
  <c r="I60" i="39"/>
  <c r="I59" i="39"/>
  <c r="I58" i="39"/>
  <c r="H54" i="39"/>
  <c r="I53" i="39"/>
  <c r="I52" i="39"/>
  <c r="I51" i="39"/>
  <c r="I50" i="39"/>
  <c r="I49" i="39"/>
  <c r="I48" i="39"/>
  <c r="I47" i="39"/>
  <c r="I46" i="39"/>
  <c r="H42" i="39"/>
  <c r="I41" i="39"/>
  <c r="I40" i="39"/>
  <c r="I39" i="39"/>
  <c r="I38" i="39"/>
  <c r="H38" i="39"/>
  <c r="G38" i="39"/>
  <c r="I37" i="39"/>
  <c r="H37" i="39"/>
  <c r="G37" i="39"/>
  <c r="I36" i="39"/>
  <c r="I35" i="39"/>
  <c r="G35" i="39"/>
  <c r="I34" i="39"/>
  <c r="I33" i="39"/>
  <c r="I32" i="39"/>
  <c r="H32" i="39"/>
  <c r="G32" i="39"/>
  <c r="I31" i="39"/>
  <c r="H27" i="39"/>
  <c r="I26" i="39"/>
  <c r="I25" i="39"/>
  <c r="H15" i="39"/>
  <c r="D15" i="39"/>
  <c r="O34" i="4"/>
  <c r="N34" i="4"/>
  <c r="K34" i="4"/>
  <c r="J34" i="4"/>
  <c r="I34" i="4"/>
  <c r="H34" i="4"/>
  <c r="G34" i="4"/>
  <c r="F34" i="4"/>
  <c r="E34" i="4"/>
  <c r="O33" i="4"/>
  <c r="K33" i="4"/>
  <c r="O32" i="4"/>
  <c r="K32" i="4"/>
  <c r="O31" i="4"/>
  <c r="K31" i="4"/>
  <c r="O30" i="4"/>
  <c r="K30" i="4"/>
  <c r="O29" i="4"/>
  <c r="K29" i="4"/>
  <c r="O28" i="4"/>
  <c r="K28" i="4"/>
  <c r="O27" i="4"/>
  <c r="K27" i="4"/>
  <c r="O26" i="4"/>
  <c r="K26" i="4"/>
  <c r="O25" i="4"/>
  <c r="K25" i="4"/>
  <c r="O24" i="4"/>
  <c r="K24" i="4"/>
  <c r="O23" i="4"/>
  <c r="K23" i="4"/>
  <c r="O22" i="4"/>
  <c r="K22" i="4"/>
  <c r="O21" i="4"/>
  <c r="K21" i="4"/>
  <c r="O20" i="4"/>
  <c r="K20" i="4"/>
  <c r="D15" i="4"/>
  <c r="K22" i="3"/>
  <c r="J22" i="3"/>
  <c r="I22" i="3"/>
  <c r="H22" i="3"/>
  <c r="K21" i="3"/>
  <c r="K20" i="3"/>
  <c r="K19" i="3"/>
  <c r="K18" i="3"/>
  <c r="K17" i="3"/>
  <c r="K16" i="3"/>
  <c r="K15" i="3"/>
  <c r="K14" i="3"/>
  <c r="K13" i="3"/>
  <c r="K12" i="3"/>
  <c r="K11" i="3"/>
  <c r="K10" i="3"/>
  <c r="K9" i="3"/>
  <c r="K8" i="3"/>
  <c r="D5" i="3"/>
  <c r="I71" i="2"/>
  <c r="H71" i="2"/>
  <c r="G71" i="2"/>
  <c r="L70" i="2"/>
  <c r="L68" i="2"/>
  <c r="K68" i="2"/>
  <c r="J68" i="2"/>
  <c r="I68" i="2"/>
  <c r="H68" i="2"/>
  <c r="G68" i="2"/>
  <c r="F68" i="2"/>
  <c r="E68" i="2"/>
  <c r="D68" i="2"/>
  <c r="L67" i="2"/>
  <c r="L66" i="2"/>
  <c r="L65" i="2"/>
  <c r="K65" i="2"/>
  <c r="J65" i="2"/>
  <c r="I65" i="2"/>
  <c r="H65" i="2"/>
  <c r="G65" i="2"/>
  <c r="F65" i="2"/>
  <c r="E65" i="2"/>
  <c r="D65" i="2"/>
  <c r="L64" i="2"/>
  <c r="L63" i="2"/>
  <c r="L62" i="2"/>
  <c r="H62" i="2"/>
  <c r="G62" i="2"/>
  <c r="L61" i="2"/>
  <c r="L60" i="2"/>
  <c r="H60" i="2"/>
  <c r="G60" i="2"/>
  <c r="L59" i="2"/>
  <c r="L58" i="2"/>
  <c r="L57" i="2"/>
  <c r="L56" i="2"/>
  <c r="L55" i="2"/>
  <c r="D52" i="2"/>
  <c r="L46" i="2"/>
  <c r="K44" i="2"/>
  <c r="J44" i="2"/>
  <c r="I44" i="2"/>
  <c r="H44" i="2"/>
  <c r="G44" i="2"/>
  <c r="F44" i="2"/>
  <c r="E44" i="2"/>
  <c r="D44" i="2"/>
  <c r="L43" i="2"/>
  <c r="L42" i="2"/>
  <c r="K41" i="2"/>
  <c r="J41" i="2"/>
  <c r="I41" i="2"/>
  <c r="H41" i="2"/>
  <c r="G41" i="2"/>
  <c r="F41" i="2"/>
  <c r="E41" i="2"/>
  <c r="D41" i="2"/>
  <c r="L40" i="2"/>
  <c r="L39" i="2"/>
  <c r="R2" i="40" s="1"/>
  <c r="L38" i="2"/>
  <c r="L37" i="2"/>
  <c r="Q2" i="40" s="1"/>
  <c r="L36" i="2"/>
  <c r="L35" i="2"/>
  <c r="P2" i="40" s="1"/>
  <c r="L34" i="2"/>
  <c r="L33" i="2"/>
  <c r="L41" i="2" s="1"/>
  <c r="L32" i="2"/>
  <c r="L31" i="2"/>
  <c r="N2" i="40" s="1"/>
  <c r="D28" i="2"/>
  <c r="L22" i="2"/>
  <c r="K20" i="2"/>
  <c r="J20" i="2"/>
  <c r="I20" i="2"/>
  <c r="H20" i="2"/>
  <c r="G20" i="2"/>
  <c r="F20" i="2"/>
  <c r="E20" i="2"/>
  <c r="D20" i="2"/>
  <c r="L19" i="2"/>
  <c r="L18" i="2"/>
  <c r="K17" i="2"/>
  <c r="J17" i="2"/>
  <c r="I17" i="2"/>
  <c r="H17" i="2"/>
  <c r="G17" i="2"/>
  <c r="F17" i="2"/>
  <c r="E17" i="2"/>
  <c r="D17" i="2"/>
  <c r="L16" i="2"/>
  <c r="L15" i="2"/>
  <c r="L14" i="2"/>
  <c r="L13" i="2"/>
  <c r="L12" i="2"/>
  <c r="L11" i="2"/>
  <c r="L10" i="2"/>
  <c r="L9" i="2"/>
  <c r="L17" i="2" s="1"/>
  <c r="L20" i="2" s="1"/>
  <c r="L8" i="2"/>
  <c r="L7" i="2"/>
  <c r="D4" i="2"/>
  <c r="H59" i="1"/>
  <c r="G59" i="1"/>
  <c r="AA71" i="20" l="1"/>
  <c r="Y23" i="34"/>
  <c r="Z33" i="20"/>
  <c r="J46" i="20"/>
  <c r="K46" i="20" s="1"/>
  <c r="L46" i="20" s="1"/>
  <c r="M46" i="20" s="1"/>
  <c r="N46" i="20" s="1"/>
  <c r="O46" i="20" s="1"/>
  <c r="H127" i="20" s="1"/>
  <c r="I127" i="20" s="1"/>
  <c r="J127" i="20" s="1"/>
  <c r="K127" i="20" s="1"/>
  <c r="L127" i="20" s="1"/>
  <c r="M127" i="20" s="1"/>
  <c r="N127" i="20" s="1"/>
  <c r="O127" i="20" s="1"/>
  <c r="AB69" i="20"/>
  <c r="AB70" i="20"/>
  <c r="AC70" i="20" s="1"/>
  <c r="AD70" i="20" s="1"/>
  <c r="AE70" i="20" s="1"/>
  <c r="AF70" i="20" s="1"/>
  <c r="Y151" i="20" s="1"/>
  <c r="Z151" i="20" s="1"/>
  <c r="AA151" i="20" s="1"/>
  <c r="AB151" i="20" s="1"/>
  <c r="AC151" i="20" s="1"/>
  <c r="AD151" i="20" s="1"/>
  <c r="AE151" i="20" s="1"/>
  <c r="AF151" i="20" s="1"/>
  <c r="Y56" i="34"/>
  <c r="AA66" i="20"/>
  <c r="CI2" i="40"/>
  <c r="I71" i="20"/>
  <c r="J69" i="20"/>
  <c r="I59" i="34"/>
  <c r="J59" i="34" s="1"/>
  <c r="J61" i="34" s="1"/>
  <c r="Y40" i="34"/>
  <c r="Z40" i="34" s="1"/>
  <c r="AA40" i="34" s="1"/>
  <c r="AB40" i="34" s="1"/>
  <c r="AC40" i="34" s="1"/>
  <c r="AD40" i="34" s="1"/>
  <c r="AE40" i="34" s="1"/>
  <c r="X121" i="34" s="1"/>
  <c r="Y121" i="34" s="1"/>
  <c r="Z121" i="34" s="1"/>
  <c r="AA121" i="34" s="1"/>
  <c r="AB121" i="34" s="1"/>
  <c r="AC121" i="34" s="1"/>
  <c r="AD121" i="34" s="1"/>
  <c r="AE121" i="34" s="1"/>
  <c r="AA50" i="20"/>
  <c r="AB50" i="20" s="1"/>
  <c r="AC50" i="20" s="1"/>
  <c r="AD50" i="20" s="1"/>
  <c r="AE50" i="20" s="1"/>
  <c r="AF50" i="20" s="1"/>
  <c r="Y131" i="20" s="1"/>
  <c r="Z131" i="20" s="1"/>
  <c r="AA131" i="20" s="1"/>
  <c r="AB131" i="20" s="1"/>
  <c r="AC131" i="20" s="1"/>
  <c r="AD131" i="20" s="1"/>
  <c r="AE131" i="20" s="1"/>
  <c r="AF131" i="20" s="1"/>
  <c r="Y51" i="34"/>
  <c r="Z51" i="34" s="1"/>
  <c r="AA51" i="34" s="1"/>
  <c r="AB51" i="34" s="1"/>
  <c r="AC51" i="34" s="1"/>
  <c r="AD51" i="34" s="1"/>
  <c r="AE51" i="34" s="1"/>
  <c r="X132" i="34" s="1"/>
  <c r="Y132" i="34" s="1"/>
  <c r="Z132" i="34" s="1"/>
  <c r="AA132" i="34" s="1"/>
  <c r="AB132" i="34" s="1"/>
  <c r="AC132" i="34" s="1"/>
  <c r="AD132" i="34" s="1"/>
  <c r="AE132" i="34" s="1"/>
  <c r="AA61" i="20"/>
  <c r="AB61" i="20" s="1"/>
  <c r="AC61" i="20" s="1"/>
  <c r="AD61" i="20" s="1"/>
  <c r="AE61" i="20" s="1"/>
  <c r="AF61" i="20" s="1"/>
  <c r="Y142" i="20" s="1"/>
  <c r="Z142" i="20" s="1"/>
  <c r="AA142" i="20" s="1"/>
  <c r="AB142" i="20" s="1"/>
  <c r="AC142" i="20" s="1"/>
  <c r="AD142" i="20" s="1"/>
  <c r="AE142" i="20" s="1"/>
  <c r="AF142" i="20" s="1"/>
  <c r="J72" i="34"/>
  <c r="J75" i="34" s="1"/>
  <c r="J85" i="20"/>
  <c r="K82" i="20"/>
  <c r="K85" i="20" s="1"/>
  <c r="I47" i="34"/>
  <c r="J47" i="34" s="1"/>
  <c r="K47" i="34" s="1"/>
  <c r="L47" i="34" s="1"/>
  <c r="M47" i="34" s="1"/>
  <c r="N47" i="34" s="1"/>
  <c r="O47" i="34" s="1"/>
  <c r="H128" i="34" s="1"/>
  <c r="I128" i="34" s="1"/>
  <c r="J128" i="34" s="1"/>
  <c r="K128" i="34" s="1"/>
  <c r="L128" i="34" s="1"/>
  <c r="M128" i="34" s="1"/>
  <c r="N128" i="34" s="1"/>
  <c r="O128" i="34" s="1"/>
  <c r="I38" i="34"/>
  <c r="J38" i="34" s="1"/>
  <c r="K38" i="34" s="1"/>
  <c r="L38" i="34" s="1"/>
  <c r="M38" i="34" s="1"/>
  <c r="N38" i="34" s="1"/>
  <c r="O38" i="34" s="1"/>
  <c r="H119" i="34" s="1"/>
  <c r="I119" i="34" s="1"/>
  <c r="J119" i="34" s="1"/>
  <c r="K119" i="34" s="1"/>
  <c r="L119" i="34" s="1"/>
  <c r="M119" i="34" s="1"/>
  <c r="N119" i="34" s="1"/>
  <c r="O119" i="34" s="1"/>
  <c r="Z81" i="34"/>
  <c r="AB91" i="20"/>
  <c r="I67" i="20"/>
  <c r="H67" i="20" s="1"/>
  <c r="J33" i="20"/>
  <c r="AB33" i="20"/>
  <c r="K33" i="20"/>
  <c r="L28" i="20"/>
  <c r="AC33" i="20"/>
  <c r="AD28" i="20"/>
  <c r="Z67" i="20"/>
  <c r="Z76" i="20" s="1"/>
  <c r="AA46" i="20"/>
  <c r="K66" i="20"/>
  <c r="K56" i="34" s="1"/>
  <c r="K57" i="34" s="1"/>
  <c r="J56" i="34"/>
  <c r="I33" i="20"/>
  <c r="AA33" i="20"/>
  <c r="AC69" i="20"/>
  <c r="Y65" i="34"/>
  <c r="Z65" i="34" s="1"/>
  <c r="AA65" i="34" s="1"/>
  <c r="AB65" i="34" s="1"/>
  <c r="AC65" i="34" s="1"/>
  <c r="AD65" i="34" s="1"/>
  <c r="AE65" i="34" s="1"/>
  <c r="X146" i="34" s="1"/>
  <c r="Y146" i="34" s="1"/>
  <c r="Z146" i="34" s="1"/>
  <c r="AA146" i="34" s="1"/>
  <c r="AB146" i="34" s="1"/>
  <c r="AC146" i="34" s="1"/>
  <c r="AD146" i="34" s="1"/>
  <c r="AE146" i="34" s="1"/>
  <c r="AB75" i="20"/>
  <c r="AC75" i="20" s="1"/>
  <c r="AD75" i="20" s="1"/>
  <c r="AE75" i="20" s="1"/>
  <c r="AF75" i="20" s="1"/>
  <c r="Y156" i="20" s="1"/>
  <c r="Z156" i="20" s="1"/>
  <c r="AA156" i="20" s="1"/>
  <c r="AB156" i="20" s="1"/>
  <c r="AC156" i="20" s="1"/>
  <c r="AD156" i="20" s="1"/>
  <c r="AE156" i="20" s="1"/>
  <c r="AF156" i="20" s="1"/>
  <c r="CL2" i="40"/>
  <c r="J73" i="20"/>
  <c r="K73" i="20" s="1"/>
  <c r="L73" i="20" s="1"/>
  <c r="M73" i="20" s="1"/>
  <c r="N73" i="20" s="1"/>
  <c r="O73" i="20" s="1"/>
  <c r="H154" i="20" s="1"/>
  <c r="I154" i="20" s="1"/>
  <c r="J154" i="20" s="1"/>
  <c r="K154" i="20" s="1"/>
  <c r="L154" i="20" s="1"/>
  <c r="M154" i="20" s="1"/>
  <c r="N154" i="20" s="1"/>
  <c r="O154" i="20" s="1"/>
  <c r="K72" i="34"/>
  <c r="K75" i="34" s="1"/>
  <c r="L82" i="20"/>
  <c r="Y61" i="34"/>
  <c r="Z59" i="34"/>
  <c r="AA59" i="34" s="1"/>
  <c r="AB59" i="34" s="1"/>
  <c r="AB61" i="34" s="1"/>
  <c r="J23" i="34"/>
  <c r="J30" i="34" s="1"/>
  <c r="J28" i="34"/>
  <c r="Y28" i="34"/>
  <c r="Y30" i="34"/>
  <c r="I23" i="34"/>
  <c r="Z23" i="34"/>
  <c r="AA23" i="34"/>
  <c r="K23" i="34"/>
  <c r="L23" i="34"/>
  <c r="M18" i="34"/>
  <c r="AB18" i="34"/>
  <c r="AB36" i="34"/>
  <c r="H63" i="34"/>
  <c r="H60" i="34"/>
  <c r="H70" i="20"/>
  <c r="H65" i="20"/>
  <c r="H63" i="20"/>
  <c r="H60" i="20"/>
  <c r="H58" i="20"/>
  <c r="H50" i="20"/>
  <c r="H57" i="20"/>
  <c r="H52" i="20"/>
  <c r="H56" i="20"/>
  <c r="H54" i="20"/>
  <c r="H51" i="20"/>
  <c r="H48" i="20"/>
  <c r="H47" i="20"/>
  <c r="H46" i="20"/>
  <c r="H69" i="20"/>
  <c r="H55" i="20"/>
  <c r="H55" i="34"/>
  <c r="H54" i="34"/>
  <c r="H53" i="34"/>
  <c r="H52" i="34"/>
  <c r="H51" i="34"/>
  <c r="H50" i="34"/>
  <c r="H49" i="34"/>
  <c r="H48" i="34"/>
  <c r="H46" i="34"/>
  <c r="H45" i="34"/>
  <c r="H44" i="34"/>
  <c r="H43" i="34"/>
  <c r="H42" i="34"/>
  <c r="H41" i="34"/>
  <c r="H40" i="34"/>
  <c r="H39" i="34"/>
  <c r="H37" i="34"/>
  <c r="H36" i="34"/>
  <c r="H73" i="20"/>
  <c r="H71" i="20"/>
  <c r="H66" i="20"/>
  <c r="H64" i="20"/>
  <c r="H62" i="20"/>
  <c r="H61" i="20"/>
  <c r="H59" i="20"/>
  <c r="H49" i="20"/>
  <c r="F47" i="12"/>
  <c r="F49" i="12" s="1"/>
  <c r="H53" i="20"/>
  <c r="L44" i="2"/>
  <c r="K61" i="28"/>
  <c r="K62" i="28" s="1"/>
  <c r="O2" i="40"/>
  <c r="Z88" i="15"/>
  <c r="Z102" i="15" s="1"/>
  <c r="T102" i="15"/>
  <c r="AB86" i="15"/>
  <c r="Y102" i="15"/>
  <c r="AB100" i="15"/>
  <c r="V102" i="15"/>
  <c r="O67" i="43"/>
  <c r="Q111" i="43"/>
  <c r="L88" i="15"/>
  <c r="L102" i="15" s="1"/>
  <c r="F102" i="15"/>
  <c r="M100" i="15"/>
  <c r="E88" i="15"/>
  <c r="E102" i="15" s="1"/>
  <c r="M86" i="15"/>
  <c r="M75" i="15"/>
  <c r="K102" i="15"/>
  <c r="J67" i="20"/>
  <c r="H56" i="34"/>
  <c r="L91" i="20"/>
  <c r="P109" i="43"/>
  <c r="O109" i="43" s="1"/>
  <c r="I116" i="11"/>
  <c r="I118" i="11" s="1"/>
  <c r="F35" i="12" s="1"/>
  <c r="F37" i="12" s="1"/>
  <c r="F39" i="12" s="1"/>
  <c r="F42" i="12" s="1"/>
  <c r="F52" i="12" s="1"/>
  <c r="O98" i="43"/>
  <c r="I90" i="10"/>
  <c r="O49" i="43"/>
  <c r="BE2" i="40"/>
  <c r="J61" i="9"/>
  <c r="L119" i="9"/>
  <c r="J110" i="9"/>
  <c r="O103" i="43" s="1"/>
  <c r="J91" i="9"/>
  <c r="T119" i="9"/>
  <c r="J74" i="9"/>
  <c r="K74" i="9"/>
  <c r="O119" i="9"/>
  <c r="O43" i="43"/>
  <c r="K61" i="9"/>
  <c r="J47" i="9"/>
  <c r="J98" i="9"/>
  <c r="J105" i="9" s="1"/>
  <c r="K105" i="9"/>
  <c r="J114" i="9"/>
  <c r="O107" i="43" s="1"/>
  <c r="M119" i="9"/>
  <c r="I94" i="10"/>
  <c r="K116" i="9"/>
  <c r="F44" i="14"/>
  <c r="T111" i="43"/>
  <c r="U118" i="11"/>
  <c r="G35" i="12" s="1"/>
  <c r="G37" i="12" s="1"/>
  <c r="G39" i="12" s="1"/>
  <c r="G42" i="12" s="1"/>
  <c r="O78" i="43"/>
  <c r="S111" i="43"/>
  <c r="J85" i="9"/>
  <c r="J32" i="34" l="1"/>
  <c r="L66" i="20"/>
  <c r="L56" i="34" s="1"/>
  <c r="H38" i="34"/>
  <c r="I61" i="34"/>
  <c r="H61" i="34" s="1"/>
  <c r="CH2" i="40"/>
  <c r="H47" i="34"/>
  <c r="H59" i="34"/>
  <c r="K59" i="34"/>
  <c r="L59" i="34" s="1"/>
  <c r="I57" i="34"/>
  <c r="Y57" i="34"/>
  <c r="Y66" i="34" s="1"/>
  <c r="AA61" i="34"/>
  <c r="AB71" i="20"/>
  <c r="I76" i="20"/>
  <c r="J57" i="34"/>
  <c r="J66" i="34" s="1"/>
  <c r="Z40" i="20"/>
  <c r="Z38" i="20"/>
  <c r="Z56" i="34"/>
  <c r="Z57" i="34" s="1"/>
  <c r="AB66" i="20"/>
  <c r="AA81" i="34"/>
  <c r="AC91" i="20"/>
  <c r="K69" i="20"/>
  <c r="J71" i="20"/>
  <c r="J76" i="20" s="1"/>
  <c r="I40" i="20"/>
  <c r="I38" i="20"/>
  <c r="K38" i="20"/>
  <c r="K40" i="20"/>
  <c r="AC59" i="34"/>
  <c r="AC61" i="34" s="1"/>
  <c r="AE28" i="20"/>
  <c r="AD33" i="20"/>
  <c r="Z61" i="34"/>
  <c r="K61" i="34"/>
  <c r="K66" i="34" s="1"/>
  <c r="AC71" i="20"/>
  <c r="AD69" i="20"/>
  <c r="AC38" i="20"/>
  <c r="AC40" i="20"/>
  <c r="AB38" i="20"/>
  <c r="AB40" i="20"/>
  <c r="K67" i="20"/>
  <c r="L72" i="34"/>
  <c r="L75" i="34" s="1"/>
  <c r="L85" i="20"/>
  <c r="M82" i="20"/>
  <c r="AA40" i="20"/>
  <c r="AA38" i="20"/>
  <c r="AA42" i="20" s="1"/>
  <c r="AB46" i="20"/>
  <c r="AA67" i="20"/>
  <c r="AA76" i="20" s="1"/>
  <c r="M28" i="20"/>
  <c r="L33" i="20"/>
  <c r="J38" i="20"/>
  <c r="J40" i="20"/>
  <c r="AC18" i="34"/>
  <c r="AB23" i="34"/>
  <c r="K28" i="34"/>
  <c r="K30" i="34"/>
  <c r="N18" i="34"/>
  <c r="M23" i="34"/>
  <c r="AA30" i="34"/>
  <c r="AA28" i="34"/>
  <c r="Y32" i="34"/>
  <c r="L28" i="34"/>
  <c r="L30" i="34"/>
  <c r="Z28" i="34"/>
  <c r="Z30" i="34"/>
  <c r="AC36" i="34"/>
  <c r="AD59" i="34"/>
  <c r="I28" i="34"/>
  <c r="I30" i="34"/>
  <c r="X63" i="34"/>
  <c r="X61" i="34"/>
  <c r="X60" i="34"/>
  <c r="X59" i="34"/>
  <c r="Y66" i="20"/>
  <c r="Y55" i="20"/>
  <c r="Y53" i="20"/>
  <c r="Y69" i="20"/>
  <c r="Y59" i="20"/>
  <c r="X56" i="34"/>
  <c r="Y70" i="20"/>
  <c r="Y65" i="20"/>
  <c r="Y63" i="20"/>
  <c r="Y60" i="20"/>
  <c r="Y58" i="20"/>
  <c r="Y50" i="20"/>
  <c r="Y48" i="20"/>
  <c r="Y47" i="20"/>
  <c r="Y46" i="20"/>
  <c r="G47" i="12"/>
  <c r="G49" i="12" s="1"/>
  <c r="G52" i="12" s="1"/>
  <c r="F48" i="14" s="1"/>
  <c r="BU2" i="40" s="1"/>
  <c r="Y62" i="20"/>
  <c r="Y57" i="20"/>
  <c r="Y52" i="20"/>
  <c r="X55" i="34"/>
  <c r="X54" i="34"/>
  <c r="X53" i="34"/>
  <c r="X52" i="34"/>
  <c r="X51" i="34"/>
  <c r="X50" i="34"/>
  <c r="X49" i="34"/>
  <c r="X48" i="34"/>
  <c r="X47" i="34"/>
  <c r="X46" i="34"/>
  <c r="X45" i="34"/>
  <c r="X44" i="34"/>
  <c r="X43" i="34"/>
  <c r="X42" i="34"/>
  <c r="X41" i="34"/>
  <c r="X40" i="34"/>
  <c r="X39" i="34"/>
  <c r="X38" i="34"/>
  <c r="X37" i="34"/>
  <c r="X36" i="34"/>
  <c r="Y73" i="20"/>
  <c r="Y71" i="20"/>
  <c r="Y61" i="20"/>
  <c r="Y56" i="20"/>
  <c r="Y54" i="20"/>
  <c r="Y51" i="20"/>
  <c r="M2" i="40"/>
  <c r="Y67" i="20"/>
  <c r="Y64" i="20"/>
  <c r="Y49" i="20"/>
  <c r="AB88" i="15"/>
  <c r="AB102" i="15"/>
  <c r="M88" i="15"/>
  <c r="M102" i="15" s="1"/>
  <c r="O111" i="43"/>
  <c r="L67" i="20"/>
  <c r="M66" i="20"/>
  <c r="M56" i="34" s="1"/>
  <c r="L57" i="34"/>
  <c r="M91" i="20"/>
  <c r="P111" i="43"/>
  <c r="J53" i="13"/>
  <c r="K119" i="9"/>
  <c r="J119" i="9" s="1"/>
  <c r="J116" i="9"/>
  <c r="J118" i="9" s="1"/>
  <c r="I85" i="9" s="1"/>
  <c r="K118" i="9"/>
  <c r="J56" i="27" s="1"/>
  <c r="J57" i="27" s="1"/>
  <c r="O91" i="43"/>
  <c r="G98" i="9"/>
  <c r="F46" i="14"/>
  <c r="Z66" i="34" l="1"/>
  <c r="J68" i="34"/>
  <c r="X57" i="34"/>
  <c r="Y68" i="34"/>
  <c r="Y76" i="34" s="1"/>
  <c r="Z42" i="20"/>
  <c r="Z78" i="20" s="1"/>
  <c r="H57" i="34"/>
  <c r="I66" i="34"/>
  <c r="K42" i="20"/>
  <c r="K78" i="20" s="1"/>
  <c r="AA56" i="34"/>
  <c r="AA57" i="34" s="1"/>
  <c r="AA66" i="34" s="1"/>
  <c r="AC66" i="20"/>
  <c r="K71" i="20"/>
  <c r="K76" i="20" s="1"/>
  <c r="L69" i="20"/>
  <c r="AB81" i="34"/>
  <c r="AD91" i="20"/>
  <c r="M85" i="20"/>
  <c r="N82" i="20"/>
  <c r="M72" i="34"/>
  <c r="M75" i="34" s="1"/>
  <c r="AD71" i="20"/>
  <c r="AE69" i="20"/>
  <c r="AF28" i="20"/>
  <c r="AE33" i="20"/>
  <c r="L32" i="34"/>
  <c r="J42" i="20"/>
  <c r="J78" i="20" s="1"/>
  <c r="AB67" i="20"/>
  <c r="AB76" i="20" s="1"/>
  <c r="AC46" i="20"/>
  <c r="AB42" i="20"/>
  <c r="L40" i="20"/>
  <c r="L38" i="20"/>
  <c r="AA78" i="20"/>
  <c r="Z32" i="34"/>
  <c r="N28" i="20"/>
  <c r="M33" i="20"/>
  <c r="AC42" i="20"/>
  <c r="L61" i="34"/>
  <c r="L66" i="34" s="1"/>
  <c r="L68" i="34" s="1"/>
  <c r="M59" i="34"/>
  <c r="AD40" i="20"/>
  <c r="AD38" i="20"/>
  <c r="I42" i="20"/>
  <c r="AD154" i="20"/>
  <c r="AC144" i="34" s="1"/>
  <c r="AD36" i="34"/>
  <c r="AE59" i="34"/>
  <c r="AD61" i="34"/>
  <c r="Y77" i="34"/>
  <c r="M30" i="34"/>
  <c r="M28" i="34"/>
  <c r="K32" i="34"/>
  <c r="K68" i="34" s="1"/>
  <c r="N23" i="34"/>
  <c r="O18" i="34"/>
  <c r="J77" i="34"/>
  <c r="J76" i="34"/>
  <c r="AB28" i="34"/>
  <c r="AB30" i="34"/>
  <c r="I32" i="34"/>
  <c r="I68" i="34" s="1"/>
  <c r="AA32" i="34"/>
  <c r="AC23" i="34"/>
  <c r="AD18" i="34"/>
  <c r="F50" i="14"/>
  <c r="BW2" i="40" s="1"/>
  <c r="M57" i="34"/>
  <c r="M67" i="20"/>
  <c r="N66" i="20"/>
  <c r="N56" i="34" s="1"/>
  <c r="N91" i="20"/>
  <c r="BN2" i="40"/>
  <c r="K120" i="9"/>
  <c r="I97" i="9"/>
  <c r="I96" i="9"/>
  <c r="I95" i="9"/>
  <c r="I94" i="9"/>
  <c r="I78" i="9"/>
  <c r="I77" i="9"/>
  <c r="I61" i="9"/>
  <c r="I60" i="9"/>
  <c r="I59" i="9"/>
  <c r="I58" i="9"/>
  <c r="I57" i="9"/>
  <c r="I55" i="9"/>
  <c r="I54" i="9"/>
  <c r="I53" i="9"/>
  <c r="I52" i="9"/>
  <c r="I51" i="9"/>
  <c r="I34" i="9"/>
  <c r="I26" i="9"/>
  <c r="I25" i="9"/>
  <c r="I24" i="9"/>
  <c r="I84" i="9"/>
  <c r="I83" i="9"/>
  <c r="I81" i="9"/>
  <c r="I49" i="9"/>
  <c r="I44" i="9"/>
  <c r="I41" i="9"/>
  <c r="I38" i="9"/>
  <c r="I116" i="9"/>
  <c r="I115" i="9"/>
  <c r="I114" i="9"/>
  <c r="I113" i="9"/>
  <c r="I112" i="9"/>
  <c r="I111" i="9"/>
  <c r="I110" i="9"/>
  <c r="I91" i="9"/>
  <c r="I90" i="9"/>
  <c r="I89" i="9"/>
  <c r="I88" i="9"/>
  <c r="I74" i="9"/>
  <c r="I73" i="9"/>
  <c r="I71" i="9"/>
  <c r="I70" i="9"/>
  <c r="I42" i="9"/>
  <c r="I33" i="9"/>
  <c r="I31" i="9"/>
  <c r="I30" i="9"/>
  <c r="I29" i="9"/>
  <c r="I23" i="9"/>
  <c r="I22" i="9"/>
  <c r="I21" i="9"/>
  <c r="I20" i="9"/>
  <c r="I82" i="9"/>
  <c r="I69" i="9"/>
  <c r="I50" i="9"/>
  <c r="I48" i="9"/>
  <c r="I45" i="9"/>
  <c r="I40" i="9"/>
  <c r="I39" i="9"/>
  <c r="I32" i="9"/>
  <c r="I105" i="9"/>
  <c r="I104" i="9"/>
  <c r="I103" i="9"/>
  <c r="I102" i="9"/>
  <c r="I101" i="9"/>
  <c r="I100" i="9"/>
  <c r="I99" i="9"/>
  <c r="I98" i="9"/>
  <c r="I79" i="9"/>
  <c r="I72" i="9"/>
  <c r="I66" i="9"/>
  <c r="I65" i="9"/>
  <c r="I64" i="9"/>
  <c r="I56" i="9"/>
  <c r="I43" i="9"/>
  <c r="I37" i="9"/>
  <c r="I36" i="9"/>
  <c r="I35" i="9"/>
  <c r="BM2" i="40"/>
  <c r="I109" i="9"/>
  <c r="I80" i="9"/>
  <c r="Z68" i="34" l="1"/>
  <c r="Z77" i="34" s="1"/>
  <c r="AD42" i="20"/>
  <c r="Z87" i="20"/>
  <c r="Z90" i="20" s="1"/>
  <c r="Z86" i="20"/>
  <c r="L76" i="34"/>
  <c r="L77" i="34"/>
  <c r="L71" i="20"/>
  <c r="L76" i="20" s="1"/>
  <c r="M69" i="20"/>
  <c r="AA68" i="34"/>
  <c r="AA76" i="34" s="1"/>
  <c r="AC81" i="34"/>
  <c r="AE91" i="20"/>
  <c r="AB56" i="34"/>
  <c r="AB57" i="34" s="1"/>
  <c r="AB66" i="34" s="1"/>
  <c r="AD66" i="20"/>
  <c r="M61" i="34"/>
  <c r="M66" i="34" s="1"/>
  <c r="N59" i="34"/>
  <c r="M40" i="20"/>
  <c r="M38" i="20"/>
  <c r="AA87" i="20"/>
  <c r="AA86" i="20"/>
  <c r="Y80" i="34"/>
  <c r="Y84" i="34" s="1"/>
  <c r="Y86" i="34" s="1"/>
  <c r="Z94" i="20"/>
  <c r="AC67" i="20"/>
  <c r="AC76" i="20" s="1"/>
  <c r="AC78" i="20" s="1"/>
  <c r="AD46" i="20"/>
  <c r="AB32" i="34"/>
  <c r="AB68" i="34" s="1"/>
  <c r="AB76" i="34" s="1"/>
  <c r="CE2" i="40"/>
  <c r="I78" i="20"/>
  <c r="N33" i="20"/>
  <c r="O28" i="20"/>
  <c r="L42" i="20"/>
  <c r="L78" i="20" s="1"/>
  <c r="AE40" i="20"/>
  <c r="AE38" i="20"/>
  <c r="AE42" i="20" s="1"/>
  <c r="J86" i="20"/>
  <c r="J87" i="20"/>
  <c r="J90" i="20" s="1"/>
  <c r="Y109" i="20"/>
  <c r="AF33" i="20"/>
  <c r="N72" i="34"/>
  <c r="N75" i="34" s="1"/>
  <c r="N85" i="20"/>
  <c r="O82" i="20"/>
  <c r="M32" i="34"/>
  <c r="K87" i="20"/>
  <c r="K86" i="20"/>
  <c r="AB78" i="20"/>
  <c r="AE71" i="20"/>
  <c r="AF69" i="20"/>
  <c r="AE154" i="20"/>
  <c r="AD144" i="34" s="1"/>
  <c r="N30" i="34"/>
  <c r="N28" i="34"/>
  <c r="N32" i="34" s="1"/>
  <c r="K76" i="34"/>
  <c r="K77" i="34"/>
  <c r="X140" i="34"/>
  <c r="AE61" i="34"/>
  <c r="AE36" i="34"/>
  <c r="AE18" i="34"/>
  <c r="AD23" i="34"/>
  <c r="I77" i="34"/>
  <c r="I76" i="34"/>
  <c r="AC28" i="34"/>
  <c r="AC30" i="34"/>
  <c r="H99" i="34"/>
  <c r="O23" i="34"/>
  <c r="Z76" i="34"/>
  <c r="O66" i="20"/>
  <c r="O56" i="34" s="1"/>
  <c r="N67" i="20"/>
  <c r="N57" i="34"/>
  <c r="O91" i="20"/>
  <c r="AA77" i="34" l="1"/>
  <c r="AC56" i="34"/>
  <c r="AC57" i="34" s="1"/>
  <c r="AC66" i="34" s="1"/>
  <c r="AE66" i="20"/>
  <c r="AB77" i="34"/>
  <c r="Y87" i="34"/>
  <c r="M71" i="20"/>
  <c r="M76" i="20" s="1"/>
  <c r="N69" i="20"/>
  <c r="AD81" i="34"/>
  <c r="AF91" i="20"/>
  <c r="L87" i="20"/>
  <c r="L86" i="20"/>
  <c r="Y150" i="20"/>
  <c r="AF71" i="20"/>
  <c r="AF38" i="20"/>
  <c r="AF40" i="20"/>
  <c r="AC87" i="20"/>
  <c r="AC86" i="20"/>
  <c r="N38" i="20"/>
  <c r="N40" i="20"/>
  <c r="M68" i="34"/>
  <c r="K90" i="20"/>
  <c r="O72" i="34"/>
  <c r="O75" i="34" s="1"/>
  <c r="H163" i="20"/>
  <c r="O85" i="20"/>
  <c r="Y114" i="20"/>
  <c r="Z109" i="20"/>
  <c r="I86" i="20"/>
  <c r="CM2" i="40" s="1"/>
  <c r="I87" i="20"/>
  <c r="AD67" i="20"/>
  <c r="AD76" i="20" s="1"/>
  <c r="AD78" i="20" s="1"/>
  <c r="AE46" i="20"/>
  <c r="N61" i="34"/>
  <c r="O59" i="34"/>
  <c r="AB86" i="20"/>
  <c r="AB87" i="20"/>
  <c r="J94" i="20"/>
  <c r="J96" i="20" s="1"/>
  <c r="J80" i="34"/>
  <c r="J84" i="34" s="1"/>
  <c r="Z96" i="20"/>
  <c r="Z97" i="20"/>
  <c r="N66" i="34"/>
  <c r="N68" i="34" s="1"/>
  <c r="N77" i="34" s="1"/>
  <c r="AA90" i="20"/>
  <c r="H109" i="20"/>
  <c r="O33" i="20"/>
  <c r="M42" i="20"/>
  <c r="M78" i="20" s="1"/>
  <c r="AF154" i="20"/>
  <c r="AE144" i="34" s="1"/>
  <c r="O28" i="34"/>
  <c r="O30" i="34"/>
  <c r="Y140" i="34"/>
  <c r="X142" i="34"/>
  <c r="H104" i="34"/>
  <c r="I99" i="34"/>
  <c r="X99" i="34"/>
  <c r="AE23" i="34"/>
  <c r="X117" i="34"/>
  <c r="AC32" i="34"/>
  <c r="AC68" i="34" s="1"/>
  <c r="AD30" i="34"/>
  <c r="AD28" i="34"/>
  <c r="O57" i="34"/>
  <c r="H147" i="20"/>
  <c r="H137" i="34" s="1"/>
  <c r="O67" i="20"/>
  <c r="H172" i="20"/>
  <c r="I172" i="20" s="1"/>
  <c r="J172" i="20" s="1"/>
  <c r="K172" i="20" s="1"/>
  <c r="L172" i="20" s="1"/>
  <c r="M172" i="20" s="1"/>
  <c r="N172" i="20" s="1"/>
  <c r="O172" i="20" s="1"/>
  <c r="J97" i="20" l="1"/>
  <c r="CO2" i="40" s="1"/>
  <c r="AF42" i="20"/>
  <c r="AD56" i="34"/>
  <c r="AD57" i="34" s="1"/>
  <c r="AD66" i="34" s="1"/>
  <c r="AF66" i="20"/>
  <c r="N76" i="34"/>
  <c r="O69" i="20"/>
  <c r="N71" i="20"/>
  <c r="N76" i="20" s="1"/>
  <c r="AE81" i="34"/>
  <c r="Y172" i="20"/>
  <c r="M87" i="20"/>
  <c r="M86" i="20"/>
  <c r="J86" i="34"/>
  <c r="J87" i="34"/>
  <c r="AC90" i="20"/>
  <c r="Z150" i="20"/>
  <c r="Y152" i="20"/>
  <c r="O38" i="20"/>
  <c r="O40" i="20"/>
  <c r="AD86" i="20"/>
  <c r="AD87" i="20"/>
  <c r="AA109" i="20"/>
  <c r="Z114" i="20"/>
  <c r="M77" i="34"/>
  <c r="M76" i="34"/>
  <c r="AE67" i="20"/>
  <c r="AE76" i="20" s="1"/>
  <c r="AE78" i="20" s="1"/>
  <c r="AF46" i="20"/>
  <c r="H114" i="20"/>
  <c r="I109" i="20"/>
  <c r="Z80" i="34"/>
  <c r="Z84" i="34" s="1"/>
  <c r="AA94" i="20"/>
  <c r="H153" i="34"/>
  <c r="H156" i="34" s="1"/>
  <c r="I163" i="20"/>
  <c r="H166" i="20"/>
  <c r="AB90" i="20"/>
  <c r="H140" i="34"/>
  <c r="O61" i="34"/>
  <c r="O66" i="34" s="1"/>
  <c r="Y121" i="20"/>
  <c r="Y119" i="20"/>
  <c r="I90" i="20"/>
  <c r="K94" i="20"/>
  <c r="K80" i="34"/>
  <c r="K84" i="34" s="1"/>
  <c r="N42" i="20"/>
  <c r="L90" i="20"/>
  <c r="Y117" i="34"/>
  <c r="AC76" i="34"/>
  <c r="AC77" i="34"/>
  <c r="AE30" i="34"/>
  <c r="AE28" i="34"/>
  <c r="Y142" i="34"/>
  <c r="Z140" i="34"/>
  <c r="X104" i="34"/>
  <c r="Y99" i="34"/>
  <c r="J99" i="34"/>
  <c r="I104" i="34"/>
  <c r="AD32" i="34"/>
  <c r="AD68" i="34" s="1"/>
  <c r="H111" i="34"/>
  <c r="H109" i="34"/>
  <c r="O32" i="34"/>
  <c r="H148" i="20"/>
  <c r="I147" i="20"/>
  <c r="I137" i="34" s="1"/>
  <c r="H138" i="34"/>
  <c r="H113" i="34" l="1"/>
  <c r="N78" i="20"/>
  <c r="N87" i="20" s="1"/>
  <c r="H150" i="20"/>
  <c r="O71" i="20"/>
  <c r="O76" i="20" s="1"/>
  <c r="AE56" i="34"/>
  <c r="AE57" i="34" s="1"/>
  <c r="AE66" i="34" s="1"/>
  <c r="Y147" i="20"/>
  <c r="X162" i="34"/>
  <c r="Z172" i="20"/>
  <c r="I166" i="20"/>
  <c r="I153" i="34"/>
  <c r="I156" i="34" s="1"/>
  <c r="J163" i="20"/>
  <c r="J109" i="20"/>
  <c r="I114" i="20"/>
  <c r="O68" i="34"/>
  <c r="O76" i="34" s="1"/>
  <c r="I94" i="20"/>
  <c r="I80" i="34"/>
  <c r="I84" i="34" s="1"/>
  <c r="AA96" i="20"/>
  <c r="AA97" i="20"/>
  <c r="H121" i="20"/>
  <c r="H119" i="20"/>
  <c r="Z121" i="20"/>
  <c r="Z119" i="20"/>
  <c r="AA150" i="20"/>
  <c r="Z152" i="20"/>
  <c r="L80" i="34"/>
  <c r="L84" i="34" s="1"/>
  <c r="L94" i="20"/>
  <c r="K86" i="34"/>
  <c r="K87" i="34"/>
  <c r="Z86" i="34"/>
  <c r="Z87" i="34"/>
  <c r="I140" i="34"/>
  <c r="H142" i="34"/>
  <c r="H147" i="34" s="1"/>
  <c r="H149" i="34" s="1"/>
  <c r="Y127" i="20"/>
  <c r="AF67" i="20"/>
  <c r="AF76" i="20" s="1"/>
  <c r="AF78" i="20" s="1"/>
  <c r="AA114" i="20"/>
  <c r="AB109" i="20"/>
  <c r="AB80" i="34"/>
  <c r="AB84" i="34" s="1"/>
  <c r="AC94" i="20"/>
  <c r="K96" i="20"/>
  <c r="K97" i="20"/>
  <c r="CP2" i="40" s="1"/>
  <c r="Y123" i="20"/>
  <c r="AA80" i="34"/>
  <c r="AA84" i="34" s="1"/>
  <c r="AB94" i="20"/>
  <c r="AE87" i="20"/>
  <c r="AE86" i="20"/>
  <c r="AD90" i="20"/>
  <c r="O42" i="20"/>
  <c r="M90" i="20"/>
  <c r="J104" i="34"/>
  <c r="K99" i="34"/>
  <c r="Z117" i="34"/>
  <c r="X111" i="34"/>
  <c r="X109" i="34"/>
  <c r="I111" i="34"/>
  <c r="I109" i="34"/>
  <c r="AA140" i="34"/>
  <c r="Z142" i="34"/>
  <c r="AD76" i="34"/>
  <c r="AD77" i="34"/>
  <c r="Z99" i="34"/>
  <c r="Y104" i="34"/>
  <c r="AE32" i="34"/>
  <c r="AE68" i="34" s="1"/>
  <c r="I138" i="34"/>
  <c r="J147" i="20"/>
  <c r="J137" i="34" s="1"/>
  <c r="I148" i="20"/>
  <c r="N86" i="20" l="1"/>
  <c r="O77" i="34"/>
  <c r="O78" i="20"/>
  <c r="I150" i="20"/>
  <c r="H152" i="20"/>
  <c r="H157" i="20" s="1"/>
  <c r="X137" i="34"/>
  <c r="X138" i="34" s="1"/>
  <c r="X147" i="34" s="1"/>
  <c r="Z147" i="20"/>
  <c r="Y162" i="34"/>
  <c r="AA172" i="20"/>
  <c r="H158" i="34"/>
  <c r="H157" i="34"/>
  <c r="AC96" i="20"/>
  <c r="AC97" i="20"/>
  <c r="AF86" i="20"/>
  <c r="AF87" i="20"/>
  <c r="L86" i="34"/>
  <c r="L87" i="34"/>
  <c r="N90" i="20"/>
  <c r="J114" i="20"/>
  <c r="K109" i="20"/>
  <c r="I113" i="34"/>
  <c r="X113" i="34"/>
  <c r="AD94" i="20"/>
  <c r="AC80" i="34"/>
  <c r="AC84" i="34" s="1"/>
  <c r="AB86" i="34"/>
  <c r="AB87" i="34"/>
  <c r="Y148" i="20"/>
  <c r="Y157" i="20" s="1"/>
  <c r="Y159" i="20" s="1"/>
  <c r="Z127" i="20"/>
  <c r="H123" i="20"/>
  <c r="H159" i="20" s="1"/>
  <c r="I86" i="34"/>
  <c r="I87" i="34"/>
  <c r="J166" i="20"/>
  <c r="J153" i="34"/>
  <c r="J156" i="34" s="1"/>
  <c r="K163" i="20"/>
  <c r="M94" i="20"/>
  <c r="M80" i="34"/>
  <c r="M84" i="34" s="1"/>
  <c r="AE90" i="20"/>
  <c r="AB96" i="20"/>
  <c r="AB97" i="20"/>
  <c r="AC109" i="20"/>
  <c r="AB114" i="20"/>
  <c r="AA152" i="20"/>
  <c r="AB150" i="20"/>
  <c r="I96" i="20"/>
  <c r="I97" i="20"/>
  <c r="CN2" i="40" s="1"/>
  <c r="O86" i="20"/>
  <c r="O87" i="20"/>
  <c r="AA86" i="34"/>
  <c r="AA87" i="34"/>
  <c r="AA121" i="20"/>
  <c r="AA119" i="20"/>
  <c r="J140" i="34"/>
  <c r="I142" i="34"/>
  <c r="I147" i="34" s="1"/>
  <c r="I149" i="34" s="1"/>
  <c r="L96" i="20"/>
  <c r="L97" i="20"/>
  <c r="Z123" i="20"/>
  <c r="I121" i="20"/>
  <c r="I119" i="20"/>
  <c r="L99" i="34"/>
  <c r="K104" i="34"/>
  <c r="Y111" i="34"/>
  <c r="Y109" i="34"/>
  <c r="J111" i="34"/>
  <c r="J109" i="34"/>
  <c r="AE77" i="34"/>
  <c r="AE76" i="34"/>
  <c r="Z104" i="34"/>
  <c r="AA99" i="34"/>
  <c r="AA117" i="34"/>
  <c r="AB140" i="34"/>
  <c r="AA142" i="34"/>
  <c r="K147" i="20"/>
  <c r="K137" i="34" s="1"/>
  <c r="J148" i="20"/>
  <c r="J138" i="34"/>
  <c r="I123" i="20" l="1"/>
  <c r="Y137" i="34"/>
  <c r="Y138" i="34" s="1"/>
  <c r="Y147" i="34" s="1"/>
  <c r="AA147" i="20"/>
  <c r="Z162" i="34"/>
  <c r="AB172" i="20"/>
  <c r="X149" i="34"/>
  <c r="J150" i="20"/>
  <c r="I152" i="20"/>
  <c r="I157" i="20" s="1"/>
  <c r="I157" i="34"/>
  <c r="I158" i="34"/>
  <c r="N94" i="20"/>
  <c r="N80" i="34"/>
  <c r="N84" i="34" s="1"/>
  <c r="Y168" i="20"/>
  <c r="Y167" i="20"/>
  <c r="J113" i="34"/>
  <c r="AA123" i="20"/>
  <c r="O90" i="20"/>
  <c r="M86" i="34"/>
  <c r="M87" i="34"/>
  <c r="Z148" i="20"/>
  <c r="Z157" i="20" s="1"/>
  <c r="Z159" i="20" s="1"/>
  <c r="AA127" i="20"/>
  <c r="AF90" i="20"/>
  <c r="AD96" i="20"/>
  <c r="AD97" i="20"/>
  <c r="L109" i="20"/>
  <c r="K114" i="20"/>
  <c r="J142" i="34"/>
  <c r="K140" i="34"/>
  <c r="H168" i="20"/>
  <c r="H167" i="20"/>
  <c r="J147" i="34"/>
  <c r="AB121" i="20"/>
  <c r="AB119" i="20"/>
  <c r="M96" i="20"/>
  <c r="M97" i="20"/>
  <c r="J121" i="20"/>
  <c r="J119" i="20"/>
  <c r="AC86" i="34"/>
  <c r="AC87" i="34"/>
  <c r="AC150" i="20"/>
  <c r="AB152" i="20"/>
  <c r="AD80" i="34"/>
  <c r="AD84" i="34" s="1"/>
  <c r="AE94" i="20"/>
  <c r="Y113" i="34"/>
  <c r="Y149" i="34" s="1"/>
  <c r="Y158" i="34" s="1"/>
  <c r="AC114" i="20"/>
  <c r="AD109" i="20"/>
  <c r="K153" i="34"/>
  <c r="K156" i="34" s="1"/>
  <c r="L163" i="20"/>
  <c r="K166" i="20"/>
  <c r="L104" i="34"/>
  <c r="M99" i="34"/>
  <c r="AB99" i="34"/>
  <c r="AA104" i="34"/>
  <c r="AC140" i="34"/>
  <c r="AB142" i="34"/>
  <c r="Z111" i="34"/>
  <c r="Z109" i="34"/>
  <c r="AB117" i="34"/>
  <c r="K111" i="34"/>
  <c r="K109" i="34"/>
  <c r="L147" i="20"/>
  <c r="L137" i="34" s="1"/>
  <c r="K148" i="20"/>
  <c r="K138" i="34"/>
  <c r="J149" i="34" l="1"/>
  <c r="J158" i="34" s="1"/>
  <c r="K113" i="34"/>
  <c r="Z113" i="34"/>
  <c r="J152" i="20"/>
  <c r="J157" i="20" s="1"/>
  <c r="K150" i="20"/>
  <c r="Z137" i="34"/>
  <c r="Z138" i="34" s="1"/>
  <c r="Z147" i="34" s="1"/>
  <c r="Z149" i="34" s="1"/>
  <c r="AB147" i="20"/>
  <c r="Y157" i="34"/>
  <c r="X158" i="34"/>
  <c r="X157" i="34"/>
  <c r="AA162" i="34"/>
  <c r="AC172" i="20"/>
  <c r="I159" i="20"/>
  <c r="AD86" i="34"/>
  <c r="AD87" i="34"/>
  <c r="Y171" i="20"/>
  <c r="AE109" i="20"/>
  <c r="AD114" i="20"/>
  <c r="J123" i="20"/>
  <c r="AB123" i="20"/>
  <c r="H171" i="20"/>
  <c r="L114" i="20"/>
  <c r="M109" i="20"/>
  <c r="AA148" i="20"/>
  <c r="AA157" i="20" s="1"/>
  <c r="AA159" i="20" s="1"/>
  <c r="AB127" i="20"/>
  <c r="N86" i="34"/>
  <c r="N87" i="34"/>
  <c r="K121" i="20"/>
  <c r="K119" i="20"/>
  <c r="K123" i="20" s="1"/>
  <c r="AC121" i="20"/>
  <c r="AC119" i="20"/>
  <c r="L140" i="34"/>
  <c r="K142" i="34"/>
  <c r="K147" i="34" s="1"/>
  <c r="AE80" i="34"/>
  <c r="AE84" i="34" s="1"/>
  <c r="AF94" i="20"/>
  <c r="AD150" i="20"/>
  <c r="AC152" i="20"/>
  <c r="Z168" i="20"/>
  <c r="Z167" i="20"/>
  <c r="O80" i="34"/>
  <c r="O84" i="34" s="1"/>
  <c r="O94" i="20"/>
  <c r="N96" i="20"/>
  <c r="N97" i="20"/>
  <c r="L153" i="34"/>
  <c r="L156" i="34" s="1"/>
  <c r="M163" i="20"/>
  <c r="L166" i="20"/>
  <c r="AE96" i="20"/>
  <c r="AE97" i="20"/>
  <c r="AC142" i="34"/>
  <c r="AD140" i="34"/>
  <c r="L111" i="34"/>
  <c r="L109" i="34"/>
  <c r="AB104" i="34"/>
  <c r="AC99" i="34"/>
  <c r="N99" i="34"/>
  <c r="M104" i="34"/>
  <c r="AA111" i="34"/>
  <c r="AA109" i="34"/>
  <c r="AC117" i="34"/>
  <c r="L148" i="20"/>
  <c r="M147" i="20"/>
  <c r="M137" i="34" s="1"/>
  <c r="L138" i="34"/>
  <c r="AC123" i="20" l="1"/>
  <c r="K149" i="34"/>
  <c r="K157" i="34" s="1"/>
  <c r="J157" i="34"/>
  <c r="Z158" i="34"/>
  <c r="Z157" i="34"/>
  <c r="AA113" i="34"/>
  <c r="I168" i="20"/>
  <c r="I171" i="20" s="1"/>
  <c r="I167" i="20"/>
  <c r="AA137" i="34"/>
  <c r="AA138" i="34" s="1"/>
  <c r="AA147" i="34" s="1"/>
  <c r="AC147" i="20"/>
  <c r="AB162" i="34"/>
  <c r="AD172" i="20"/>
  <c r="L113" i="34"/>
  <c r="J159" i="20"/>
  <c r="J168" i="20" s="1"/>
  <c r="L150" i="20"/>
  <c r="K152" i="20"/>
  <c r="K157" i="20" s="1"/>
  <c r="K159" i="20" s="1"/>
  <c r="M166" i="20"/>
  <c r="N163" i="20"/>
  <c r="M153" i="34"/>
  <c r="M156" i="34" s="1"/>
  <c r="AE86" i="34"/>
  <c r="AE87" i="34"/>
  <c r="AA168" i="20"/>
  <c r="AA167" i="20"/>
  <c r="H161" i="34"/>
  <c r="H165" i="34" s="1"/>
  <c r="AD121" i="20"/>
  <c r="AD119" i="20"/>
  <c r="K158" i="34"/>
  <c r="O96" i="20"/>
  <c r="O97" i="20"/>
  <c r="N109" i="20"/>
  <c r="M114" i="20"/>
  <c r="AE114" i="20"/>
  <c r="AF109" i="20"/>
  <c r="AF114" i="20" s="1"/>
  <c r="O86" i="34"/>
  <c r="O87" i="34"/>
  <c r="L121" i="20"/>
  <c r="L119" i="20"/>
  <c r="Z171" i="20"/>
  <c r="X161" i="34"/>
  <c r="X165" i="34" s="1"/>
  <c r="Y175" i="20"/>
  <c r="AE150" i="20"/>
  <c r="AD152" i="20"/>
  <c r="AF96" i="20"/>
  <c r="AF97" i="20"/>
  <c r="M140" i="34"/>
  <c r="L142" i="34"/>
  <c r="L147" i="34" s="1"/>
  <c r="AB148" i="20"/>
  <c r="AB157" i="20" s="1"/>
  <c r="AB159" i="20" s="1"/>
  <c r="AC127" i="20"/>
  <c r="H173" i="20"/>
  <c r="H175" i="20" s="1"/>
  <c r="AD99" i="34"/>
  <c r="AC104" i="34"/>
  <c r="AE140" i="34"/>
  <c r="AE142" i="34" s="1"/>
  <c r="AD142" i="34"/>
  <c r="AB111" i="34"/>
  <c r="AB109" i="34"/>
  <c r="AD117" i="34"/>
  <c r="M111" i="34"/>
  <c r="M109" i="34"/>
  <c r="N104" i="34"/>
  <c r="O99" i="34"/>
  <c r="O104" i="34" s="1"/>
  <c r="N147" i="20"/>
  <c r="N137" i="34" s="1"/>
  <c r="M148" i="20"/>
  <c r="M138" i="34"/>
  <c r="L149" i="34" l="1"/>
  <c r="J167" i="20"/>
  <c r="J171" i="20"/>
  <c r="J161" i="34" s="1"/>
  <c r="J165" i="34" s="1"/>
  <c r="J168" i="34" s="1"/>
  <c r="K167" i="20"/>
  <c r="K168" i="20"/>
  <c r="M150" i="20"/>
  <c r="L152" i="20"/>
  <c r="L157" i="20" s="1"/>
  <c r="AC162" i="34"/>
  <c r="AE172" i="20"/>
  <c r="AB137" i="34"/>
  <c r="AB138" i="34" s="1"/>
  <c r="AB147" i="34" s="1"/>
  <c r="AD147" i="20"/>
  <c r="AA149" i="34"/>
  <c r="L157" i="34"/>
  <c r="L158" i="34"/>
  <c r="H167" i="34"/>
  <c r="H168" i="34"/>
  <c r="AB168" i="20"/>
  <c r="AB167" i="20"/>
  <c r="L123" i="20"/>
  <c r="L159" i="20" s="1"/>
  <c r="AE121" i="20"/>
  <c r="AE119" i="20"/>
  <c r="AD123" i="20"/>
  <c r="AC148" i="20"/>
  <c r="AC157" i="20" s="1"/>
  <c r="AC159" i="20" s="1"/>
  <c r="AD127" i="20"/>
  <c r="Z175" i="20"/>
  <c r="Y161" i="34"/>
  <c r="Y165" i="34" s="1"/>
  <c r="AF121" i="20"/>
  <c r="AF119" i="20"/>
  <c r="AA171" i="20"/>
  <c r="Y177" i="20"/>
  <c r="Y178" i="20"/>
  <c r="M121" i="20"/>
  <c r="M119" i="20"/>
  <c r="H177" i="20"/>
  <c r="H178" i="20"/>
  <c r="M142" i="34"/>
  <c r="M147" i="34" s="1"/>
  <c r="N140" i="34"/>
  <c r="AE152" i="20"/>
  <c r="AF150" i="20"/>
  <c r="AF152" i="20" s="1"/>
  <c r="X167" i="34"/>
  <c r="X168" i="34"/>
  <c r="N114" i="20"/>
  <c r="O109" i="20"/>
  <c r="O114" i="20" s="1"/>
  <c r="I161" i="34"/>
  <c r="I165" i="34" s="1"/>
  <c r="I173" i="20"/>
  <c r="I175" i="20" s="1"/>
  <c r="N166" i="20"/>
  <c r="N153" i="34"/>
  <c r="N156" i="34" s="1"/>
  <c r="O163" i="20"/>
  <c r="AD104" i="34"/>
  <c r="AE99" i="34"/>
  <c r="AE104" i="34" s="1"/>
  <c r="AE117" i="34"/>
  <c r="O109" i="34"/>
  <c r="O111" i="34"/>
  <c r="N111" i="34"/>
  <c r="N109" i="34"/>
  <c r="M113" i="34"/>
  <c r="AB113" i="34"/>
  <c r="AB149" i="34" s="1"/>
  <c r="AC111" i="34"/>
  <c r="AC109" i="34"/>
  <c r="N138" i="34"/>
  <c r="N148" i="20"/>
  <c r="O147" i="20"/>
  <c r="O113" i="34" l="1"/>
  <c r="K171" i="20"/>
  <c r="M123" i="20"/>
  <c r="J173" i="20"/>
  <c r="J175" i="20" s="1"/>
  <c r="AD162" i="34"/>
  <c r="AF172" i="20"/>
  <c r="AE162" i="34" s="1"/>
  <c r="AE123" i="20"/>
  <c r="J167" i="34"/>
  <c r="AA157" i="34"/>
  <c r="AA158" i="34"/>
  <c r="AC137" i="34"/>
  <c r="AC138" i="34" s="1"/>
  <c r="AC147" i="34" s="1"/>
  <c r="AE147" i="20"/>
  <c r="M149" i="34"/>
  <c r="M157" i="34" s="1"/>
  <c r="M152" i="20"/>
  <c r="M157" i="20" s="1"/>
  <c r="M159" i="20" s="1"/>
  <c r="N150" i="20"/>
  <c r="N142" i="34"/>
  <c r="N147" i="34" s="1"/>
  <c r="O140" i="34"/>
  <c r="O142" i="34" s="1"/>
  <c r="AA175" i="20"/>
  <c r="Z161" i="34"/>
  <c r="Z165" i="34" s="1"/>
  <c r="Y167" i="34"/>
  <c r="Y168" i="34"/>
  <c r="AF123" i="20"/>
  <c r="Z177" i="20"/>
  <c r="Z178" i="20"/>
  <c r="AD148" i="20"/>
  <c r="AD157" i="20" s="1"/>
  <c r="AD159" i="20" s="1"/>
  <c r="AE127" i="20"/>
  <c r="AB171" i="20"/>
  <c r="O148" i="20"/>
  <c r="O137" i="34"/>
  <c r="O138" i="34" s="1"/>
  <c r="I167" i="34"/>
  <c r="I168" i="34"/>
  <c r="O121" i="20"/>
  <c r="O119" i="20"/>
  <c r="AC168" i="20"/>
  <c r="AC167" i="20"/>
  <c r="L167" i="20"/>
  <c r="L168" i="20"/>
  <c r="L171" i="20" s="1"/>
  <c r="AC113" i="34"/>
  <c r="N113" i="34"/>
  <c r="O153" i="34"/>
  <c r="O156" i="34" s="1"/>
  <c r="O166" i="20"/>
  <c r="I177" i="20"/>
  <c r="I178" i="20"/>
  <c r="N121" i="20"/>
  <c r="N119" i="20"/>
  <c r="N123" i="20" s="1"/>
  <c r="AB158" i="34"/>
  <c r="AB157" i="34"/>
  <c r="AE109" i="34"/>
  <c r="AE111" i="34"/>
  <c r="AD111" i="34"/>
  <c r="AD109" i="34"/>
  <c r="K161" i="34" l="1"/>
  <c r="K165" i="34" s="1"/>
  <c r="K173" i="20"/>
  <c r="K175" i="20" s="1"/>
  <c r="M158" i="34"/>
  <c r="N149" i="34"/>
  <c r="N157" i="34" s="1"/>
  <c r="J177" i="20"/>
  <c r="J178" i="20"/>
  <c r="AC149" i="34"/>
  <c r="AC157" i="34" s="1"/>
  <c r="M168" i="20"/>
  <c r="M171" i="20" s="1"/>
  <c r="M167" i="20"/>
  <c r="O123" i="20"/>
  <c r="O147" i="34"/>
  <c r="O149" i="34" s="1"/>
  <c r="AD137" i="34"/>
  <c r="AD138" i="34" s="1"/>
  <c r="AD147" i="34" s="1"/>
  <c r="AF147" i="20"/>
  <c r="AE137" i="34" s="1"/>
  <c r="AE138" i="34" s="1"/>
  <c r="AE147" i="34" s="1"/>
  <c r="O150" i="20"/>
  <c r="O152" i="20" s="1"/>
  <c r="O157" i="20" s="1"/>
  <c r="O159" i="20" s="1"/>
  <c r="N152" i="20"/>
  <c r="N157" i="20" s="1"/>
  <c r="L161" i="34"/>
  <c r="L165" i="34" s="1"/>
  <c r="L173" i="20"/>
  <c r="L175" i="20" s="1"/>
  <c r="L178" i="20" s="1"/>
  <c r="AE148" i="20"/>
  <c r="AE157" i="20" s="1"/>
  <c r="AE159" i="20" s="1"/>
  <c r="AF127" i="20"/>
  <c r="AF148" i="20" s="1"/>
  <c r="AF157" i="20" s="1"/>
  <c r="AF159" i="20" s="1"/>
  <c r="AC171" i="20"/>
  <c r="AC173" i="20"/>
  <c r="AB163" i="34" s="1"/>
  <c r="AD168" i="20"/>
  <c r="AD167" i="20"/>
  <c r="Z167" i="34"/>
  <c r="Z168" i="34"/>
  <c r="N159" i="20"/>
  <c r="AB175" i="20"/>
  <c r="AA161" i="34"/>
  <c r="AA165" i="34" s="1"/>
  <c r="AA177" i="20"/>
  <c r="AA178" i="20"/>
  <c r="AD113" i="34"/>
  <c r="AE113" i="34"/>
  <c r="AE149" i="34" s="1"/>
  <c r="L177" i="20"/>
  <c r="K178" i="20" l="1"/>
  <c r="K177" i="20"/>
  <c r="K167" i="34"/>
  <c r="K168" i="34"/>
  <c r="N158" i="34"/>
  <c r="N163" i="34" s="1"/>
  <c r="N165" i="34" s="1"/>
  <c r="N167" i="34" s="1"/>
  <c r="AD149" i="34"/>
  <c r="AD158" i="34" s="1"/>
  <c r="AC158" i="34"/>
  <c r="O158" i="34"/>
  <c r="O163" i="34" s="1"/>
  <c r="O165" i="34" s="1"/>
  <c r="O167" i="34" s="1"/>
  <c r="O157" i="34"/>
  <c r="AA167" i="34"/>
  <c r="AA168" i="34"/>
  <c r="AB177" i="20"/>
  <c r="AB178" i="20"/>
  <c r="N168" i="20"/>
  <c r="N167" i="20"/>
  <c r="AB161" i="34"/>
  <c r="AB165" i="34" s="1"/>
  <c r="AC175" i="20"/>
  <c r="N171" i="20"/>
  <c r="O171" i="20" s="1"/>
  <c r="M161" i="34"/>
  <c r="M163" i="34" s="1"/>
  <c r="M165" i="34" s="1"/>
  <c r="M173" i="20"/>
  <c r="M175" i="20" s="1"/>
  <c r="O168" i="20"/>
  <c r="O167" i="20"/>
  <c r="AD171" i="20"/>
  <c r="AD173" i="20"/>
  <c r="AC163" i="34" s="1"/>
  <c r="AF167" i="20"/>
  <c r="AF168" i="20"/>
  <c r="AE167" i="20"/>
  <c r="AE168" i="20"/>
  <c r="L167" i="34"/>
  <c r="L168" i="34"/>
  <c r="AE157" i="34"/>
  <c r="AE158" i="34"/>
  <c r="AD157" i="34"/>
  <c r="N168" i="34" l="1"/>
  <c r="O168" i="34"/>
  <c r="O173" i="20"/>
  <c r="O175" i="20" s="1"/>
  <c r="O178" i="20" s="1"/>
  <c r="O177" i="20"/>
  <c r="M177" i="20"/>
  <c r="M178" i="20"/>
  <c r="AC177" i="20"/>
  <c r="AC178" i="20"/>
  <c r="AD175" i="20"/>
  <c r="AC161" i="34"/>
  <c r="AC165" i="34" s="1"/>
  <c r="M167" i="34"/>
  <c r="M168" i="34"/>
  <c r="AB167" i="34"/>
  <c r="AB168" i="34"/>
  <c r="AF173" i="20"/>
  <c r="AE163" i="34" s="1"/>
  <c r="AE171" i="20"/>
  <c r="AE173" i="20"/>
  <c r="AD163" i="34" s="1"/>
  <c r="N173" i="20"/>
  <c r="N175" i="20" s="1"/>
  <c r="N177" i="20" s="1"/>
  <c r="N178" i="20" l="1"/>
  <c r="AC167" i="34"/>
  <c r="AC168" i="34"/>
  <c r="AD161" i="34"/>
  <c r="AD165" i="34" s="1"/>
  <c r="AE175" i="20"/>
  <c r="AF171" i="20"/>
  <c r="AD178" i="20"/>
  <c r="AD177" i="20"/>
  <c r="AE178" i="20" l="1"/>
  <c r="AE177" i="20"/>
  <c r="AD167" i="34"/>
  <c r="AD168" i="34"/>
  <c r="AF175" i="20"/>
  <c r="AE161" i="34"/>
  <c r="AE165" i="34" s="1"/>
  <c r="AE167" i="34" l="1"/>
  <c r="AE168" i="34"/>
  <c r="AF177" i="20"/>
  <c r="AF178" i="20"/>
</calcChain>
</file>

<file path=xl/comments1.xml><?xml version="1.0" encoding="utf-8"?>
<comments xmlns="http://schemas.openxmlformats.org/spreadsheetml/2006/main">
  <authors>
    <author>Harrington, Sean (COM)</author>
  </authors>
  <commentList>
    <comment ref="D68" authorId="0">
      <text>
        <r>
          <rPr>
            <b/>
            <sz val="9"/>
            <color indexed="81"/>
            <rFont val="Tahoma"/>
            <family val="2"/>
          </rPr>
          <t>Note:</t>
        </r>
        <r>
          <rPr>
            <sz val="9"/>
            <color indexed="81"/>
            <rFont val="Tahoma"/>
            <family val="2"/>
          </rPr>
          <t xml:space="preserve">
If you claim points for Criterion 5.2a, you CANNOT also claim points for Criterion 5.8a, 5.8c, or 5.10</t>
        </r>
      </text>
    </comment>
    <comment ref="D69" author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76" authorId="0">
      <text>
        <r>
          <rPr>
            <b/>
            <sz val="9"/>
            <color indexed="81"/>
            <rFont val="Tahoma"/>
            <family val="2"/>
          </rPr>
          <t xml:space="preserve">Note:
</t>
        </r>
        <r>
          <rPr>
            <sz val="9"/>
            <color indexed="81"/>
            <rFont val="Tahoma"/>
            <family val="2"/>
          </rPr>
          <t>If you claim points for Criterion 5.2a, you CANNOT also claim points for Criterion 5.8a</t>
        </r>
      </text>
    </comment>
    <comment ref="D78" authorId="0">
      <text>
        <r>
          <rPr>
            <b/>
            <sz val="9"/>
            <color indexed="81"/>
            <rFont val="Tahoma"/>
            <family val="2"/>
          </rPr>
          <t xml:space="preserve">Note:
</t>
        </r>
        <r>
          <rPr>
            <sz val="9"/>
            <color indexed="81"/>
            <rFont val="Tahoma"/>
            <family val="2"/>
          </rPr>
          <t>If you claim points for Criterion 5.2a, you CANNOT also claim points for Criterion 5.8c</t>
        </r>
      </text>
    </comment>
    <comment ref="D80" authorId="0">
      <text>
        <r>
          <rPr>
            <b/>
            <sz val="9"/>
            <color indexed="81"/>
            <rFont val="Tahoma"/>
            <family val="2"/>
          </rPr>
          <t xml:space="preserve">Note:
</t>
        </r>
        <r>
          <rPr>
            <sz val="9"/>
            <color indexed="81"/>
            <rFont val="Tahoma"/>
            <family val="2"/>
          </rPr>
          <t xml:space="preserve">If you claim points for Criterion 5.2a, you CANNOT also claim points for Criterion 5.10
</t>
        </r>
      </text>
    </comment>
    <comment ref="D81" author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82"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D83"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List>
</comments>
</file>

<file path=xl/comments2.xml><?xml version="1.0" encoding="utf-8"?>
<comments xmlns="http://schemas.openxmlformats.org/spreadsheetml/2006/main">
  <authors>
    <author>Harrington, Sean (COM)</author>
  </authors>
  <commentList>
    <comment ref="D68" authorId="0">
      <text>
        <r>
          <rPr>
            <b/>
            <sz val="9"/>
            <color indexed="81"/>
            <rFont val="Tahoma"/>
            <family val="2"/>
          </rPr>
          <t>Note:</t>
        </r>
        <r>
          <rPr>
            <sz val="9"/>
            <color indexed="81"/>
            <rFont val="Tahoma"/>
            <family val="2"/>
          </rPr>
          <t xml:space="preserve">
If you claim points for Criterion 5.2a, you CANNOT also claim points for Criterion 5.8a, 5.8c, or 5.10</t>
        </r>
      </text>
    </comment>
    <comment ref="D69" author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76" authorId="0">
      <text>
        <r>
          <rPr>
            <b/>
            <sz val="9"/>
            <color indexed="81"/>
            <rFont val="Tahoma"/>
            <family val="2"/>
          </rPr>
          <t xml:space="preserve">Note:
</t>
        </r>
        <r>
          <rPr>
            <sz val="9"/>
            <color indexed="81"/>
            <rFont val="Tahoma"/>
            <family val="2"/>
          </rPr>
          <t>If you claim points for Criterion 5.2a, you CANNOT also claim points for Criterion 5.8a</t>
        </r>
      </text>
    </comment>
    <comment ref="D78" authorId="0">
      <text>
        <r>
          <rPr>
            <b/>
            <sz val="9"/>
            <color indexed="81"/>
            <rFont val="Tahoma"/>
            <family val="2"/>
          </rPr>
          <t xml:space="preserve">Note:
</t>
        </r>
        <r>
          <rPr>
            <sz val="9"/>
            <color indexed="81"/>
            <rFont val="Tahoma"/>
            <family val="2"/>
          </rPr>
          <t>If you claim points for Criterion 5.2a, you CANNOT also claim points for Criterion 5.8c</t>
        </r>
      </text>
    </comment>
    <comment ref="D80" authorId="0">
      <text>
        <r>
          <rPr>
            <b/>
            <sz val="9"/>
            <color indexed="81"/>
            <rFont val="Tahoma"/>
            <family val="2"/>
          </rPr>
          <t xml:space="preserve">Note:
</t>
        </r>
        <r>
          <rPr>
            <sz val="9"/>
            <color indexed="81"/>
            <rFont val="Tahoma"/>
            <family val="2"/>
          </rPr>
          <t xml:space="preserve">If you claim points for Criterion 5.2a, you CANNOT also claim points for Criterion 5.10
</t>
        </r>
      </text>
    </comment>
    <comment ref="D81" authorId="0">
      <text>
        <r>
          <rPr>
            <b/>
            <sz val="9"/>
            <color indexed="81"/>
            <rFont val="Tahoma"/>
            <family val="2"/>
          </rPr>
          <t xml:space="preserve">NOTE:
</t>
        </r>
        <r>
          <rPr>
            <sz val="9"/>
            <color indexed="81"/>
            <rFont val="Tahoma"/>
            <family val="2"/>
          </rPr>
          <t>If you claim points for Criterion 5.2b, you CANNOT also claim points for Criteria 5.11,5.12 or 5.13</t>
        </r>
      </text>
    </comment>
    <comment ref="D82"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 ref="D83" authorId="0">
      <text>
        <r>
          <rPr>
            <b/>
            <sz val="9"/>
            <color indexed="81"/>
            <rFont val="Tahoma"/>
            <family val="2"/>
          </rPr>
          <t>NOTE:</t>
        </r>
        <r>
          <rPr>
            <sz val="9"/>
            <color indexed="81"/>
            <rFont val="Tahoma"/>
            <family val="2"/>
          </rPr>
          <t xml:space="preserve">
If you claim points for Criterion 5.2b, you CANNOT also claim points for Criteria 5.11,5.12 or 5.13</t>
        </r>
      </text>
    </comment>
  </commentList>
</comments>
</file>

<file path=xl/comments3.xml><?xml version="1.0" encoding="utf-8"?>
<comments xmlns="http://schemas.openxmlformats.org/spreadsheetml/2006/main">
  <authors>
    <author>Harrington, Sean (COM)</author>
  </authors>
  <commentList>
    <comment ref="N23" authorId="0">
      <text>
        <r>
          <rPr>
            <b/>
            <sz val="9"/>
            <color indexed="81"/>
            <rFont val="Tahoma"/>
            <family val="2"/>
          </rPr>
          <t>Commerce</t>
        </r>
        <r>
          <rPr>
            <sz val="9"/>
            <color indexed="81"/>
            <rFont val="Tahoma"/>
            <family val="2"/>
          </rPr>
          <t xml:space="preserve">
(e.g. deferred, cash flow only)</t>
        </r>
      </text>
    </comment>
    <comment ref="N53" authorId="0">
      <text>
        <r>
          <rPr>
            <b/>
            <sz val="9"/>
            <color indexed="81"/>
            <rFont val="Tahoma"/>
            <family val="2"/>
          </rPr>
          <t xml:space="preserve">Commerce
</t>
        </r>
        <r>
          <rPr>
            <sz val="9"/>
            <color indexed="81"/>
            <rFont val="Tahoma"/>
            <family val="2"/>
          </rPr>
          <t>(e.g. deferred, cash flow only)</t>
        </r>
      </text>
    </comment>
  </commentList>
</comments>
</file>

<file path=xl/comments4.xml><?xml version="1.0" encoding="utf-8"?>
<comments xmlns="http://schemas.openxmlformats.org/spreadsheetml/2006/main">
  <authors>
    <author>Harrington, Sean (COM)</author>
  </authors>
  <commentList>
    <comment ref="I14" authorId="0">
      <text>
        <r>
          <rPr>
            <b/>
            <sz val="9"/>
            <color indexed="81"/>
            <rFont val="Tahoma"/>
            <family val="2"/>
          </rPr>
          <t xml:space="preserve">Commerce:
</t>
        </r>
        <r>
          <rPr>
            <sz val="9"/>
            <color indexed="81"/>
            <rFont val="Tahoma"/>
            <family val="2"/>
          </rPr>
          <t xml:space="preserve">List "Current" if still managing
</t>
        </r>
      </text>
    </comment>
    <comment ref="J14" authorId="0">
      <text>
        <r>
          <rPr>
            <b/>
            <sz val="9"/>
            <color indexed="81"/>
            <rFont val="Tahoma"/>
            <family val="2"/>
          </rPr>
          <t>Commerce:</t>
        </r>
        <r>
          <rPr>
            <sz val="9"/>
            <color indexed="81"/>
            <rFont val="Tahoma"/>
            <family val="2"/>
          </rPr>
          <t xml:space="preserve">
HUD, HTF, LIHTC, etc.</t>
        </r>
      </text>
    </comment>
  </commentList>
</comments>
</file>

<file path=xl/sharedStrings.xml><?xml version="1.0" encoding="utf-8"?>
<sst xmlns="http://schemas.openxmlformats.org/spreadsheetml/2006/main" count="3867" uniqueCount="1619">
  <si>
    <t>Form 1A: Project Summary</t>
  </si>
  <si>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</si>
  <si>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</si>
  <si>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</si>
  <si>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</si>
  <si>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</si>
  <si>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</si>
  <si>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</si>
  <si>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</si>
  <si>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</si>
  <si>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</si>
  <si>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</si>
  <si>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</si>
  <si>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</si>
  <si>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</si>
  <si>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</si>
  <si>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</si>
  <si>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</si>
  <si>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</si>
  <si>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</si>
  <si>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</si>
  <si>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</si>
  <si>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</si>
  <si>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</si>
  <si>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</si>
  <si>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</si>
  <si>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</si>
  <si>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</si>
  <si>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</si>
  <si>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</si>
  <si>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</si>
  <si>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</si>
  <si>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</si>
  <si>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</si>
  <si>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</si>
  <si>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</si>
  <si>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</si>
  <si>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Form 1B: Unit Configuration and Affordability</t>
  </si>
  <si>
    <t>AMI 
Targets</t>
  </si>
  <si>
    <t>Beds</t>
  </si>
  <si>
    <t>SRO</t>
  </si>
  <si>
    <t>Studio</t>
  </si>
  <si>
    <t>1BR</t>
  </si>
  <si>
    <t>2BR</t>
  </si>
  <si>
    <t>3BR</t>
  </si>
  <si>
    <t>4BR</t>
  </si>
  <si>
    <t>5BR</t>
  </si>
  <si>
    <t>Total Units</t>
  </si>
  <si>
    <t>Total Low-Income Units</t>
  </si>
  <si>
    <t xml:space="preserve">Market Rate </t>
  </si>
  <si>
    <t>Common Area</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</si>
  <si>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</si>
  <si>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</si>
  <si>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</si>
  <si>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</si>
  <si>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</si>
  <si>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</si>
  <si>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</si>
  <si>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</si>
  <si>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</si>
  <si>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</si>
  <si>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Expected Placed-In-Service Date</t>
  </si>
  <si>
    <t>Form 2B: Square Footage Details</t>
  </si>
  <si>
    <t>Project Name</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</si>
  <si>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</si>
  <si>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</si>
  <si>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</si>
  <si>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</si>
  <si>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</si>
  <si>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</si>
  <si>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</si>
  <si>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</si>
  <si>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</si>
  <si>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</si>
  <si>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</si>
  <si>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</si>
  <si>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</si>
  <si>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</si>
  <si>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</si>
  <si>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</si>
  <si>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</si>
  <si>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</si>
  <si>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</si>
  <si>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</si>
  <si>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 Units /Beds</t>
  </si>
  <si>
    <t>Population Type Notes</t>
  </si>
  <si>
    <t>Form 4: Relocation Budget</t>
  </si>
  <si>
    <t>Activities</t>
  </si>
  <si>
    <t>Cost per Household/Business</t>
  </si>
  <si>
    <t>Number to be Assisted</t>
  </si>
  <si>
    <t>Budget</t>
  </si>
  <si>
    <t>Relocation rental/purchase assistance by size of unit to be replaced</t>
  </si>
  <si>
    <t>1 bedroom</t>
  </si>
  <si>
    <t>2 bedrooms</t>
  </si>
  <si>
    <t>3 bedrooms</t>
  </si>
  <si>
    <t>4 bedrooms</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</si>
  <si>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</si>
  <si>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</si>
  <si>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</si>
  <si>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</si>
  <si>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</si>
  <si>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</si>
  <si>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</si>
  <si>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</si>
  <si>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</si>
  <si>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</si>
  <si>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Status</t>
  </si>
  <si>
    <t xml:space="preserve">Site Control </t>
  </si>
  <si>
    <t>Purchase and Sale Agreement / Option</t>
  </si>
  <si>
    <t>Site Control</t>
  </si>
  <si>
    <t>Maximum Extensions</t>
  </si>
  <si>
    <t>Closing</t>
  </si>
  <si>
    <r>
      <t>Feasibility/Due Diligence</t>
    </r>
    <r>
      <rPr>
        <i/>
        <sz val="10"/>
        <rFont val="Arial"/>
        <family val="2"/>
      </rPr>
      <t xml:space="preserve"> </t>
    </r>
  </si>
  <si>
    <t>Site survey</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</si>
  <si>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</si>
  <si>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</si>
  <si>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</si>
  <si>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</si>
  <si>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</si>
  <si>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</si>
  <si>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</si>
  <si>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</si>
  <si>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</si>
  <si>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</si>
  <si>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 xml:space="preserve">Financing </t>
  </si>
  <si>
    <t>Appraisal</t>
  </si>
  <si>
    <t>Financing</t>
  </si>
  <si>
    <t>Financial underwriting</t>
  </si>
  <si>
    <t>Construction cost estimate</t>
  </si>
  <si>
    <t>Lender selection</t>
  </si>
  <si>
    <t>Funding for services</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</si>
  <si>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</si>
  <si>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</si>
  <si>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</si>
  <si>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</si>
  <si>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</si>
  <si>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</si>
  <si>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</si>
  <si>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</si>
  <si>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</si>
  <si>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Form 5: Project Schedule (Page 2)</t>
  </si>
  <si>
    <t xml:space="preserve">Construction </t>
  </si>
  <si>
    <t>Selection of general contractor</t>
  </si>
  <si>
    <t>Begin construction</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</si>
  <si>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</si>
  <si>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</si>
  <si>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</si>
  <si>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</si>
  <si>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</si>
  <si>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</si>
  <si>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</si>
  <si>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</si>
  <si>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</si>
  <si>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</si>
  <si>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Form 6A: Development Budgets</t>
  </si>
  <si>
    <t>Date of Budget</t>
  </si>
  <si>
    <t>% Total Project Cost</t>
  </si>
  <si>
    <t>Total Project Cost</t>
  </si>
  <si>
    <t>R  E  S  I  D  E  N  T  I  A  L</t>
  </si>
  <si>
    <t>Residential total</t>
  </si>
  <si>
    <t>Source:</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</si>
  <si>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</si>
  <si>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</si>
  <si>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</si>
  <si>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</si>
  <si>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</si>
  <si>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</si>
  <si>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</si>
  <si>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</si>
  <si>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</si>
  <si>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</si>
  <si>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</si>
  <si>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</si>
  <si>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</si>
  <si>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</si>
  <si>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</si>
  <si>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</si>
  <si>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</si>
  <si>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</si>
  <si>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</si>
  <si>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</si>
  <si>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</si>
  <si>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</si>
  <si>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</si>
  <si>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</si>
  <si>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</si>
  <si>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</si>
  <si>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</si>
  <si>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</si>
  <si>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</si>
  <si>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</si>
  <si>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</si>
  <si>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</si>
  <si>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</si>
  <si>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</si>
  <si>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</si>
  <si>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</si>
  <si>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</si>
  <si>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</si>
  <si>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</si>
  <si>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</si>
  <si>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</si>
  <si>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</si>
  <si>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</si>
  <si>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</si>
  <si>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</si>
  <si>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</si>
  <si>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</si>
  <si>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</si>
  <si>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</si>
  <si>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</si>
  <si>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</si>
  <si>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</si>
  <si>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</si>
  <si>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</si>
  <si>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</si>
  <si>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</si>
  <si>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</si>
  <si>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</si>
  <si>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</si>
  <si>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</si>
  <si>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</si>
  <si>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</si>
  <si>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</si>
  <si>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</si>
  <si>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</si>
  <si>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</si>
  <si>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</si>
  <si>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</si>
  <si>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</si>
  <si>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</si>
  <si>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</si>
  <si>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</si>
  <si>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</si>
  <si>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</si>
  <si>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</si>
  <si>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</si>
  <si>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</si>
  <si>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</si>
  <si>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</si>
  <si>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</si>
  <si>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</si>
  <si>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</si>
  <si>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</si>
  <si>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</si>
  <si>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</si>
  <si>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</si>
  <si>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</si>
  <si>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</si>
  <si>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</si>
  <si>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</si>
  <si>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Form 6D: LIHTC Calculation</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</si>
  <si>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</si>
  <si>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</si>
  <si>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</si>
  <si>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</si>
  <si>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</si>
  <si>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</si>
  <si>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</si>
  <si>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</si>
  <si>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</si>
  <si>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</si>
  <si>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</si>
  <si>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</si>
  <si>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</si>
  <si>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</si>
  <si>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</si>
  <si>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</si>
  <si>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</si>
  <si>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</si>
  <si>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</si>
  <si>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</si>
  <si>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</si>
  <si>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</si>
  <si>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</si>
  <si>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</si>
  <si>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</si>
  <si>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</si>
  <si>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</si>
  <si>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</si>
  <si>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</si>
  <si>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</si>
  <si>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</si>
  <si>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</si>
  <si>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</si>
  <si>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</si>
  <si>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</si>
  <si>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</si>
  <si>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</si>
  <si>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</si>
  <si>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</si>
  <si>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</si>
  <si>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</si>
  <si>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</si>
  <si>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</si>
  <si>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</si>
  <si>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</si>
  <si>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</si>
  <si>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</si>
  <si>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</si>
  <si>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</si>
  <si>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</si>
  <si>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</si>
  <si>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</si>
  <si>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</si>
  <si>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</si>
  <si>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</si>
  <si>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</si>
  <si>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</si>
  <si>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</si>
  <si>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</si>
  <si>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</si>
  <si>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</si>
  <si>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</si>
  <si>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</si>
  <si>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</si>
  <si>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Residential Sources</t>
  </si>
  <si>
    <t>Grant / Loan</t>
  </si>
  <si>
    <t>Public / Private</t>
  </si>
  <si>
    <t>Application Date</t>
  </si>
  <si>
    <t>(Projected) Award Date</t>
  </si>
  <si>
    <t xml:space="preserve"> Loan Term</t>
  </si>
  <si>
    <t>Subtotal</t>
  </si>
  <si>
    <t>Residential Sources (excluding LIHTC Equity)</t>
  </si>
  <si>
    <t xml:space="preserve"> </t>
  </si>
  <si>
    <t>Total Residential Sources</t>
  </si>
  <si>
    <t>Permanent Financing - Non-Residential</t>
  </si>
  <si>
    <t>Total Non Residential Sources</t>
  </si>
  <si>
    <t xml:space="preserve">Project Name: </t>
  </si>
  <si>
    <t>Date:</t>
  </si>
  <si>
    <t>Sources and Amounts of Revenue</t>
  </si>
  <si>
    <t>Quarter 4</t>
  </si>
  <si>
    <t>Quarter 1</t>
  </si>
  <si>
    <t>Quarter 2</t>
  </si>
  <si>
    <t>Quarter 3</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</si>
  <si>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</si>
  <si>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</si>
  <si>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</si>
  <si>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</si>
  <si>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</si>
  <si>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</si>
  <si>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</si>
  <si>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</si>
  <si>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</si>
  <si>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</si>
  <si>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</si>
  <si>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cross-check</t>
  </si>
  <si>
    <t>% of Median 
Income Served</t>
  </si>
  <si>
    <t>Unit Size</t>
  </si>
  <si>
    <t>Tenant - Paid Monthly Rent</t>
  </si>
  <si>
    <t>Tenant - Paid Utilities</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</si>
  <si>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</si>
  <si>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</si>
  <si>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</si>
  <si>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</si>
  <si>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</si>
  <si>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</si>
  <si>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</si>
  <si>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ANNUAL RENT SUBSIDY SOURCES (Do Not Include Operating or Service Funding Sources Here)</t>
  </si>
  <si>
    <t>Proposed 
Funding</t>
  </si>
  <si>
    <t>Committed/ 
Conditional Funding</t>
  </si>
  <si>
    <t>Total 
Funding</t>
  </si>
  <si>
    <t>Length of Commitment</t>
  </si>
  <si>
    <t>Total Annual Rent Subsidy</t>
  </si>
  <si>
    <t>ANNUAL OPERATING SUBSIDY SOURCES (Do Not Include Service or Rent Subsidy Dollars Here)</t>
  </si>
  <si>
    <t>Total Annual Operating Subsidy Sources</t>
  </si>
  <si>
    <t>ANNUAL SERVICE FUNDING SOURCES (Do Not Include Operating or Rent Subsidy Dollars Here)</t>
  </si>
  <si>
    <t>Form 8C: Operating Personnel Expenses</t>
  </si>
  <si>
    <t>On-Site Staff</t>
  </si>
  <si>
    <t>Staff Title</t>
  </si>
  <si>
    <t>Name of agency that employs this person</t>
  </si>
  <si>
    <t xml:space="preserve">Full-time Annual Salary of an FTE in this position. </t>
  </si>
  <si>
    <t>% of time this person will work on this project</t>
  </si>
  <si>
    <t>Total cost for this person on this project</t>
  </si>
  <si>
    <t>Benefit Rate (%)</t>
  </si>
  <si>
    <t>Benefit Amount</t>
  </si>
  <si>
    <t>Total Project Cost for This  Person</t>
  </si>
  <si>
    <t>Total On-Site Staff Expenses</t>
  </si>
  <si>
    <t>Off-Site Staff</t>
  </si>
  <si>
    <t>Total Off-Site Staff Expenses</t>
  </si>
  <si>
    <t>Total Operating Personnel Expenses</t>
  </si>
  <si>
    <t>Form 8D: Service Expenses</t>
  </si>
  <si>
    <t>Service Personnel Expenses for First Year of Project</t>
  </si>
  <si>
    <t>Staff Title*</t>
  </si>
  <si>
    <t>Total Project Cost for this  person</t>
  </si>
  <si>
    <t>Service Sources</t>
  </si>
  <si>
    <t>Project Cash Flow</t>
  </si>
  <si>
    <t>Total Service Personnel Expenses</t>
  </si>
  <si>
    <t>Non-Personnel Expenses for First Year of Project</t>
  </si>
  <si>
    <t>Client Assistance Costs**</t>
  </si>
  <si>
    <t>Local Travel/Mileage</t>
  </si>
  <si>
    <t>Equipment***</t>
  </si>
  <si>
    <t>Supplies</t>
  </si>
  <si>
    <t>Telecommunications/Computers</t>
  </si>
  <si>
    <t>Printing/Duplication</t>
  </si>
  <si>
    <t>Project Administrative Costs****</t>
  </si>
  <si>
    <t>Total Services:</t>
  </si>
  <si>
    <t>Form 8E: Operating Pro Forma</t>
  </si>
  <si>
    <t>Pro Forma Date</t>
  </si>
  <si>
    <t>REVENUES</t>
  </si>
  <si>
    <t>Year 1</t>
  </si>
  <si>
    <t>Year 2</t>
  </si>
  <si>
    <t>Year 3</t>
  </si>
  <si>
    <t>Year 4</t>
  </si>
  <si>
    <t>Year 5</t>
  </si>
  <si>
    <t>Year 6</t>
  </si>
  <si>
    <t>Year 7</t>
  </si>
  <si>
    <t xml:space="preserve">Residential Income </t>
  </si>
  <si>
    <t>Escalator</t>
  </si>
  <si>
    <t>Annual Gross Tenant Paid Rental Income</t>
  </si>
  <si>
    <t>Other Source:</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</si>
  <si>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</si>
  <si>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</si>
  <si>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</si>
  <si>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</si>
  <si>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</si>
  <si>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</si>
  <si>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</si>
  <si>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</si>
  <si>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</si>
  <si>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EXPENSES </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</si>
  <si>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</si>
  <si>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</si>
  <si>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</si>
  <si>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</si>
  <si>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</si>
  <si>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</si>
  <si>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</si>
  <si>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</si>
  <si>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</si>
  <si>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</si>
  <si>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</si>
  <si>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</si>
  <si>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</si>
  <si>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</si>
  <si>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</si>
  <si>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</si>
  <si>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</si>
  <si>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</si>
  <si>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</si>
  <si>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</si>
  <si>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</si>
  <si>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</si>
  <si>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</si>
  <si>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</si>
  <si>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</si>
  <si>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</si>
  <si>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</si>
  <si>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</si>
  <si>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</si>
  <si>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</si>
  <si>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</si>
  <si>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</si>
  <si>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</si>
  <si>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Lender 1</t>
  </si>
  <si>
    <t>Lender 2</t>
  </si>
  <si>
    <t>Non-Residential Lender</t>
  </si>
  <si>
    <t>Total Hard Debt Service</t>
  </si>
  <si>
    <t>Debt Coverage Ratio (Hard Debt)</t>
  </si>
  <si>
    <t>Gross Cash Flow</t>
  </si>
  <si>
    <t>Soft Debt</t>
  </si>
  <si>
    <t>Lender 6</t>
  </si>
  <si>
    <t>Total Soft Debt Service</t>
  </si>
  <si>
    <t>Overall Debt Coverage Ratio</t>
  </si>
  <si>
    <t>Net Cash Flow</t>
  </si>
  <si>
    <t>Year 8</t>
  </si>
  <si>
    <t>Year 9</t>
  </si>
  <si>
    <t>Year 10</t>
  </si>
  <si>
    <t>Year 11</t>
  </si>
  <si>
    <t>Year 12</t>
  </si>
  <si>
    <t>Year 13</t>
  </si>
  <si>
    <t>Year 14</t>
  </si>
  <si>
    <t>Year 15</t>
  </si>
  <si>
    <t>Other:</t>
  </si>
  <si>
    <t>Less Residential Vacancy</t>
  </si>
  <si>
    <t xml:space="preserve">Less Non-Residential Vacancy </t>
  </si>
  <si>
    <t>Vacancy Rates and Inflation Factors</t>
  </si>
  <si>
    <t>Please explain how you arrived at the vacancy and inflation factors used in the Operating Pro Forma</t>
  </si>
  <si>
    <t xml:space="preserve">Operating Expense Estimates </t>
  </si>
  <si>
    <t>Heat</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</si>
  <si>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</si>
  <si>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</si>
  <si>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</si>
  <si>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</si>
  <si>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</si>
  <si>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</si>
  <si>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</si>
  <si>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</si>
  <si>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</si>
  <si>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</si>
  <si>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</si>
  <si>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</si>
  <si>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</si>
  <si>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</si>
  <si>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</si>
  <si>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</si>
  <si>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</si>
  <si>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</si>
  <si>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</si>
  <si>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</si>
  <si>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</si>
  <si>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</si>
  <si>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</si>
  <si>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</si>
  <si>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</si>
  <si>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</si>
  <si>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</si>
  <si>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</si>
  <si>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</si>
  <si>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</si>
  <si>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</si>
  <si>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</si>
  <si>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</si>
  <si>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</si>
  <si>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</si>
  <si>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</si>
  <si>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</si>
  <si>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</si>
  <si>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</si>
  <si>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</si>
  <si>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</si>
  <si>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</si>
  <si>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</si>
  <si>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</si>
  <si>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</si>
  <si>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</si>
  <si>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</si>
  <si>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</si>
  <si>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</si>
  <si>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</si>
  <si>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</si>
  <si>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</si>
  <si>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</si>
  <si>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</si>
  <si>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</si>
  <si>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</si>
  <si>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</si>
  <si>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</si>
  <si>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</si>
  <si>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</si>
  <si>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End (projected Placed in Service Date)</t>
  </si>
  <si>
    <t>Development Consultant History</t>
  </si>
  <si>
    <t>Developer Consultant Name:</t>
  </si>
  <si>
    <t xml:space="preserve">Development Consultant Pipeline </t>
  </si>
  <si>
    <t>Management Company:</t>
  </si>
  <si>
    <t xml:space="preserve"> Projects</t>
  </si>
  <si>
    <t>Population Served</t>
  </si>
  <si>
    <t>Effective Date of Mangement Contract</t>
  </si>
  <si>
    <t>Form 11A: 9% LIHTC Scoring Synopsis</t>
  </si>
  <si>
    <t>POINTS
SELECTED</t>
  </si>
  <si>
    <t>The Applicant commits the Project to serve the following combination of Income Set-Asides:</t>
  </si>
  <si>
    <t>Lower Income County:</t>
  </si>
  <si>
    <t>Select Lower Income County</t>
  </si>
  <si>
    <t>Set-Aside Combination:</t>
  </si>
  <si>
    <t>None</t>
  </si>
  <si>
    <t>Higher Income County:</t>
  </si>
  <si>
    <t>Select Higher Income County</t>
  </si>
  <si>
    <t>2 points will be awarded for every year of the Additional Low-Income Housing Use Period up to 22 years.</t>
  </si>
  <si>
    <t>No Points Taken</t>
  </si>
  <si>
    <t>Indicate the Priority Population set-aside(s) below.  If you select Category A, you many not select anything under Category B.</t>
  </si>
  <si>
    <t>Five points will be awarded to projects in King County or Metro Counties that have received a funding commitment from a local or county government.  Please see Policies for minimum funding thresholds by county.</t>
  </si>
  <si>
    <t>Points will be awarded to projects that have leveraged federal resources.</t>
  </si>
  <si>
    <t xml:space="preserve">CAPITAL FUNDS: </t>
  </si>
  <si>
    <t>Source of Funds:</t>
  </si>
  <si>
    <t>Amount of Funds:</t>
  </si>
  <si>
    <t>% of Total Project Cost:</t>
  </si>
  <si>
    <t>Two Points will be awarded to projects that have received a State Department of Commerce funding commitment of at least $750,000.  Projects in King County may only select these points if they also claim points under #4 above.</t>
  </si>
  <si>
    <t>Project is located in</t>
  </si>
  <si>
    <t>Amount of Department of Commerce Commitment:</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</si>
  <si>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</si>
  <si>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</si>
  <si>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</si>
  <si>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</si>
  <si>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</si>
  <si>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Project Owner makes a commitment to limit the maximum Developer Fees for the Project to:</t>
  </si>
  <si>
    <t>15% - 0 Points</t>
  </si>
  <si>
    <t>Points will be awarded to Rehabilitation projects with expiring federal use agreements that have received preapproval for being at risk of market conversion.</t>
  </si>
  <si>
    <t>Type of federal use restriction:</t>
  </si>
  <si>
    <t>Enter type of federal use restriction</t>
  </si>
  <si>
    <t>Expiration date:</t>
  </si>
  <si>
    <t>Enter expiration date of federal use restriction</t>
  </si>
  <si>
    <t>Number of units at risk:</t>
  </si>
  <si>
    <t>Enter number of units at risk of market conversion</t>
  </si>
  <si>
    <t>Date of Commission Preapproval Request:</t>
  </si>
  <si>
    <t>Enter date preapproval request submitted to WSHFC</t>
  </si>
  <si>
    <t>Points will be awarded to those Projects located on an eligible Indian Reservation or within the service area of an eligible tribe.</t>
  </si>
  <si>
    <t>Eligible Tribe:</t>
  </si>
  <si>
    <t>**Projects claiming these points are not eligible for points under #12-17 below.</t>
  </si>
  <si>
    <t>Two Points will be awarded to those Projects that provide nearby access to food and exceed the minimum Access to Services criterion of ESDS.</t>
  </si>
  <si>
    <t>Select one:</t>
  </si>
  <si>
    <t xml:space="preserve">Project is located in </t>
  </si>
  <si>
    <t>Select location</t>
  </si>
  <si>
    <t>One Point will be awarded to Projects in or near the top 50 Metro or Non-Metro job growth places.</t>
  </si>
  <si>
    <t>Project is located</t>
  </si>
  <si>
    <t>Select Location</t>
  </si>
  <si>
    <t>Select Job Growth Place</t>
  </si>
  <si>
    <t>Five points will be awarded to those Projects that qualify under one of the three scenarios below.  Indicate Nonprofit involvement below:</t>
  </si>
  <si>
    <t>Five points will be awarded to Projects whose Owners agree to contribute to a local Nonprofit Organization an amount equal to the greater of 25 basis points (0.25%) of Total Project Costs; or $10,000.</t>
  </si>
  <si>
    <t>Two points will be awarded to Projects that have a preapproved plan for eventual tenant ownership after the initial 15-year Compliance Period.</t>
  </si>
  <si>
    <t>TOTAL POINTS SELECTED BY APPLICANT</t>
  </si>
  <si>
    <t>Select Additional Low-Income Set-Asides</t>
  </si>
  <si>
    <t>1 point will be awarded for every year of the Additional Low-Income Housing Use Period selected up to 22 years.</t>
  </si>
  <si>
    <t>Indicate Priority Population set-aside(s) below.  Up to two set-asides may be selected, but the same population cannot be selected in both Category A and B.</t>
  </si>
  <si>
    <t xml:space="preserve">Please indicate at least 3 onsite services that will be provided.  </t>
  </si>
  <si>
    <t>Onsite food service</t>
  </si>
  <si>
    <t>Onsite housekeeping and linen service</t>
  </si>
  <si>
    <t>Transportation services</t>
  </si>
  <si>
    <t>Onsite Social Coordinator and regularly scheduled social activities</t>
  </si>
  <si>
    <t>Other service to be approved by the Commission</t>
  </si>
  <si>
    <t>Points will be awarded to projects that create or preserve project-based government rental assistance covering at least 25% of the low-income units.</t>
  </si>
  <si>
    <t xml:space="preserve">RENTAL ASSISTANCE: </t>
  </si>
  <si>
    <t>Number of Units with Rental Assistance</t>
  </si>
  <si>
    <t>Total Low-Income Housing Units</t>
  </si>
  <si>
    <t>% of LIH Units with Rental Assistance</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</si>
  <si>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</si>
  <si>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</si>
  <si>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</si>
  <si>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t xml:space="preserve">Points will be awarded to projects that use taxable bonds as a portion of the project's total bond issue according to the following scale: </t>
  </si>
  <si>
    <t>TAXABLE BONDS</t>
  </si>
  <si>
    <t>Taxable Bond Amount:</t>
  </si>
  <si>
    <t>Tax-Exempt Bond Amount:</t>
  </si>
  <si>
    <t>Total Bond Issue</t>
  </si>
  <si>
    <t>Taxable Bonds as a % of Total Bond Issue:</t>
  </si>
  <si>
    <t>Three points will be awarded to Projects meeting the definition of Rehabilitation Project.</t>
  </si>
  <si>
    <t>Five points will be awarded to Projects meeting the definition of At-Risk Property.</t>
  </si>
  <si>
    <t>Points will be awarded to projects that are located in the following types of properties. Only one category may be selected:</t>
  </si>
  <si>
    <t xml:space="preserve">Three Points will be awarded to those Projects that provide nearby access to food and exceed the minimum Access to Services criterion of ESDS.  </t>
  </si>
  <si>
    <t xml:space="preserve">Three Points will be awarded to those Projects located within the defined geographic boundaries of a planning document that meets the affordable housing policy criteria and is approved by the local governing body.  </t>
  </si>
  <si>
    <t xml:space="preserve">Three Points will be awarded to a Project that is located within the defined geographic boundaries of a Community Revitalization Plan. </t>
  </si>
  <si>
    <t>Two points will be awarded to Projects that qualify under one of the scenarios below.</t>
  </si>
  <si>
    <t>Five points will be awarded to Projects whose Owners agree to contribute funds to a local Nonprofit Organization an amount equal to the greater of 20 basis points (0.20%) of the total bond issue; or $10,000.</t>
  </si>
  <si>
    <t>One Point will be awarded for each amenity that a Project provides for its residents.  The amenities must not currently exist. More than one amenity may be selected for a total of 4 points:</t>
  </si>
  <si>
    <t xml:space="preserve">Indicate which onsite amenities will be provided.  </t>
  </si>
  <si>
    <t>Onsite Community Garden</t>
  </si>
  <si>
    <t>Onsite Business / Learning Center</t>
  </si>
  <si>
    <t>Onsite Playground or Fitness Trail</t>
  </si>
  <si>
    <t xml:space="preserve">Covered and Secured Bicycle Storage </t>
  </si>
  <si>
    <t>TOTAL POINTS SELECTED (30 points minimum required)</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</si>
  <si>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</si>
  <si>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</si>
  <si>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</si>
  <si>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</si>
  <si>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</si>
  <si>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</si>
  <si>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</si>
  <si>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</si>
  <si>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</si>
  <si>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</si>
  <si>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r>
      <t xml:space="preserve">Less Total Residential Sources less LIHTC Equity </t>
    </r>
    <r>
      <rPr>
        <i/>
        <sz val="8"/>
        <color indexed="8"/>
        <rFont val="Calibri"/>
        <family val="2"/>
        <scheme val="minor"/>
      </rPr>
      <t>(from Form 7)</t>
    </r>
  </si>
  <si>
    <r>
      <t xml:space="preserve">Divided by Tax Credit Factor </t>
    </r>
    <r>
      <rPr>
        <sz val="8"/>
        <rFont val="Calibri"/>
        <family val="2"/>
        <scheme val="minor"/>
      </rPr>
      <t>(</t>
    </r>
    <r>
      <rPr>
        <i/>
        <sz val="8"/>
        <rFont val="Calibri"/>
        <family val="2"/>
        <scheme val="minor"/>
      </rPr>
      <t>ESTIMATED 2015 minimum for King County = $0.92, non-King County = $0.85)</t>
    </r>
  </si>
  <si>
    <t>Non Residential Sources</t>
  </si>
  <si>
    <t>Repayment Structure</t>
  </si>
  <si>
    <t xml:space="preserve">Repayment Structure
</t>
  </si>
  <si>
    <t>Loan 
Term</t>
  </si>
  <si>
    <t>Notes</t>
  </si>
  <si>
    <t>#Units /
 Beds</t>
  </si>
  <si>
    <t xml:space="preserve">Market Rate 
Units </t>
  </si>
  <si>
    <t>Total Annual Operating Subsidy</t>
  </si>
  <si>
    <t>Total Annual Services Funding</t>
  </si>
  <si>
    <t>Other (identify and include cost estimate for each)</t>
  </si>
  <si>
    <t># Units</t>
  </si>
  <si>
    <t>End Date</t>
  </si>
  <si>
    <t>Type of Financing</t>
  </si>
  <si>
    <t>Projected PIS Date</t>
  </si>
  <si>
    <t>Additional Low-Income Housing Setasides</t>
  </si>
  <si>
    <t>Additional Low-Income Housing Use Period</t>
  </si>
  <si>
    <t>Housing Commitments for Priority Populations</t>
  </si>
  <si>
    <t>Local Funding Commitment</t>
  </si>
  <si>
    <t>Federal Leverage</t>
  </si>
  <si>
    <t>State Funding Coordination</t>
  </si>
  <si>
    <t>Project-Based Rental Assistance (PBRA)</t>
  </si>
  <si>
    <t>Developer Fees</t>
  </si>
  <si>
    <t>At Risk of Market Conversion</t>
  </si>
  <si>
    <t>Historic Property</t>
  </si>
  <si>
    <r>
      <t xml:space="preserve">Five points will be awarded to </t>
    </r>
    <r>
      <rPr>
        <u/>
        <sz val="10"/>
        <rFont val="Calibri"/>
        <family val="2"/>
        <scheme val="minor"/>
      </rPr>
      <t>New Production</t>
    </r>
    <r>
      <rPr>
        <sz val="10"/>
        <rFont val="Calibri"/>
        <family val="2"/>
        <scheme val="minor"/>
      </rPr>
      <t xml:space="preserve"> Projects meeting the definition of an Historic Property </t>
    </r>
    <r>
      <rPr>
        <u/>
        <sz val="10"/>
        <rFont val="Calibri"/>
        <family val="2"/>
        <scheme val="minor"/>
      </rPr>
      <t>and</t>
    </r>
    <r>
      <rPr>
        <sz val="10"/>
        <rFont val="Calibri"/>
        <family val="2"/>
        <scheme val="minor"/>
      </rPr>
      <t xml:space="preserve"> using the federal Historic Tax Credit in their financing.</t>
    </r>
  </si>
  <si>
    <t>Eligible Tribal Area</t>
  </si>
  <si>
    <t>Area Targeted By a Local Jurisdiction</t>
  </si>
  <si>
    <r>
      <t xml:space="preserve">Two Points will be awared to Projects  in </t>
    </r>
    <r>
      <rPr>
        <u/>
        <sz val="10"/>
        <rFont val="Calibri"/>
        <family val="2"/>
        <scheme val="minor"/>
      </rPr>
      <t>King County or Metro Counties</t>
    </r>
    <r>
      <rPr>
        <sz val="10"/>
        <rFont val="Calibri"/>
        <family val="2"/>
        <scheme val="minor"/>
      </rPr>
      <t xml:space="preserve"> that are located in a specific geographic area that is targeted by the local jurisdiction for affordable housing.</t>
    </r>
  </si>
  <si>
    <t>Community Revitalization Plan</t>
  </si>
  <si>
    <r>
      <t xml:space="preserve">One Point will be awarded to Projects  in </t>
    </r>
    <r>
      <rPr>
        <u/>
        <sz val="10"/>
        <rFont val="Calibri"/>
        <family val="2"/>
        <scheme val="minor"/>
      </rPr>
      <t>King County or Metro Counties</t>
    </r>
    <r>
      <rPr>
        <sz val="10"/>
        <rFont val="Calibri"/>
        <family val="2"/>
        <scheme val="minor"/>
      </rPr>
      <t xml:space="preserve"> that contribute to a preapproved Community Revitalization Plan.</t>
    </r>
  </si>
  <si>
    <t>Transit-Oriented Development (TOD)</t>
  </si>
  <si>
    <r>
      <t xml:space="preserve">One Point will be awarded to Projects  in </t>
    </r>
    <r>
      <rPr>
        <u/>
        <sz val="10"/>
        <rFont val="Calibri"/>
        <family val="2"/>
        <scheme val="minor"/>
      </rPr>
      <t>King County</t>
    </r>
    <r>
      <rPr>
        <sz val="10"/>
        <rFont val="Calibri"/>
        <family val="2"/>
        <scheme val="minor"/>
      </rPr>
      <t xml:space="preserve"> that are located within the 10-minute walkshed of a Transit Oriented Development.</t>
    </r>
  </si>
  <si>
    <t>High and Very High Opportunity Areas</t>
  </si>
  <si>
    <r>
      <t xml:space="preserve">One Point will be awarded to Projects  in </t>
    </r>
    <r>
      <rPr>
        <u/>
        <sz val="10"/>
        <rFont val="Calibri"/>
        <family val="2"/>
        <scheme val="minor"/>
      </rPr>
      <t>King County</t>
    </r>
    <r>
      <rPr>
        <sz val="10"/>
        <rFont val="Calibri"/>
        <family val="2"/>
        <scheme val="minor"/>
      </rPr>
      <t xml:space="preserve"> that are located in a census tract determined to be a High or Very High Opportunity Area.</t>
    </r>
  </si>
  <si>
    <t>Job Centers</t>
  </si>
  <si>
    <t>Nonprofit Sponsor</t>
  </si>
  <si>
    <t>Donation in Support of Local Housing Needs</t>
  </si>
  <si>
    <t>Eventual Tenant Ownership</t>
  </si>
  <si>
    <t>• Elderly Housing Project: RD Section 515 program or a HUD elderly program - 10 Points</t>
  </si>
  <si>
    <t>King County, has not selected #4 and is not eligible for these points.</t>
  </si>
  <si>
    <t>• 22 years - 44 points</t>
  </si>
  <si>
    <t>75% of Total Housing Units as Supportive Housing for the Homeless - 35 Points</t>
  </si>
  <si>
    <r>
      <rPr>
        <i/>
        <sz val="10"/>
        <rFont val="Calibri"/>
        <family val="2"/>
        <scheme val="minor"/>
      </rPr>
      <t>Category A</t>
    </r>
    <r>
      <rPr>
        <sz val="10"/>
        <rFont val="Calibri"/>
        <family val="2"/>
        <scheme val="minor"/>
      </rPr>
      <t>.  75% Supportive Housing for the Homeless (35 points)</t>
    </r>
  </si>
  <si>
    <r>
      <rPr>
        <i/>
        <sz val="10"/>
        <rFont val="Calibri"/>
        <family val="2"/>
        <scheme val="minor"/>
      </rPr>
      <t>Category B</t>
    </r>
    <r>
      <rPr>
        <sz val="10"/>
        <rFont val="Calibri"/>
        <family val="2"/>
        <scheme val="minor"/>
      </rPr>
      <t>.  Housing Commitments for other Priority Populations (Up to Two - 10 points each)</t>
    </r>
  </si>
  <si>
    <t>Expiring Federal Use Restriction</t>
  </si>
  <si>
    <t>Location-Efficient Projects</t>
  </si>
  <si>
    <r>
      <rPr>
        <i/>
        <sz val="10"/>
        <rFont val="Calibri"/>
        <family val="2"/>
        <scheme val="minor"/>
      </rPr>
      <t>Category A</t>
    </r>
    <r>
      <rPr>
        <sz val="10"/>
        <rFont val="Calibri"/>
        <family val="2"/>
        <scheme val="minor"/>
      </rPr>
      <t>.  10% Large Households and/or 10% Persons with Disabilities (5 points each)</t>
    </r>
  </si>
  <si>
    <r>
      <rPr>
        <i/>
        <sz val="10"/>
        <rFont val="Calibri"/>
        <family val="2"/>
        <scheme val="minor"/>
      </rPr>
      <t>Category B</t>
    </r>
    <r>
      <rPr>
        <sz val="10"/>
        <rFont val="Calibri"/>
        <family val="2"/>
        <scheme val="minor"/>
      </rPr>
      <t>.  20% Large Households and/or 20% Persons with Disabilities (10 points each)</t>
    </r>
  </si>
  <si>
    <t>Additional Low-Income Housing Set-Asides</t>
  </si>
  <si>
    <r>
      <rPr>
        <i/>
        <sz val="10"/>
        <color indexed="8"/>
        <rFont val="Calibri"/>
        <family val="2"/>
        <scheme val="minor"/>
      </rPr>
      <t>Category C</t>
    </r>
    <r>
      <rPr>
        <b/>
        <sz val="10"/>
        <color indexed="8"/>
        <rFont val="Calibri"/>
        <family val="2"/>
        <scheme val="minor"/>
      </rPr>
      <t>.</t>
    </r>
    <r>
      <rPr>
        <sz val="10"/>
        <color indexed="8"/>
        <rFont val="Calibri"/>
        <family val="2"/>
        <scheme val="minor"/>
      </rPr>
      <t xml:space="preserve">  100% Seniors with Some Services (10 points)</t>
    </r>
  </si>
  <si>
    <t>Total Project Cost (Form 6D, Cell R116):</t>
  </si>
  <si>
    <t>Leveraging of Public Resources</t>
  </si>
  <si>
    <t>Leveraging of Taxable Bonds</t>
  </si>
  <si>
    <t>Rehabilitation Project</t>
  </si>
  <si>
    <t>At-Risk Property</t>
  </si>
  <si>
    <t>Property Type</t>
  </si>
  <si>
    <t>Area Targeted by a Local Jurisdiction</t>
  </si>
  <si>
    <t>Donation in Support of Nonprofit Programs</t>
  </si>
  <si>
    <t>Development Amenities</t>
  </si>
  <si>
    <t>General</t>
  </si>
  <si>
    <t>Individuals</t>
  </si>
  <si>
    <t>Households with Children</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</si>
  <si>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</si>
  <si>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</si>
  <si>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</si>
  <si>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</si>
  <si>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</si>
  <si>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</si>
  <si>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</si>
  <si>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</si>
  <si>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</si>
  <si>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</si>
  <si>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</si>
  <si>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</si>
  <si>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</si>
  <si>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t>Lower Income Housing Commitment</t>
  </si>
  <si>
    <t xml:space="preserve">• 100% of low-income units at 60% AMI (0 points) </t>
  </si>
  <si>
    <t xml:space="preserve">• 90% of  low-income units at 60% AMI, 10% at 40% AMI (5 points) </t>
  </si>
  <si>
    <t xml:space="preserve">• 70% of low-income units at 60% AMI, 30% at 50% AMI (10 points) </t>
  </si>
  <si>
    <t xml:space="preserve">• 50% of low-income units at 60% AMI, 50% at 50% AMI (15 points) </t>
  </si>
  <si>
    <t>• 30% of low-income units at 60% AMI, 70% at 50% AMI (20 points)</t>
  </si>
  <si>
    <t xml:space="preserve">• 100% of low-income units at 50% AMI (25 points) </t>
  </si>
  <si>
    <t>% of Units</t>
  </si>
  <si>
    <t>Inc_percent</t>
  </si>
  <si>
    <t>Years</t>
  </si>
  <si>
    <t>• 1 year - 1 point</t>
  </si>
  <si>
    <t>• 2 years - 2 points</t>
  </si>
  <si>
    <t>• 3 years - 3 points</t>
  </si>
  <si>
    <t>• 4 years - 4 points</t>
  </si>
  <si>
    <t>• 5 years - 5 points</t>
  </si>
  <si>
    <t>• 6 years - 6 points</t>
  </si>
  <si>
    <t>• 7 years - 7 points</t>
  </si>
  <si>
    <t>• 8 years - 8 points</t>
  </si>
  <si>
    <t>• 9 years - 9 points</t>
  </si>
  <si>
    <t>• 10 years - 10 points</t>
  </si>
  <si>
    <t>• 11 years - 11 points</t>
  </si>
  <si>
    <t>• 12 years - 12 points</t>
  </si>
  <si>
    <t>• 13 years - 13 points</t>
  </si>
  <si>
    <t>• 14 years - 14 points</t>
  </si>
  <si>
    <t>• 15 years - 15 points</t>
  </si>
  <si>
    <t>• 16 years - 16 points</t>
  </si>
  <si>
    <t>• 17 years - 17 points</t>
  </si>
  <si>
    <t>• 18 years - 18 points</t>
  </si>
  <si>
    <t>• 19 years - 19 points</t>
  </si>
  <si>
    <t>• 20 years - 20 points</t>
  </si>
  <si>
    <t>• 21 years - 21 points</t>
  </si>
  <si>
    <t>• 22 years - 22 points</t>
  </si>
  <si>
    <t>PriorityPopulations10</t>
  </si>
  <si>
    <r>
      <t xml:space="preserve">Option 1: </t>
    </r>
    <r>
      <rPr>
        <sz val="11"/>
        <color rgb="FF000000"/>
        <rFont val="Calibri"/>
        <family val="2"/>
        <scheme val="minor"/>
      </rPr>
      <t>10% for Large Households - 5 Points</t>
    </r>
  </si>
  <si>
    <r>
      <t xml:space="preserve">Option 2: </t>
    </r>
    <r>
      <rPr>
        <sz val="11"/>
        <color rgb="FF000000"/>
        <rFont val="Calibri"/>
        <family val="2"/>
        <scheme val="minor"/>
      </rPr>
      <t>10% for Persons with Disabilities - 5 Points</t>
    </r>
  </si>
  <si>
    <r>
      <t xml:space="preserve">Option 3: </t>
    </r>
    <r>
      <rPr>
        <sz val="11"/>
        <color rgb="FF000000"/>
        <rFont val="Calibri"/>
        <family val="2"/>
        <scheme val="minor"/>
      </rPr>
      <t>10% for Large Households, 10% for Persons with Disabilities - 10 Points</t>
    </r>
  </si>
  <si>
    <t>PriorityPopulations20</t>
  </si>
  <si>
    <r>
      <t xml:space="preserve">Option 1: </t>
    </r>
    <r>
      <rPr>
        <sz val="11"/>
        <color rgb="FF000000"/>
        <rFont val="Calibri"/>
        <family val="2"/>
        <scheme val="minor"/>
      </rPr>
      <t>20% for Large Households - 10 Points</t>
    </r>
  </si>
  <si>
    <r>
      <t>Option 2:</t>
    </r>
    <r>
      <rPr>
        <sz val="11"/>
        <color rgb="FF000000"/>
        <rFont val="Calibri"/>
        <family val="2"/>
        <scheme val="minor"/>
      </rPr>
      <t xml:space="preserve"> 20% for Persons with Disabilities- 10 Points</t>
    </r>
  </si>
  <si>
    <r>
      <t xml:space="preserve">Option 3: </t>
    </r>
    <r>
      <rPr>
        <sz val="11"/>
        <color rgb="FF000000"/>
        <rFont val="Calibri"/>
        <family val="2"/>
        <scheme val="minor"/>
      </rPr>
      <t>20% for Large Households, 20% for Persons with Disabilities - 20 Points</t>
    </r>
  </si>
  <si>
    <t>SeniorHousing10</t>
  </si>
  <si>
    <t>senior_housing_10</t>
  </si>
  <si>
    <t>Option 1: 100%  for Seniors with some services - 10 Points</t>
  </si>
  <si>
    <t>Project-Based Rental Assistance</t>
  </si>
  <si>
    <t>Project_Based_Rental_Assistance</t>
  </si>
  <si>
    <t>Less than 25% of the low-income housing units - 0 points</t>
  </si>
  <si>
    <t>25-49% of the low-income housing units - 10 points</t>
  </si>
  <si>
    <t>50-74% of the low-income housing units - 15 points</t>
  </si>
  <si>
    <t xml:space="preserve">75% or more of the low-income housing units - 20 points </t>
  </si>
  <si>
    <t>LeveragingPublicResources10</t>
  </si>
  <si>
    <t>leveraging_public_resources_10</t>
  </si>
  <si>
    <t>5% of the Total Project Costs - 3 points</t>
  </si>
  <si>
    <t>10% of the Total Project Costs - 5 points</t>
  </si>
  <si>
    <t>15% of the Total Project Costs - 10 points</t>
  </si>
  <si>
    <t>LeveragingTaxableBonds7</t>
  </si>
  <si>
    <t>leveraging_taxable_bonds_7</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</si>
  <si>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</si>
  <si>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</si>
  <si>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</si>
  <si>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</si>
  <si>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</si>
  <si>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</si>
  <si>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</si>
  <si>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t>DevFees</t>
  </si>
  <si>
    <t>PropertyType10</t>
  </si>
  <si>
    <t>property_type_10</t>
  </si>
  <si>
    <r>
      <t>Option 1:</t>
    </r>
    <r>
      <rPr>
        <sz val="11"/>
        <color theme="1"/>
        <rFont val="Calibri"/>
        <family val="2"/>
        <scheme val="minor"/>
      </rPr>
      <t xml:space="preserve"> Grayfield Site - 3 points</t>
    </r>
  </si>
  <si>
    <r>
      <t xml:space="preserve">Option 2: </t>
    </r>
    <r>
      <rPr>
        <sz val="11"/>
        <color theme="1"/>
        <rFont val="Calibri"/>
        <family val="2"/>
        <scheme val="minor"/>
      </rPr>
      <t>Adaptive Reuse Site - 3 points</t>
    </r>
  </si>
  <si>
    <r>
      <t>Option 3:</t>
    </r>
    <r>
      <rPr>
        <sz val="11"/>
        <color theme="1"/>
        <rFont val="Calibri"/>
        <family val="2"/>
        <scheme val="minor"/>
      </rPr>
      <t xml:space="preserve"> Historic Property being financed by the federal Historic Tax Credit (RTC) - 3 points</t>
    </r>
  </si>
  <si>
    <r>
      <t>Option 4:</t>
    </r>
    <r>
      <rPr>
        <sz val="11"/>
        <color theme="1"/>
        <rFont val="Calibri"/>
        <family val="2"/>
        <scheme val="minor"/>
      </rPr>
      <t xml:space="preserve"> Brownfield site - 10 points</t>
    </r>
  </si>
  <si>
    <t>Location Efficient Projects</t>
  </si>
  <si>
    <t>Location_eff</t>
  </si>
  <si>
    <t>NP Sponsor</t>
  </si>
  <si>
    <t>Nonprofit Only - 2 Points</t>
  </si>
  <si>
    <t>For Profit / Nonprofit Partnership - 2 Points</t>
  </si>
  <si>
    <t>Higher Income Counties</t>
  </si>
  <si>
    <t>higher_income</t>
  </si>
  <si>
    <t>Not located in a Higher Income County</t>
  </si>
  <si>
    <t>Benton</t>
  </si>
  <si>
    <t>Clark</t>
  </si>
  <si>
    <t>Franklin</t>
  </si>
  <si>
    <t>Island</t>
  </si>
  <si>
    <t>King</t>
  </si>
  <si>
    <t>Kitsap</t>
  </si>
  <si>
    <t xml:space="preserve">Pierce </t>
  </si>
  <si>
    <t>San Juan</t>
  </si>
  <si>
    <t>Skagit</t>
  </si>
  <si>
    <t>Skamania</t>
  </si>
  <si>
    <t>Snohomish</t>
  </si>
  <si>
    <t>Thurston</t>
  </si>
  <si>
    <t>Whatcom</t>
  </si>
  <si>
    <t>Income Set-Asides - Higher Income Counties</t>
  </si>
  <si>
    <t>Inc_Higher</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</si>
  <si>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</si>
  <si>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</si>
  <si>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</si>
  <si>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</si>
  <si>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</si>
  <si>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</si>
  <si>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</si>
  <si>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</si>
  <si>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</si>
  <si>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</si>
  <si>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11:</t>
    </r>
    <r>
      <rPr>
        <sz val="11"/>
        <rFont val="Calibri"/>
        <family val="2"/>
      </rPr>
      <t xml:space="preserve">  40% @ 30a5 ami, 50% @ 50% AMI, 10% @ 60% AMI (54 Points)</t>
    </r>
  </si>
  <si>
    <r>
      <rPr>
        <b/>
        <sz val="11"/>
        <rFont val="Calibri"/>
        <family val="2"/>
      </rPr>
      <t>Option 12:</t>
    </r>
    <r>
      <rPr>
        <sz val="11"/>
        <rFont val="Calibri"/>
        <family val="2"/>
      </rPr>
      <t xml:space="preserve">  Not Available in Higher Income Counties</t>
    </r>
  </si>
  <si>
    <r>
      <rPr>
        <b/>
        <sz val="11"/>
        <rFont val="Calibri"/>
        <family val="2"/>
      </rPr>
      <t>Option 13:</t>
    </r>
    <r>
      <rPr>
        <sz val="11"/>
        <rFont val="Calibri"/>
        <family val="2"/>
      </rPr>
      <t xml:space="preserve">  40% @ 30% AMI, 40% @ 50% AMI, 20% @ 60% AMI (52 Points)</t>
    </r>
  </si>
  <si>
    <r>
      <rPr>
        <b/>
        <sz val="11"/>
        <rFont val="Calibri"/>
        <family val="2"/>
      </rPr>
      <t xml:space="preserve">Option 14: </t>
    </r>
    <r>
      <rPr>
        <sz val="11"/>
        <rFont val="Calibri"/>
        <family val="2"/>
      </rPr>
      <t xml:space="preserve"> 40% @ 30% AMI, 20% @ 40% AMI, 40% @ 60% AMI (52 Points)</t>
    </r>
  </si>
  <si>
    <r>
      <rPr>
        <b/>
        <sz val="11"/>
        <rFont val="Calibri"/>
        <family val="2"/>
      </rPr>
      <t>Option 15:</t>
    </r>
    <r>
      <rPr>
        <sz val="11"/>
        <rFont val="Calibri"/>
        <family val="2"/>
      </rPr>
      <t xml:space="preserve">  50% @ 30% AMI, 50% @ 60% AMI (50 Points)</t>
    </r>
  </si>
  <si>
    <r>
      <rPr>
        <b/>
        <sz val="11"/>
        <rFont val="Calibri"/>
        <family val="2"/>
      </rPr>
      <t xml:space="preserve">Option 16: </t>
    </r>
    <r>
      <rPr>
        <sz val="11"/>
        <rFont val="Calibri"/>
        <family val="2"/>
      </rPr>
      <t xml:space="preserve"> 25% @ 30% AMI, 75% @ 50% AMI (50 Points)</t>
    </r>
  </si>
  <si>
    <r>
      <rPr>
        <b/>
        <sz val="11"/>
        <rFont val="Calibri"/>
        <family val="2"/>
      </rPr>
      <t>Option 17:</t>
    </r>
    <r>
      <rPr>
        <sz val="11"/>
        <rFont val="Calibri"/>
        <family val="2"/>
      </rPr>
      <t xml:space="preserve">  40% @ 30% AMI, 30@ 50% AMI, 30% @ 60% AMI (50 Points)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</si>
  <si>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</si>
  <si>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</si>
  <si>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</si>
  <si>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Lower Income Counties</t>
  </si>
  <si>
    <t>lower_income</t>
  </si>
  <si>
    <t>Not located in a Lower Income County</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</si>
  <si>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</si>
  <si>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</si>
  <si>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</si>
  <si>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</si>
  <si>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</si>
  <si>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</si>
  <si>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</si>
  <si>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</si>
  <si>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</si>
  <si>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</si>
  <si>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</si>
  <si>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</si>
  <si>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</si>
  <si>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</si>
  <si>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</si>
  <si>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</si>
  <si>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</si>
  <si>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</si>
  <si>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</si>
  <si>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</si>
  <si>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</si>
  <si>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</si>
  <si>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</si>
  <si>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</si>
  <si>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</si>
  <si>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</si>
  <si>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Income Set-Asides - Lower Income Counties</t>
  </si>
  <si>
    <t>Inc_Lower</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</si>
  <si>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</si>
  <si>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</si>
  <si>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</si>
  <si>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</si>
  <si>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</si>
  <si>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</si>
  <si>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</si>
  <si>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</si>
  <si>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</si>
  <si>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</si>
  <si>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</si>
  <si>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</si>
  <si>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</si>
  <si>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</si>
  <si>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</si>
  <si>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r>
      <rPr>
        <b/>
        <sz val="11"/>
        <rFont val="Calibri"/>
        <family val="2"/>
      </rPr>
      <t>Option 16:</t>
    </r>
    <r>
      <rPr>
        <sz val="11"/>
        <rFont val="Calibri"/>
        <family val="2"/>
      </rPr>
      <t xml:space="preserve">  25% @ 30% AMI, 75% @ 50% AMI (52 Points)</t>
    </r>
  </si>
  <si>
    <r>
      <rPr>
        <b/>
        <sz val="11"/>
        <rFont val="Calibri"/>
        <family val="2"/>
      </rPr>
      <t>Option 17:</t>
    </r>
    <r>
      <rPr>
        <sz val="11"/>
        <rFont val="Calibri"/>
        <family val="2"/>
      </rPr>
      <t xml:space="preserve">  40% @ 30% AMI, 30@ 50% AMI, 30% @ 60% AMI (52 Points)</t>
    </r>
  </si>
  <si>
    <r>
      <rPr>
        <b/>
        <sz val="11"/>
        <rFont val="Calibri"/>
        <family val="2"/>
      </rPr>
      <t>Option 18:</t>
    </r>
    <r>
      <rPr>
        <sz val="11"/>
        <rFont val="Calibri"/>
        <family val="2"/>
      </rPr>
      <t xml:space="preserve">  10% @ 30% AMI, 60% @ 40% AMI, 30% @ 60% AMI (52 Points)</t>
    </r>
  </si>
  <si>
    <r>
      <rPr>
        <b/>
        <sz val="11"/>
        <rFont val="Calibri"/>
        <family val="2"/>
      </rPr>
      <t>Option 19:</t>
    </r>
    <r>
      <rPr>
        <sz val="11"/>
        <rFont val="Calibri"/>
        <family val="2"/>
      </rPr>
      <t xml:space="preserve">  50% @ 40% AMI, 50% @ 50% AMI (52 Points)</t>
    </r>
  </si>
  <si>
    <r>
      <rPr>
        <b/>
        <sz val="11"/>
        <rFont val="Calibri"/>
        <family val="2"/>
      </rPr>
      <t xml:space="preserve">Option 20: </t>
    </r>
    <r>
      <rPr>
        <sz val="11"/>
        <rFont val="Calibri"/>
        <family val="2"/>
      </rPr>
      <t xml:space="preserve"> 40% @ 40% AMI, 60% @ 50% AMI (50 Points)</t>
    </r>
  </si>
  <si>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</si>
  <si>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</si>
  <si>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</si>
  <si>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</si>
  <si>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</si>
  <si>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</si>
  <si>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</si>
  <si>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</si>
  <si>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</si>
  <si>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</si>
  <si>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</si>
  <si>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</si>
  <si>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</si>
  <si>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</si>
  <si>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</si>
  <si>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</si>
  <si>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</si>
  <si>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</si>
  <si>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</si>
  <si>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</si>
  <si>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</si>
  <si>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Homeless75</t>
  </si>
  <si>
    <t>SpecNeeds20</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</si>
  <si>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</si>
  <si>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</si>
  <si>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</si>
  <si>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</si>
  <si>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20% of the Total Housing Units as Transitional Housing for the Homeless - 10 Points</t>
  </si>
  <si>
    <t>• Elderly Housing Project:  Residents 62 or older - 10 Points</t>
  </si>
  <si>
    <t>• Elderly Housing Project:  Residents 55 or older - 10 Points</t>
  </si>
  <si>
    <t>Local Funding Counties</t>
  </si>
  <si>
    <t>local_funding_counties</t>
  </si>
  <si>
    <t>King County</t>
  </si>
  <si>
    <t>Clark County</t>
  </si>
  <si>
    <t>Pierce County</t>
  </si>
  <si>
    <t>Spokane County</t>
  </si>
  <si>
    <t>Snohomish County</t>
  </si>
  <si>
    <t>Whatcom County</t>
  </si>
  <si>
    <t>a Non-Metro County.  This project is not eligible for these points.</t>
  </si>
  <si>
    <t>Local Funding Sources</t>
  </si>
  <si>
    <t>Select Source</t>
  </si>
  <si>
    <t>local_funding_sources</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</si>
  <si>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</si>
  <si>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</si>
  <si>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</si>
  <si>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</si>
  <si>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</si>
  <si>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</si>
  <si>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</si>
  <si>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</si>
  <si>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</si>
  <si>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</si>
  <si>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Local Funding Types</t>
  </si>
  <si>
    <t>local_funding_types</t>
  </si>
  <si>
    <t>Capital Grant</t>
  </si>
  <si>
    <t>Operating and Maintenance Subsidies</t>
  </si>
  <si>
    <t>Other funding type preapproved by the Commission</t>
  </si>
  <si>
    <t>Federal Funding Sources</t>
  </si>
  <si>
    <t>federal_funding_sources</t>
  </si>
  <si>
    <t>HUD 202</t>
  </si>
  <si>
    <t>HUD 811</t>
  </si>
  <si>
    <t>USDA 514</t>
  </si>
  <si>
    <t>USDA 515</t>
  </si>
  <si>
    <t>Other federal source preapproved by the Commission</t>
  </si>
  <si>
    <t>NAHASDA Indian Housing Block Grant - NON-METRO COUNTIES ONLY</t>
  </si>
  <si>
    <t>State Funding Coord</t>
  </si>
  <si>
    <t>King County and has selected #4 above.</t>
  </si>
  <si>
    <t>KC_HTF</t>
  </si>
  <si>
    <t>a Metro or Non-Metro County.</t>
  </si>
  <si>
    <t>PBRA_units</t>
  </si>
  <si>
    <t>0 points</t>
  </si>
  <si>
    <t>30-49 units = 2 points</t>
  </si>
  <si>
    <t>50-79 units = 3 points</t>
  </si>
  <si>
    <t>80 units or more = 4 points</t>
  </si>
  <si>
    <t>10% - 10 Points</t>
  </si>
  <si>
    <t>11% - 8 Points</t>
  </si>
  <si>
    <t>12% - 6 Points</t>
  </si>
  <si>
    <t>13% - 4 Points</t>
  </si>
  <si>
    <t>14% - 2 Points</t>
  </si>
  <si>
    <t>Historic</t>
  </si>
  <si>
    <t>Not a Historic property</t>
  </si>
  <si>
    <t>Listed, or determined eligible for listing, in the National Register of Historic Places</t>
  </si>
  <si>
    <t xml:space="preserve">Located in a registered Historic District </t>
  </si>
  <si>
    <t>Chehalis - Non-Metro (3 Points)</t>
  </si>
  <si>
    <t>eligible_tribes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</si>
  <si>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</si>
  <si>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</si>
  <si>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</si>
  <si>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</si>
  <si>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</si>
  <si>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</si>
  <si>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</si>
  <si>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</si>
  <si>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</si>
  <si>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</si>
  <si>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</si>
  <si>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</si>
  <si>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</si>
  <si>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</si>
  <si>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</si>
  <si>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</si>
  <si>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TOD</t>
  </si>
  <si>
    <t>King County and in a TOD location.</t>
  </si>
  <si>
    <t>KC_only</t>
  </si>
  <si>
    <t>a Metro County.  This project is not eligible for these points.</t>
  </si>
  <si>
    <t>King County OppArea</t>
  </si>
  <si>
    <t>King County and in a High or Very High Opportunity Area Census tract.</t>
  </si>
  <si>
    <t>KC_OppArea</t>
  </si>
  <si>
    <t>in_within</t>
  </si>
  <si>
    <t>in</t>
  </si>
  <si>
    <t>in a Metro County and within 5 miles of</t>
  </si>
  <si>
    <t>in a Non-Metro County and within 10 miles of</t>
  </si>
  <si>
    <t>in King County and is not eligible for these points.</t>
  </si>
  <si>
    <t>job_centers</t>
  </si>
  <si>
    <t>Airway Heights</t>
  </si>
  <si>
    <t>Bainbridge Island</t>
  </si>
  <si>
    <t>Battle Ground</t>
  </si>
  <si>
    <t>Blaine</t>
  </si>
  <si>
    <t>Bonney Lake</t>
  </si>
  <si>
    <t>Bothell</t>
  </si>
  <si>
    <t>Chehalis</t>
  </si>
  <si>
    <t>Cheney</t>
  </si>
  <si>
    <t>Clarkston</t>
  </si>
  <si>
    <t>East Port Orchard CDP</t>
  </si>
  <si>
    <t>Ellensburg</t>
  </si>
  <si>
    <t>Ephrata</t>
  </si>
  <si>
    <t>Everett</t>
  </si>
  <si>
    <t>Fairwood</t>
  </si>
  <si>
    <t>Ferndale</t>
  </si>
  <si>
    <t>Fife</t>
  </si>
  <si>
    <t>Five Corners</t>
  </si>
  <si>
    <t>Fort Lewis</t>
  </si>
  <si>
    <t>Grandview</t>
  </si>
  <si>
    <t>Hazel Dell CDP</t>
  </si>
  <si>
    <t>Hoquiam</t>
  </si>
  <si>
    <t>Kennewick</t>
  </si>
  <si>
    <t>Lacey</t>
  </si>
  <si>
    <t>Lakewood</t>
  </si>
  <si>
    <t>Longview</t>
  </si>
  <si>
    <t>Mill Creek</t>
  </si>
  <si>
    <t>Moses Lake</t>
  </si>
  <si>
    <t>Mount Vista CDP</t>
  </si>
  <si>
    <t>Mukilteo</t>
  </si>
  <si>
    <t>North Lynnwood CDP</t>
  </si>
  <si>
    <t>Olympia</t>
  </si>
  <si>
    <t>Pasco</t>
  </si>
  <si>
    <t>Port Angeles</t>
  </si>
  <si>
    <t>Pullman</t>
  </si>
  <si>
    <t>Richland</t>
  </si>
  <si>
    <t>Salmon Creek CDP</t>
  </si>
  <si>
    <t>Sequim</t>
  </si>
  <si>
    <t>South Hill</t>
  </si>
  <si>
    <t>Spokane Valley</t>
  </si>
  <si>
    <t>Sumner</t>
  </si>
  <si>
    <t>Sunnyside</t>
  </si>
  <si>
    <t>Sunnyslope CDP</t>
  </si>
  <si>
    <t>Terrace Heights CDP</t>
  </si>
  <si>
    <t>Tumwater</t>
  </si>
  <si>
    <t>Vancouver</t>
  </si>
  <si>
    <t>Wenatchee</t>
  </si>
  <si>
    <t>Yelm</t>
  </si>
  <si>
    <t>Nonprofit Only</t>
  </si>
  <si>
    <t>For Profit Nonprofit Partnership</t>
  </si>
  <si>
    <t>Nonprofit Sponsor Waiver</t>
  </si>
  <si>
    <t>TDC_Limit</t>
  </si>
  <si>
    <t>King-Pierce-Snohomish County TDC Limits</t>
  </si>
  <si>
    <t>Balance of State TDC Limits</t>
  </si>
  <si>
    <t>NP_Sponsor</t>
  </si>
  <si>
    <t>Incomes_4_Perc</t>
  </si>
  <si>
    <t>Years_4_Perc</t>
  </si>
  <si>
    <t>NP_Sponsor_4_Perc</t>
  </si>
  <si>
    <r>
      <t>Total Residential Project Cost</t>
    </r>
    <r>
      <rPr>
        <sz val="9"/>
        <color indexed="8"/>
        <rFont val="Calibri"/>
        <family val="2"/>
        <scheme val="minor"/>
      </rPr>
      <t xml:space="preserve"> (Form 6A)</t>
    </r>
    <r>
      <rPr>
        <sz val="11"/>
        <color indexed="8"/>
        <rFont val="Calibri"/>
        <family val="2"/>
        <scheme val="minor"/>
      </rPr>
      <t>:</t>
    </r>
  </si>
  <si>
    <t>LIH_commit</t>
  </si>
  <si>
    <t>Avg Unit Square Footage</t>
  </si>
  <si>
    <t>Form 7A: Financing Sources</t>
  </si>
  <si>
    <t>Form 7B: Estimate of Cash Flow During Development</t>
  </si>
  <si>
    <t>Form 7B: Estimate of Cash Flow During Development (Page 2)</t>
  </si>
  <si>
    <t>Form 8E: Operating Pro Forma (Page 2)</t>
  </si>
  <si>
    <t>Form 9A: Project Team (Page 2)</t>
  </si>
  <si>
    <t>Form 11A: 9% LIHTC Scoring Synopsis (Page 2)</t>
  </si>
  <si>
    <t>Form 11A: 9% LIHTC Scoring Synopsis (Page 3)</t>
  </si>
  <si>
    <t>Form 11B: 4%/ Bond LIHTC Scoring Synopsis (Page 2)</t>
  </si>
  <si>
    <t>Form 11B: 4%/ Bond LIHTC Scoring Synopsis (Page 3)</t>
  </si>
  <si>
    <t>Wastewater</t>
  </si>
  <si>
    <t>Water District</t>
  </si>
  <si>
    <t>No Rent Subsidy</t>
  </si>
  <si>
    <t xml:space="preserve">Overall Checklist Total </t>
  </si>
  <si>
    <t>Section 8</t>
  </si>
  <si>
    <t>Section 7</t>
  </si>
  <si>
    <t>Section 6</t>
  </si>
  <si>
    <t>Section 5</t>
  </si>
  <si>
    <t>Section 4</t>
  </si>
  <si>
    <t>Section 3</t>
  </si>
  <si>
    <t>Section 2</t>
  </si>
  <si>
    <t>Section 1</t>
  </si>
  <si>
    <t>Section 8 SUBTOTAL</t>
  </si>
  <si>
    <t>Educational Signage</t>
  </si>
  <si>
    <t>8.5</t>
  </si>
  <si>
    <t>Project Data Collection</t>
  </si>
  <si>
    <t>8.4</t>
  </si>
  <si>
    <t>Mandatory</t>
  </si>
  <si>
    <t>Resident &amp; Property Manager Orientation</t>
  </si>
  <si>
    <t>8.3</t>
  </si>
  <si>
    <t>Resident Manual</t>
  </si>
  <si>
    <t>8.2</t>
  </si>
  <si>
    <t>Building Maintenance Manual</t>
  </si>
  <si>
    <t>8.1</t>
  </si>
  <si>
    <t>Points</t>
  </si>
  <si>
    <t>Requirement Type/Optional Points</t>
  </si>
  <si>
    <t>Design Element: Operations &amp; Maintenance</t>
  </si>
  <si>
    <t>Section 7 SUBTOTAL</t>
  </si>
  <si>
    <t>Smoke-Free Bulding</t>
  </si>
  <si>
    <t>Lead-Safe Work Practices</t>
  </si>
  <si>
    <t>Integrated Pest Management</t>
  </si>
  <si>
    <t>Garage Isolation</t>
  </si>
  <si>
    <t>Enhanced Building Envelope Design</t>
  </si>
  <si>
    <t>Water Drainage</t>
  </si>
  <si>
    <t>Radon Mitigation</t>
  </si>
  <si>
    <t>Vapor Barrier Strategies</t>
  </si>
  <si>
    <t>7.10</t>
  </si>
  <si>
    <t>Mold Prevention: Tub &amp; Shower Enclosures</t>
  </si>
  <si>
    <t>7.9c</t>
  </si>
  <si>
    <t>Mold Prevention: Surfaces</t>
  </si>
  <si>
    <t>7.9b</t>
  </si>
  <si>
    <t>7.9a</t>
  </si>
  <si>
    <t>Cold Water &amp; Hot Water Pipe Insulation</t>
  </si>
  <si>
    <t>Combustion Equipment</t>
  </si>
  <si>
    <t>Clothes Dryer Exhaust</t>
  </si>
  <si>
    <t>Ventilation</t>
  </si>
  <si>
    <t>7.4a</t>
  </si>
  <si>
    <t>7.3a</t>
  </si>
  <si>
    <t>Healthy Flooring Materials</t>
  </si>
  <si>
    <t>7.2b</t>
  </si>
  <si>
    <t>Mandatory if providing floor coverings</t>
  </si>
  <si>
    <t>7.2a</t>
  </si>
  <si>
    <t>Composite Wood Products that Contain No Added Urea Formaldehyde</t>
  </si>
  <si>
    <t>7.1</t>
  </si>
  <si>
    <t>Design Element: Healthy Living Environment</t>
  </si>
  <si>
    <t>Section 6 SUBTOTAL</t>
  </si>
  <si>
    <t>Socially Sustainable Products</t>
  </si>
  <si>
    <t>6.8</t>
  </si>
  <si>
    <t>Reduced Heat-Island Effect: Paving</t>
  </si>
  <si>
    <t>6.7b</t>
  </si>
  <si>
    <t>Reduced Heat-Island Effect: Roofing</t>
  </si>
  <si>
    <t>6.7a</t>
  </si>
  <si>
    <t>Water-Permeable Parking Areas</t>
  </si>
  <si>
    <t>6.6</t>
  </si>
  <si>
    <t>Water-Permeable Walkways</t>
  </si>
  <si>
    <t>6.5</t>
  </si>
  <si>
    <t>Environmentally Preferable Materials</t>
  </si>
  <si>
    <t>6.4</t>
  </si>
  <si>
    <t>Construction Waste Management</t>
  </si>
  <si>
    <t>6.3</t>
  </si>
  <si>
    <t>Low/No VOC Adhesives &amp; Sealants</t>
  </si>
  <si>
    <t>6.2</t>
  </si>
  <si>
    <t>Low/No VOC Paints &amp; Primers</t>
  </si>
  <si>
    <t>6.1</t>
  </si>
  <si>
    <t>Design Element: Materials Beneficial to the Environment</t>
  </si>
  <si>
    <t>Section 5 SUBTOTAL</t>
  </si>
  <si>
    <t>5.10</t>
  </si>
  <si>
    <t>Domestic Water Heating</t>
  </si>
  <si>
    <t>5.9</t>
  </si>
  <si>
    <t>5.8c</t>
  </si>
  <si>
    <t>Photovoltaic/Solar Hot Water Ready</t>
  </si>
  <si>
    <t>5.8b</t>
  </si>
  <si>
    <t>5.8a</t>
  </si>
  <si>
    <t>5.7a</t>
  </si>
  <si>
    <t>Efficient Lighting</t>
  </si>
  <si>
    <t>5.6</t>
  </si>
  <si>
    <t>Central Laundry</t>
  </si>
  <si>
    <t>5.5</t>
  </si>
  <si>
    <t>Mandatory if providing appliances</t>
  </si>
  <si>
    <t>EnergyStar Applicances</t>
  </si>
  <si>
    <t>5.4</t>
  </si>
  <si>
    <t>Sizing of Heating &amp; Cooling Equipment</t>
  </si>
  <si>
    <t>5.3</t>
  </si>
  <si>
    <t>5.2a</t>
  </si>
  <si>
    <t>5.1a</t>
  </si>
  <si>
    <t>Design Element: Energy Efficiency</t>
  </si>
  <si>
    <t>Section 4 SUBTOTAL</t>
  </si>
  <si>
    <t>Water Reuse</t>
  </si>
  <si>
    <t>4.3</t>
  </si>
  <si>
    <t>4.2</t>
  </si>
  <si>
    <t>4.1</t>
  </si>
  <si>
    <t>Design Element: Water Conservation</t>
  </si>
  <si>
    <t>Section 3 SUBTOTAL</t>
  </si>
  <si>
    <t>Storm Drain Labels</t>
  </si>
  <si>
    <t>3.6</t>
  </si>
  <si>
    <t>Surface Water Management</t>
  </si>
  <si>
    <t>3.5</t>
  </si>
  <si>
    <t>Mandatory if irrigation is utilized</t>
  </si>
  <si>
    <t>Efficient Irrigation</t>
  </si>
  <si>
    <t>3.4</t>
  </si>
  <si>
    <t>Landscaping-Significant Trees</t>
  </si>
  <si>
    <t>3.3c</t>
  </si>
  <si>
    <t>3.3b</t>
  </si>
  <si>
    <t>Mandatory if providing Landscaping</t>
  </si>
  <si>
    <t>3.3a</t>
  </si>
  <si>
    <t>Erosion &amp; Sedimentation Control</t>
  </si>
  <si>
    <t>3.2</t>
  </si>
  <si>
    <t>Environmental Remediation</t>
  </si>
  <si>
    <t>3.1</t>
  </si>
  <si>
    <t>Design Element: Site Improvements</t>
  </si>
  <si>
    <t>Section 2 SUBTOTAL</t>
  </si>
  <si>
    <t>Access to Fresh, Local Foods</t>
  </si>
  <si>
    <t>2.10</t>
  </si>
  <si>
    <t>Brownfield or Adaptive Reuse Site</t>
  </si>
  <si>
    <t>Smart Site Location: Passive Design</t>
  </si>
  <si>
    <t>Walkable Neighborhoods- Connections to Surrounding Neighborhood</t>
  </si>
  <si>
    <t>2.7b</t>
  </si>
  <si>
    <t>Preservation of &amp; Access to Open Space</t>
  </si>
  <si>
    <t>Access to Services &amp; Public Transportation</t>
  </si>
  <si>
    <t>Maximizing Density</t>
  </si>
  <si>
    <t>Compact Development</t>
  </si>
  <si>
    <t>Connections to Existing Development &amp; Infrastructure</t>
  </si>
  <si>
    <t>Sensitive Site Protection</t>
  </si>
  <si>
    <t>Design Element: Location &amp; Neighborhood Fabric</t>
  </si>
  <si>
    <t>Section 1 SUBTOTAL</t>
  </si>
  <si>
    <t>Universal Design</t>
  </si>
  <si>
    <t>Green Development Plan</t>
  </si>
  <si>
    <t>Design Element: Integrative Design</t>
  </si>
  <si>
    <t>5.1b</t>
  </si>
  <si>
    <t>5.2b</t>
  </si>
  <si>
    <t>5.7b</t>
  </si>
  <si>
    <t>7.3b</t>
  </si>
  <si>
    <t>7.4b</t>
  </si>
  <si>
    <t>Building Performance Standard - New Construction</t>
  </si>
  <si>
    <t>Walkable Neighborhoods- Sidewalks &amp; Pathways</t>
  </si>
  <si>
    <t>2.7a</t>
  </si>
  <si>
    <r>
      <t xml:space="preserve">Advanced Water-Conserving </t>
    </r>
    <r>
      <rPr>
        <sz val="11"/>
        <rFont val="Calibri"/>
        <family val="2"/>
        <scheme val="minor"/>
      </rPr>
      <t>Fixtures</t>
    </r>
  </si>
  <si>
    <r>
      <t xml:space="preserve">Water-Conserving </t>
    </r>
    <r>
      <rPr>
        <sz val="11"/>
        <rFont val="Calibri"/>
        <family val="2"/>
        <scheme val="minor"/>
      </rPr>
      <t>Fixtures</t>
    </r>
  </si>
  <si>
    <t>Project Region:</t>
  </si>
  <si>
    <t>Project Activity:</t>
  </si>
  <si>
    <t>Degree of Rehab:</t>
  </si>
  <si>
    <t>X</t>
  </si>
  <si>
    <t>Building Performance Standard - Rehab</t>
  </si>
  <si>
    <r>
      <t xml:space="preserve">Exhaust Fans-Bathroom - NC and </t>
    </r>
    <r>
      <rPr>
        <u/>
        <sz val="11"/>
        <color theme="1"/>
        <rFont val="Calibri"/>
        <family val="2"/>
        <scheme val="minor"/>
      </rPr>
      <t>Substantial</t>
    </r>
    <r>
      <rPr>
        <sz val="11"/>
        <color theme="1"/>
        <rFont val="Calibri"/>
        <family val="2"/>
        <scheme val="minor"/>
      </rPr>
      <t xml:space="preserve"> Rehab</t>
    </r>
  </si>
  <si>
    <t>Exhaust Fans-Bathroom - Moderate Rehab</t>
  </si>
  <si>
    <t>Exhaust Fans-Kitchen - New Construction</t>
  </si>
  <si>
    <t>Exhaust Fans-Kitchen -Rehab</t>
  </si>
  <si>
    <t>Mold Prevention: Water Heaters, Condensing Boilers, etc.</t>
  </si>
  <si>
    <t>Criterion #</t>
  </si>
  <si>
    <t>Criterion Title</t>
  </si>
  <si>
    <t>0, 0.5 to 5</t>
  </si>
  <si>
    <t>0, 1 to 10</t>
  </si>
  <si>
    <t>0, 1 to 5</t>
  </si>
  <si>
    <t>0, 0.5 to 10</t>
  </si>
  <si>
    <t>0 to 3</t>
  </si>
  <si>
    <t>0 or 5</t>
  </si>
  <si>
    <t>0 or 3</t>
  </si>
  <si>
    <t>0 or 10</t>
  </si>
  <si>
    <t>0, 1, 2, 4 or 6</t>
  </si>
  <si>
    <t>0, 2, 4, 6 or 7</t>
  </si>
  <si>
    <t>0, 4, 6 or 8</t>
  </si>
  <si>
    <t>0 or 1</t>
  </si>
  <si>
    <t>0, 2, 3 or 5</t>
  </si>
  <si>
    <t>0, 1, 2 or 3</t>
  </si>
  <si>
    <t>0 or 4</t>
  </si>
  <si>
    <t>0 or 7</t>
  </si>
  <si>
    <t>0 or 2</t>
  </si>
  <si>
    <r>
      <t>Additional Reduction in Energy Use - New Construction (</t>
    </r>
    <r>
      <rPr>
        <sz val="11"/>
        <color indexed="10"/>
        <rFont val="Calibri"/>
        <family val="2"/>
        <scheme val="minor"/>
      </rPr>
      <t>SEE NOTE</t>
    </r>
    <r>
      <rPr>
        <sz val="11"/>
        <color theme="1"/>
        <rFont val="Calibri"/>
        <family val="2"/>
        <scheme val="minor"/>
      </rPr>
      <t>)</t>
    </r>
  </si>
  <si>
    <t>Electricity Meter - New Construction</t>
  </si>
  <si>
    <t>Electricity Meter - Rehab</t>
  </si>
  <si>
    <r>
      <t>Additional Reduction in Energy Use - Rehab (</t>
    </r>
    <r>
      <rPr>
        <sz val="11"/>
        <color indexed="10"/>
        <rFont val="Calibri"/>
        <family val="2"/>
        <scheme val="minor"/>
      </rPr>
      <t>SEE NOTE</t>
    </r>
    <r>
      <rPr>
        <sz val="11"/>
        <rFont val="Calibri"/>
        <family val="2"/>
        <scheme val="minor"/>
      </rPr>
      <t>)</t>
    </r>
  </si>
  <si>
    <r>
      <t>Renewable Energy (</t>
    </r>
    <r>
      <rPr>
        <sz val="11"/>
        <color rgb="FFFF0000"/>
        <rFont val="Calibri"/>
        <family val="2"/>
        <scheme val="minor"/>
      </rPr>
      <t>SEE NOTE</t>
    </r>
    <r>
      <rPr>
        <sz val="11"/>
        <color theme="1"/>
        <rFont val="Calibri"/>
        <family val="2"/>
        <scheme val="minor"/>
      </rPr>
      <t>)</t>
    </r>
  </si>
  <si>
    <r>
      <t>Solar Water Heating (</t>
    </r>
    <r>
      <rPr>
        <sz val="11"/>
        <color rgb="FFFF0000"/>
        <rFont val="Calibri"/>
        <family val="2"/>
        <scheme val="minor"/>
      </rPr>
      <t>SEE NOTE</t>
    </r>
    <r>
      <rPr>
        <sz val="11"/>
        <color theme="1"/>
        <rFont val="Calibri"/>
        <family val="2"/>
        <scheme val="minor"/>
      </rPr>
      <t>)</t>
    </r>
  </si>
  <si>
    <r>
      <t>Domestic Water Heating (</t>
    </r>
    <r>
      <rPr>
        <sz val="11"/>
        <color rgb="FFFF0000"/>
        <rFont val="Calibri"/>
        <family val="2"/>
        <scheme val="minor"/>
      </rPr>
      <t>SEE NOTE</t>
    </r>
    <r>
      <rPr>
        <sz val="11"/>
        <color theme="1"/>
        <rFont val="Calibri"/>
        <family val="2"/>
        <scheme val="minor"/>
      </rPr>
      <t>)</t>
    </r>
  </si>
  <si>
    <r>
      <t>Performance Tested Building Air Sealing (</t>
    </r>
    <r>
      <rPr>
        <sz val="11"/>
        <color indexed="10"/>
        <rFont val="Calibri"/>
        <family val="2"/>
        <scheme val="minor"/>
      </rPr>
      <t>SEE NOTE</t>
    </r>
    <r>
      <rPr>
        <sz val="10"/>
        <rFont val="Calibri"/>
        <family val="2"/>
        <scheme val="minor"/>
      </rPr>
      <t>)</t>
    </r>
  </si>
  <si>
    <r>
      <t>Performance Tested Duct Sealing (</t>
    </r>
    <r>
      <rPr>
        <sz val="11"/>
        <color indexed="10"/>
        <rFont val="Calibri"/>
        <family val="2"/>
        <scheme val="minor"/>
      </rPr>
      <t>SEE NOTE</t>
    </r>
    <r>
      <rPr>
        <sz val="10"/>
        <rFont val="Calibri"/>
        <family val="2"/>
        <scheme val="minor"/>
      </rPr>
      <t>)</t>
    </r>
  </si>
  <si>
    <r>
      <t>Space Heating &amp; Cooling Equipment Replacement (</t>
    </r>
    <r>
      <rPr>
        <sz val="11"/>
        <color indexed="10"/>
        <rFont val="Calibri"/>
        <family val="2"/>
        <scheme val="minor"/>
      </rPr>
      <t>SEE NOTE</t>
    </r>
    <r>
      <rPr>
        <sz val="10"/>
        <rFont val="Calibri"/>
        <family val="2"/>
        <scheme val="minor"/>
      </rPr>
      <t>)</t>
    </r>
  </si>
  <si>
    <t>Total Points Claimed</t>
  </si>
  <si>
    <t>Form 2C: Evergreen Standard Checklist</t>
  </si>
  <si>
    <t>Form 6B: Development Budget Details</t>
  </si>
  <si>
    <t>Form 8F: Operating Pro Forma Details</t>
  </si>
  <si>
    <t>Form 8B: Operating, Service and Rent Subsidy Sources</t>
  </si>
  <si>
    <t>* 2015 Maximum Annual Credit Per Low-Income Unit Limit</t>
  </si>
  <si>
    <t>Substantial</t>
  </si>
  <si>
    <t>Applicant Name</t>
  </si>
  <si>
    <t xml:space="preserve">City </t>
  </si>
  <si>
    <t>County</t>
  </si>
  <si>
    <t>GeoRegion</t>
  </si>
  <si>
    <t>Leg District</t>
  </si>
  <si>
    <t>HO/MF</t>
  </si>
  <si>
    <t>Act.Typ</t>
  </si>
  <si>
    <t>Unit Notes</t>
  </si>
  <si>
    <t>SizeCat.</t>
  </si>
  <si>
    <t>Eunits</t>
  </si>
  <si>
    <t>CAU</t>
  </si>
  <si>
    <t>MR</t>
  </si>
  <si>
    <t>1 BR</t>
  </si>
  <si>
    <t>2 BR</t>
  </si>
  <si>
    <t>3 BR</t>
  </si>
  <si>
    <t>4 BR</t>
  </si>
  <si>
    <t>5 BR</t>
  </si>
  <si>
    <t>ResSqFt</t>
  </si>
  <si>
    <t>NonResSqFt</t>
  </si>
  <si>
    <t>S1</t>
  </si>
  <si>
    <t>S2</t>
  </si>
  <si>
    <t>S3</t>
  </si>
  <si>
    <t>S4</t>
  </si>
  <si>
    <t>S5</t>
  </si>
  <si>
    <t>S6</t>
  </si>
  <si>
    <t>S7</t>
  </si>
  <si>
    <t>S8</t>
  </si>
  <si>
    <t>Target Pops</t>
  </si>
  <si>
    <t>Permits</t>
  </si>
  <si>
    <t>Const Start Date</t>
  </si>
  <si>
    <t>Completion Date</t>
  </si>
  <si>
    <r>
      <t>Land</t>
    </r>
    <r>
      <rPr>
        <b/>
        <vertAlign val="subscript"/>
        <sz val="11"/>
        <color theme="1"/>
        <rFont val="Calibri"/>
        <family val="2"/>
        <scheme val="minor"/>
      </rPr>
      <t>TDC</t>
    </r>
  </si>
  <si>
    <r>
      <t>Land</t>
    </r>
    <r>
      <rPr>
        <b/>
        <vertAlign val="subscript"/>
        <sz val="11"/>
        <color theme="1"/>
        <rFont val="Calibri"/>
        <family val="2"/>
        <scheme val="minor"/>
      </rPr>
      <t>RDC</t>
    </r>
  </si>
  <si>
    <r>
      <t>ContingTDC</t>
    </r>
    <r>
      <rPr>
        <b/>
        <vertAlign val="subscript"/>
        <sz val="11"/>
        <color theme="1"/>
        <rFont val="Calibri"/>
        <family val="2"/>
        <scheme val="minor"/>
      </rPr>
      <t>nc</t>
    </r>
  </si>
  <si>
    <r>
      <t>ContingTDC</t>
    </r>
    <r>
      <rPr>
        <b/>
        <vertAlign val="subscript"/>
        <sz val="11"/>
        <color theme="1"/>
        <rFont val="Calibri"/>
        <family val="2"/>
        <scheme val="minor"/>
      </rPr>
      <t>rehab</t>
    </r>
  </si>
  <si>
    <r>
      <t>ConstTDC</t>
    </r>
    <r>
      <rPr>
        <b/>
        <vertAlign val="subscript"/>
        <sz val="11"/>
        <color theme="1"/>
        <rFont val="Calibri"/>
        <family val="2"/>
        <scheme val="minor"/>
      </rPr>
      <t>nc</t>
    </r>
  </si>
  <si>
    <r>
      <t>ConstTDC</t>
    </r>
    <r>
      <rPr>
        <b/>
        <vertAlign val="subscript"/>
        <sz val="11"/>
        <color theme="1"/>
        <rFont val="Calibri"/>
        <family val="2"/>
        <scheme val="minor"/>
      </rPr>
      <t>rehab</t>
    </r>
  </si>
  <si>
    <t>ConstrTDC</t>
  </si>
  <si>
    <t>ConstrRDC</t>
  </si>
  <si>
    <t>DevFeeTDC</t>
  </si>
  <si>
    <t>ProjManTDC</t>
  </si>
  <si>
    <t>DevFeeHTF</t>
  </si>
  <si>
    <t>ProjManHTF</t>
  </si>
  <si>
    <t>OpResTDC</t>
  </si>
  <si>
    <t>OpResRDC</t>
  </si>
  <si>
    <t>RepResTDC</t>
  </si>
  <si>
    <t>RepResRDC</t>
  </si>
  <si>
    <t>TDC</t>
  </si>
  <si>
    <t>RDC</t>
  </si>
  <si>
    <t>LIHTC Type</t>
  </si>
  <si>
    <t>TCF</t>
  </si>
  <si>
    <t>HTF Funds</t>
  </si>
  <si>
    <t>LIHTC Amt</t>
  </si>
  <si>
    <t>Total Res</t>
  </si>
  <si>
    <t>Total NonRes</t>
  </si>
  <si>
    <t>Proposed</t>
  </si>
  <si>
    <t>Commit</t>
  </si>
  <si>
    <t>HTF O&amp;M</t>
  </si>
  <si>
    <t>Operating Subs</t>
  </si>
  <si>
    <t>Rent Subs</t>
  </si>
  <si>
    <t>Svc Subs</t>
  </si>
  <si>
    <t>EGI(Y1)</t>
  </si>
  <si>
    <t>MGMTonsite</t>
  </si>
  <si>
    <t>MGMToffsite</t>
  </si>
  <si>
    <t>Total ResidOps Exp (Y1)</t>
  </si>
  <si>
    <t>RepRes(Y1)</t>
  </si>
  <si>
    <t>OpResY1</t>
  </si>
  <si>
    <t>OpResY2</t>
  </si>
  <si>
    <t>SVCs(Y1)</t>
  </si>
  <si>
    <t>DCR (Hard Debt)</t>
  </si>
  <si>
    <t>CashFlowY1</t>
  </si>
  <si>
    <t>CashFlowY2</t>
  </si>
  <si>
    <t>CashFlowY3</t>
  </si>
  <si>
    <t>Services</t>
  </si>
  <si>
    <t>MF</t>
  </si>
  <si>
    <t>61-80%</t>
  </si>
  <si>
    <t>SRO/Studio</t>
  </si>
  <si>
    <t>SRO+Studio</t>
  </si>
  <si>
    <t>9% Points</t>
  </si>
  <si>
    <t>4% Points</t>
  </si>
  <si>
    <t>Bridge?</t>
  </si>
  <si>
    <t>Form 8E(2): Operating Pro Forma (Alternate Without Susidy)</t>
  </si>
  <si>
    <t>Form 9D: Project Development Consultant Experience</t>
  </si>
  <si>
    <t>Form 11B: 4% LIHTC / Bond LIHTC Scoring Synopsis</t>
  </si>
  <si>
    <t>Form 9E: Project Property Management Firm Experience</t>
  </si>
  <si>
    <t>Building Street Address</t>
  </si>
  <si>
    <t>Multiple Targets (describe below)</t>
  </si>
  <si>
    <t>Multiple Special Needs (describe below)</t>
  </si>
  <si>
    <t>Form 8A: Proposed Rents and AMIs Served</t>
  </si>
  <si>
    <t>Form 6E Fee Schedule - NOT REQUIRED FOR OH APPLICATION</t>
  </si>
  <si>
    <t>According to RAFN construction estimate as of August 2015</t>
  </si>
  <si>
    <t>As a fixed percentage of RAFN hard costs</t>
  </si>
  <si>
    <t>15% of RAFN hard costs</t>
  </si>
  <si>
    <t>N/A</t>
  </si>
  <si>
    <t>WSST King County Rate</t>
  </si>
  <si>
    <t>According to MHNW</t>
  </si>
  <si>
    <t>Includes architect, engineer, MEP design, historic preservation, landscape architect</t>
  </si>
  <si>
    <t>See above</t>
  </si>
  <si>
    <t>According to Colliers International</t>
  </si>
  <si>
    <t>According to PBS Environmental</t>
  </si>
  <si>
    <t>According to Core Survey - includes the survey, the building interior and the condominium</t>
  </si>
  <si>
    <t xml:space="preserve">According to WSHFC and City of Seattle OH </t>
  </si>
  <si>
    <t>Buchanan General Contracting as Construction Manager</t>
  </si>
  <si>
    <t>Projected by MHNW</t>
  </si>
  <si>
    <t>Projected by MHNW for a Q1 2017 close</t>
  </si>
  <si>
    <t>based on lender LOI</t>
  </si>
  <si>
    <t>Based on MHNW projections and lender confirmation</t>
  </si>
  <si>
    <t>Based on lender LOI</t>
  </si>
  <si>
    <t>Based on WSHFC</t>
  </si>
  <si>
    <t>Based on MHNW estimate</t>
  </si>
  <si>
    <t>According to HTF Policy</t>
  </si>
  <si>
    <t>Based on MHNW Insurance provider quote</t>
  </si>
  <si>
    <t xml:space="preserve"> Based on MHNW estimate</t>
  </si>
  <si>
    <t>According to WSHFC Policy</t>
  </si>
  <si>
    <t>Based on Resnick estimate</t>
  </si>
  <si>
    <t>Based on MHNW projection</t>
  </si>
  <si>
    <t>According to WSHFC Policy and MHNW projections</t>
  </si>
  <si>
    <r>
      <t xml:space="preserve">Total Residential Project Costs </t>
    </r>
    <r>
      <rPr>
        <i/>
        <sz val="8"/>
        <color indexed="8"/>
        <rFont val="Calibri"/>
        <family val="2"/>
        <scheme val="minor"/>
      </rPr>
      <t>(from Form 6C)</t>
    </r>
  </si>
  <si>
    <t>Expected 4% LIHTC Equity (Form 6D)</t>
  </si>
  <si>
    <t>Expected 9% LIHTC Equity (Form 6D)</t>
  </si>
  <si>
    <t>Mercy Housing Northwest</t>
  </si>
  <si>
    <t>Alisa Luber</t>
  </si>
  <si>
    <t>206-602-3479</t>
  </si>
  <si>
    <t>aluber@mercyhousing.org</t>
  </si>
  <si>
    <t>No</t>
  </si>
  <si>
    <t>7101 62nd Ave NE</t>
  </si>
  <si>
    <t>Seattle</t>
  </si>
  <si>
    <t>Project Name :</t>
  </si>
  <si>
    <t>Building 1:</t>
  </si>
  <si>
    <t>Building 2:</t>
  </si>
  <si>
    <t xml:space="preserve">Building 9 </t>
  </si>
  <si>
    <t>Project Summary</t>
  </si>
  <si>
    <t>Low-Rise (2-3 floors w elevator)</t>
  </si>
  <si>
    <t>Urban</t>
  </si>
  <si>
    <t>n/a</t>
  </si>
  <si>
    <t>Multifamily Rental</t>
  </si>
  <si>
    <t>City of Seattle</t>
  </si>
  <si>
    <t>Dept. of Commerce</t>
  </si>
  <si>
    <t>Historic Tax Credit</t>
  </si>
  <si>
    <t>4% LIHTC</t>
  </si>
  <si>
    <t>9% LIHTC</t>
  </si>
  <si>
    <t>Acquired through RFP from the Dept. of Commerce; no acquisition cost</t>
  </si>
  <si>
    <t>Permanent Tax Exempt Bonds</t>
  </si>
  <si>
    <t>Deferred Developer Fee</t>
  </si>
  <si>
    <t>Permanent Tax-Exempt Bonds</t>
  </si>
  <si>
    <t>Building 9 North - 9%</t>
  </si>
  <si>
    <t>Building 9 South - 4%</t>
  </si>
  <si>
    <t>4% Rehab</t>
  </si>
  <si>
    <t>9% Rehab</t>
  </si>
  <si>
    <t>Yes</t>
  </si>
  <si>
    <t>Loan</t>
  </si>
  <si>
    <t>Public</t>
  </si>
  <si>
    <t>Laundry, Forfeited Deposits, App Fees, Parking</t>
  </si>
  <si>
    <t>MHMG</t>
  </si>
  <si>
    <t>Tax Exempt Permanent Debt</t>
  </si>
  <si>
    <t>Tonkin Architecture</t>
  </si>
  <si>
    <t>206-624-7880</t>
  </si>
  <si>
    <t>pam@tonkinarchitecture.com</t>
  </si>
  <si>
    <t>Pam Derry, Principal</t>
  </si>
  <si>
    <t>2505 3rd Ave, Ste. 204</t>
  </si>
  <si>
    <t>WA</t>
  </si>
  <si>
    <t>91-1546525</t>
  </si>
  <si>
    <t>601 375-663</t>
  </si>
  <si>
    <t>Bill Rumpf</t>
  </si>
  <si>
    <t>brumpf@mercyhousing.org</t>
  </si>
  <si>
    <t>206-602-3480</t>
  </si>
  <si>
    <t>206-585-5700</t>
  </si>
  <si>
    <t>Colliers International, Inc</t>
  </si>
  <si>
    <t>Janet Masella</t>
  </si>
  <si>
    <t>Department of Commerce</t>
  </si>
  <si>
    <t>360-725-4134</t>
  </si>
  <si>
    <t>janet.masella@commerce.wa.gov</t>
  </si>
  <si>
    <t>Kantor Taylor Nelson Evatt &amp; Decina PC</t>
  </si>
  <si>
    <t>Mark Kantor, Shareholder</t>
  </si>
  <si>
    <t>206-812-2500</t>
  </si>
  <si>
    <t>mkantor@kantortaylor.com</t>
  </si>
  <si>
    <t>Cory J. Hutsell, Certified General Real Estate Appraiser</t>
  </si>
  <si>
    <t>206-965-1136</t>
  </si>
  <si>
    <t>cory.hutsell@colliers.com</t>
  </si>
  <si>
    <t>Mercy Housing Management Group</t>
  </si>
  <si>
    <t>Kevin Weishaar, Vice President MHMG</t>
  </si>
  <si>
    <t>2505 3rd Ave, Ste 204</t>
  </si>
  <si>
    <t>206-602-3484</t>
  </si>
  <si>
    <t>kweishaar@mercyhousing.org</t>
  </si>
  <si>
    <t>Family Tree &amp; Lincoln Way</t>
  </si>
  <si>
    <t>R</t>
  </si>
  <si>
    <t>Developer, Owner</t>
  </si>
  <si>
    <t>Lynnwood, Everett, WA</t>
  </si>
  <si>
    <t>199</t>
  </si>
  <si>
    <t>2013</t>
  </si>
  <si>
    <t>2014</t>
  </si>
  <si>
    <t>LIHTC, Bonds, HTF, HUD 223D Pilot Program</t>
  </si>
  <si>
    <t>Villa Kathleen, Fircrest, Evergreen Manor</t>
  </si>
  <si>
    <t>Burlington, Mt Vernon, Concrete, WA</t>
  </si>
  <si>
    <t>84</t>
  </si>
  <si>
    <t>LIHTC, HTF, RD, Enterprise Loan</t>
  </si>
  <si>
    <t>Adams View</t>
  </si>
  <si>
    <t>NC</t>
  </si>
  <si>
    <t>Developer</t>
  </si>
  <si>
    <t>Wapato, WA</t>
  </si>
  <si>
    <t>68</t>
  </si>
  <si>
    <t>2012</t>
  </si>
  <si>
    <t>NAHASDA, LIHTC</t>
  </si>
  <si>
    <t>Wanity I &amp; II</t>
  </si>
  <si>
    <t>Toppenish, WA</t>
  </si>
  <si>
    <t>54</t>
  </si>
  <si>
    <t>2008</t>
  </si>
  <si>
    <t>2010</t>
  </si>
  <si>
    <t>Emerald City Commons</t>
  </si>
  <si>
    <t>Seattle, WA</t>
  </si>
  <si>
    <t>60</t>
  </si>
  <si>
    <t>2011</t>
  </si>
  <si>
    <t>LIHTC, City of Seattle, HTF, Capital Campaign</t>
  </si>
  <si>
    <t>Allegre Villa, Cambridge &amp; Sandstone Apartments</t>
  </si>
  <si>
    <t>Winlock, Centralia &amp; Tenino, WA</t>
  </si>
  <si>
    <t>92</t>
  </si>
  <si>
    <t>LIHTC, USDA-RD</t>
  </si>
  <si>
    <t>Columbia City Station</t>
  </si>
  <si>
    <t>52</t>
  </si>
  <si>
    <t>LIHTC, Bonds, WA Works, Seattle Levy</t>
  </si>
  <si>
    <t>Evergreen Vista I</t>
  </si>
  <si>
    <t>Olympia, WA</t>
  </si>
  <si>
    <t>104</t>
  </si>
  <si>
    <t>LIHTC, bonds</t>
  </si>
  <si>
    <t xml:space="preserve">New Tacoma I </t>
  </si>
  <si>
    <t>Tacoma, WA</t>
  </si>
  <si>
    <t>75</t>
  </si>
  <si>
    <t>2009</t>
  </si>
  <si>
    <t>HUD 202, LIHTC, HTF, bonds, City of Tacoma, Pierce County, United Way</t>
  </si>
  <si>
    <t>Appian Way</t>
  </si>
  <si>
    <t>Kent, WA</t>
  </si>
  <si>
    <t>150</t>
  </si>
  <si>
    <t>LIHTC, HTF, County, Sound Families, Bonds, FHLB, WZ</t>
  </si>
  <si>
    <t>New Tacoma II</t>
  </si>
  <si>
    <t>40</t>
  </si>
  <si>
    <t>2015</t>
  </si>
  <si>
    <t>LIHTC, City of Tacoma, Ierce County, HTF</t>
  </si>
  <si>
    <t>Othello Plaza</t>
  </si>
  <si>
    <t>108</t>
  </si>
  <si>
    <t>2017</t>
  </si>
  <si>
    <t>4 &amp; 9% LIHTC, City of Seattle, bonds</t>
  </si>
  <si>
    <t>Woodlakes Manor I &amp; II, Lake Village East</t>
  </si>
  <si>
    <t>Lake Stevens &amp; Snohomish, WA</t>
  </si>
  <si>
    <t>88</t>
  </si>
  <si>
    <t>2016</t>
  </si>
  <si>
    <t>LIHTC, USDA-RD, Snohomish County</t>
  </si>
  <si>
    <t>Current</t>
  </si>
  <si>
    <t>Columbia City Station Apartments</t>
  </si>
  <si>
    <t>Sterling Senior</t>
  </si>
  <si>
    <t>Bellingham, WA</t>
  </si>
  <si>
    <t>22</t>
  </si>
  <si>
    <t>Everett, WA</t>
  </si>
  <si>
    <t>Villa Kathleen, Evergreen Manor &amp; Fircrest Apartments</t>
  </si>
  <si>
    <t>Burlington, Mt Vernon &amp; Concrete, WA</t>
  </si>
  <si>
    <t>61</t>
  </si>
  <si>
    <t>Appian Way Apartments</t>
  </si>
  <si>
    <t>LIHTC, City of Seattle, HTF, commercial loan</t>
  </si>
  <si>
    <t>RD, HTF, 9% LIHTC</t>
  </si>
  <si>
    <t>LIHTC, Section 8</t>
  </si>
  <si>
    <t>HUD 202, LIHTC, City of Bellingham, HTF</t>
  </si>
  <si>
    <t>WA Works, City of Seattle, 4% Bonds, 4% LIHTC</t>
  </si>
  <si>
    <t>HUD 202, LIHTC, HTF, bonds, City, County, United Way</t>
  </si>
  <si>
    <t>Option 2:  50% @ 30% AMI, 50% @ 50% AMI (60 Points)</t>
  </si>
  <si>
    <t>Option 3: Historic Property being financed by the federal Historic Tax Credit (RTC) - 3 points</t>
  </si>
  <si>
    <t>Permanent Tax-Exempt Bond</t>
  </si>
  <si>
    <t>MHNW</t>
  </si>
  <si>
    <t>Various Positions</t>
  </si>
  <si>
    <t>Permanent Tax-Exempt Debt</t>
  </si>
  <si>
    <t>Building 9 South (4%)</t>
  </si>
  <si>
    <t>Building 9 North (9%)</t>
  </si>
  <si>
    <t>Property Manager</t>
  </si>
  <si>
    <t>As a fixed percentage of RAFN hard costs - Included in 'Contractor Profit' estimate</t>
  </si>
  <si>
    <t>Assistant Property Manager</t>
  </si>
  <si>
    <t>Property Management fee</t>
  </si>
  <si>
    <t>Site 1</t>
  </si>
  <si>
    <t>Site 2</t>
  </si>
  <si>
    <t>Total  Cost</t>
  </si>
  <si>
    <t>Site Total</t>
  </si>
  <si>
    <t>Residential</t>
  </si>
  <si>
    <t>Non-Residential</t>
  </si>
  <si>
    <t xml:space="preserve">Residential </t>
  </si>
  <si>
    <t xml:space="preserve">Other   </t>
  </si>
  <si>
    <t>Total Development Cost per Site</t>
  </si>
  <si>
    <t>Construction Loan</t>
  </si>
  <si>
    <t>Repay Construction Loan</t>
  </si>
  <si>
    <t>Assistant Maintenance Manager</t>
  </si>
  <si>
    <t>Maintenance Manager</t>
  </si>
  <si>
    <t>The center of the building will be owned, developed and operated as a community health clinic.</t>
  </si>
  <si>
    <t>022504-9071-00</t>
  </si>
  <si>
    <t>RAFN</t>
  </si>
  <si>
    <t>In our Building 9 project, 73% of the units will be two-bedrooms or larger to serve primarily families with children. Twenty percent of the units on the 9% LIHTC will be set aside for households with a family member with a disability and more than 20% or 9 units will be set aside for large families with children.</t>
  </si>
  <si>
    <t xml:space="preserve">Department of Commerce </t>
  </si>
  <si>
    <t>Heather Bunn, Vice President</t>
  </si>
  <si>
    <t>425-702-6620</t>
  </si>
  <si>
    <t>hbunn@rafn.com</t>
  </si>
  <si>
    <t>GP Contribution</t>
  </si>
  <si>
    <t>Interest</t>
  </si>
  <si>
    <t>North</t>
  </si>
  <si>
    <t>South</t>
  </si>
  <si>
    <t>Center</t>
  </si>
  <si>
    <t>Selected through RFQ</t>
  </si>
  <si>
    <t>Estimated</t>
  </si>
  <si>
    <t>Completed</t>
  </si>
  <si>
    <t>Part of permitting</t>
  </si>
  <si>
    <t>Will be completed after construction is complete</t>
  </si>
  <si>
    <t>Ongoing</t>
  </si>
  <si>
    <t>Bank appraisal</t>
  </si>
  <si>
    <t>Application for funding (Dept. of Commerce):*</t>
  </si>
  <si>
    <t>Complete</t>
  </si>
  <si>
    <t>Application for funding (OH):</t>
  </si>
  <si>
    <t>In progress</t>
  </si>
  <si>
    <t>Application for funding (WSHFC):</t>
  </si>
  <si>
    <t>We will do an RFP</t>
  </si>
  <si>
    <t>In Operating Budget</t>
  </si>
  <si>
    <t>Award date for funding source (Dept. of Commerce):</t>
  </si>
  <si>
    <t>Award date for funding source (OH):</t>
  </si>
  <si>
    <t>Award date for funding source (WSHFC):</t>
  </si>
  <si>
    <t>Awarded $9.7 million</t>
  </si>
  <si>
    <t>Submitted Part 1 to Secretary of Interior</t>
  </si>
  <si>
    <t>Approved</t>
  </si>
  <si>
    <t>Approval of Part 1 Historic Application</t>
  </si>
  <si>
    <t>We conducted an RFQ</t>
  </si>
  <si>
    <t>Other Admin Expenses</t>
  </si>
  <si>
    <t>LP Asset Management Fee</t>
  </si>
  <si>
    <t>GP Asset Management Fee</t>
  </si>
  <si>
    <t>Special State Appropriation</t>
  </si>
  <si>
    <t>City/King County</t>
  </si>
  <si>
    <t>GP Contribution/Interest</t>
  </si>
  <si>
    <t>Reserved</t>
  </si>
  <si>
    <t>Payoff Construction Loan</t>
  </si>
  <si>
    <t>Mercy Housing Management Group will charge a fixed fee of  $39,460 per year. This fee will cover the project's share of the MHMG costs related to the Regional Property Manager, the Area Director of Operations for Property Management, Director of Maintenance, Project Bookkeeping and Human Resource Management.</t>
  </si>
  <si>
    <t>Based on current salary, payroll taxes and benefits for FTE property manager in Seattle area</t>
  </si>
  <si>
    <t>Calculated as a percent of NOI</t>
  </si>
  <si>
    <t>Includes bookkeeping and accounting</t>
  </si>
  <si>
    <t>Based on expenses at other properties</t>
  </si>
  <si>
    <t>Based on insurance expenses at similar MHNW project</t>
  </si>
  <si>
    <t>Calculated assuming a prorata payment using King County rate</t>
  </si>
  <si>
    <t>Based on actuals at other properties</t>
  </si>
  <si>
    <t>Based on current salary, payroll taxes and benefits for FTE maintenance person in Seattle area</t>
  </si>
  <si>
    <t>Based on actual expenses at other projects</t>
  </si>
  <si>
    <t>capitalized 6 months in development budget</t>
  </si>
  <si>
    <t>Other is ongoing WSHFC compliance fee for the 9% project, and bond issuer fee for the 4% project</t>
  </si>
  <si>
    <t>State Appropriation</t>
  </si>
  <si>
    <t>Mercy Housing Management Group is an affiliate of Mercy Housing and provides all property management services.</t>
  </si>
  <si>
    <t>7101 62nd Ave NE (Building 9 South)</t>
  </si>
  <si>
    <t>7101 62nd Ave NE (Building 9 North)</t>
  </si>
  <si>
    <t>LP Asset Mangement Fee</t>
  </si>
  <si>
    <t>Based on Architect estimate</t>
  </si>
  <si>
    <t>Based on King County sewer impact and LID fee</t>
  </si>
  <si>
    <t>GP Asset Management Fee (Accrued)</t>
  </si>
  <si>
    <t>Mercy Housing Management Group will charge a fixed fee of $50,688 per year. This fee will cover the project's share of the MHMG costs related to the Regional Property Manager, the Area Director of Operations for Property Management, Director of Maintenance, Project Bookkeeping and Human Resource Management.</t>
  </si>
  <si>
    <r>
      <rPr>
        <i/>
        <sz val="10"/>
        <rFont val="Calibri"/>
        <family val="2"/>
        <scheme val="minor"/>
      </rPr>
      <t>$</t>
    </r>
    <r>
      <rPr>
        <sz val="10"/>
        <rFont val="Calibri"/>
        <family val="2"/>
        <scheme val="minor"/>
      </rPr>
      <t xml:space="preserve">350 per unit with a 3.5% escalation </t>
    </r>
  </si>
  <si>
    <t>The vacancy rate is based on MHNW's experience in Seattle and its greater portfolio. We consistently maintain a less than 5% vacancy rate, portfolio wide. 
We've used the typical inflation factors.</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</si>
</sst>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_(&quot;$&quot;* #,##0_);_(&quot;$&quot;* \(#,##0\);_(&quot;$&quot;* &quot;-&quot;??_);_(@_)"/>
    <numFmt numFmtId="170" formatCode="0;\-0;;@"/>
    <numFmt numFmtId="171" formatCode="&quot;$&quot;#,##0.0000"/>
    <numFmt numFmtId="172" formatCode="&quot;$&quot;#,##0.00000"/>
    <numFmt numFmtId="173" formatCode="_(&quot;$&quot;* #,##0.0000000000000000000000_);_(&quot;$&quot;* \(#,##0.0000000000000000000000\);_(&quot;$&quot;* &quot;-&quot;??_);_(@_)"/>
    <numFmt numFmtId="174" formatCode="&quot;$&quot;#,##0.000"/>
    <numFmt numFmtId="175" formatCode="&quot;$&quot;#,##0.0000000000"/>
    <numFmt numFmtId="176" formatCode="_(&quot;$&quot;* #,##0.0000000000_);_(&quot;$&quot;* \(#,##0.0000000000\);_(&quot;$&quot;* &quot;-&quot;??_);_(@_)"/>
    <numFmt numFmtId="177" formatCode="0.00000"/>
    <numFmt numFmtId="178" formatCode="&quot;$&quot;#,##0.0000000_);[Red]\(&quot;$&quot;#,##0.0000000\)"/>
    <numFmt numFmtId="179" formatCode="&quot;$&quot;#,##0.000_);[Red]\(&quot;$&quot;#,##0.000\)"/>
    <numFmt numFmtId="180" formatCode="_(* #,##0_);_(* \(#,##0\);_(* &quot;-&quot;??_);_(@_)"/>
    <numFmt numFmtId="181" formatCode="_(&quot;$&quot;* #,##0.0000_);_(&quot;$&quot;* \(#,##0.0000\);_(&quot;$&quot;* &quot;-&quot;??_);_(@_)"/>
    <numFmt numFmtId="182" formatCode="&quot;$&quot;#,##0.0000000000_);[Red]\(&quot;$&quot;#,##0.0000000000\)"/>
    <numFmt numFmtId="183" formatCode="&quot;$&quot;#,##0.0000_);[Red]\(&quot;$&quot;#,##0.0000\)"/>
    <numFmt numFmtId="184" formatCode="_(&quot;$&quot;* #,##0.000_);_(&quot;$&quot;* \(#,##0.000\);_(&quot;$&quot;* &quot;-&quot;??_);_(@_)"/>
    <numFmt numFmtId="185" formatCode="&quot;$&quot;#,##0.0_);\(&quot;$&quot;#,##0.0\)"/>
    <numFmt numFmtId="186" formatCode="_(&quot;$&quot;* #,##0.0_);_(&quot;$&quot;* \(#,##0.0\);_(&quot;$&quot;* &quot;-&quot;_);_(@_)"/>
  </numFmts>
  <fonts count="10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sz val="11"/>
      <color indexed="8"/>
      <name val="Arial"/>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u/>
      <sz val="10"/>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i/>
      <sz val="8"/>
      <name val="Calibri"/>
      <family val="2"/>
      <scheme val="minor"/>
    </font>
    <font>
      <b/>
      <sz val="12"/>
      <color rgb="FFFF0000"/>
      <name val="Calibri"/>
      <family val="2"/>
      <scheme val="minor"/>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b/>
      <sz val="11"/>
      <color rgb="FF000000"/>
      <name val="Calibri"/>
      <family val="2"/>
      <scheme val="minor"/>
    </font>
    <font>
      <i/>
      <sz val="11"/>
      <color indexed="8"/>
      <name val="Calibri"/>
      <family val="2"/>
      <scheme val="minor"/>
    </font>
    <font>
      <b/>
      <sz val="10"/>
      <color indexed="8"/>
      <name val="Calibri"/>
      <family val="2"/>
      <scheme val="minor"/>
    </font>
    <font>
      <i/>
      <sz val="10"/>
      <color indexed="8"/>
      <name val="Calibri"/>
      <family val="2"/>
      <scheme val="minor"/>
    </font>
    <font>
      <sz val="11"/>
      <color rgb="FF000000"/>
      <name val="Calibri"/>
      <family val="2"/>
      <scheme val="minor"/>
    </font>
    <font>
      <b/>
      <sz val="11"/>
      <name val="Calibri"/>
      <family val="2"/>
    </font>
    <font>
      <sz val="11"/>
      <name val="Calibri"/>
      <family val="2"/>
    </font>
    <font>
      <u/>
      <sz val="11"/>
      <color indexed="8"/>
      <name val="Calibri"/>
      <family val="2"/>
    </font>
    <font>
      <u/>
      <sz val="11"/>
      <color theme="1"/>
      <name val="Calibri"/>
      <family val="2"/>
      <scheme val="minor"/>
    </font>
    <font>
      <sz val="11"/>
      <color indexed="10"/>
      <name val="Calibri"/>
      <family val="2"/>
      <scheme val="minor"/>
    </font>
    <font>
      <sz val="11"/>
      <color rgb="FFFF0000"/>
      <name val="Calibri"/>
      <family val="2"/>
      <scheme val="minor"/>
    </font>
    <font>
      <b/>
      <sz val="14"/>
      <color theme="1"/>
      <name val="Calibri"/>
      <family val="2"/>
      <scheme val="minor"/>
    </font>
    <font>
      <sz val="10"/>
      <color rgb="FFFF0000"/>
      <name val="Calibri"/>
      <family val="2"/>
      <scheme val="minor"/>
    </font>
    <font>
      <b/>
      <vertAlign val="subscript"/>
      <sz val="11"/>
      <color theme="1"/>
      <name val="Calibri"/>
      <family val="2"/>
      <scheme val="minor"/>
    </font>
    <font>
      <u/>
      <sz val="11"/>
      <color theme="10"/>
      <name val="Calibri"/>
      <family val="2"/>
      <scheme val="minor"/>
    </font>
    <font>
      <sz val="8"/>
      <color theme="1"/>
      <name val="Calibri"/>
      <family val="2"/>
      <scheme val="minor"/>
    </font>
    <font>
      <b/>
      <sz val="12"/>
      <color rgb="FFFF0000"/>
      <name val="Verdana"/>
      <family val="2"/>
    </font>
    <font>
      <b/>
      <sz val="8"/>
      <name val="Arial Bold"/>
    </font>
    <font>
      <sz val="8"/>
      <name val="Symbol"/>
      <family val="1"/>
      <charset val="2"/>
    </font>
    <font>
      <sz val="8"/>
      <name val="Arial Black"/>
      <family val="2"/>
    </font>
    <font>
      <i/>
      <sz val="8"/>
      <color indexed="8"/>
      <name val="Arial"/>
      <family val="2"/>
    </font>
    <font>
      <i/>
      <sz val="8"/>
      <name val="Arial"/>
      <family val="2"/>
    </font>
    <font>
      <b/>
      <sz val="8"/>
      <color indexed="8"/>
      <name val="Arial"/>
      <family val="2"/>
    </font>
    <font>
      <b/>
      <i/>
      <sz val="8"/>
      <color indexed="8"/>
      <name val="Arial"/>
      <family val="2"/>
    </font>
    <font>
      <sz val="8"/>
      <color rgb="FFFF0000"/>
      <name val="Verdana"/>
      <family val="2"/>
    </font>
    <font>
      <sz val="9"/>
      <color rgb="FFFF0000"/>
      <name val="Calibri"/>
      <family val="2"/>
      <scheme val="minor"/>
    </font>
    <font>
      <u/>
      <sz val="10"/>
      <color theme="10"/>
      <name val="Calibri"/>
      <family val="2"/>
      <scheme val="minor"/>
    </font>
  </fonts>
  <fills count="35">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lightUp">
        <bgColor theme="0" tint="-0.24994659260841701"/>
      </patternFill>
    </fill>
    <fill>
      <patternFill patternType="solid">
        <fgColor theme="9" tint="0.59999389629810485"/>
        <bgColor indexed="64"/>
      </patternFill>
    </fill>
    <fill>
      <patternFill patternType="solid">
        <fgColor theme="0"/>
        <bgColor indexed="9"/>
      </patternFill>
    </fill>
    <fill>
      <patternFill patternType="solid">
        <fgColor theme="4" tint="0.79998168889431442"/>
        <bgColor indexed="64"/>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rgb="FFCCECFF"/>
        <bgColor indexed="64"/>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rgb="FFFFFF00"/>
        <bgColor indexed="64"/>
      </patternFill>
    </fill>
    <fill>
      <patternFill patternType="darkTrellis">
        <bgColor theme="0" tint="-0.499984740745262"/>
      </patternFill>
    </fill>
    <fill>
      <patternFill patternType="solid">
        <fgColor theme="0" tint="-4.9989318521683403E-2"/>
        <bgColor indexed="64"/>
      </patternFill>
    </fill>
    <fill>
      <patternFill patternType="darkTrellis">
        <fgColor auto="1"/>
        <bgColor auto="1"/>
      </patternFill>
    </fill>
    <fill>
      <patternFill patternType="solid">
        <fgColor theme="9" tint="0.79998168889431442"/>
        <bgColor indexed="64"/>
      </patternFill>
    </fill>
  </fills>
  <borders count="609">
    <border>
      <left/>
      <right/>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indexed="64"/>
      </top>
      <bottom style="thin">
        <color theme="0" tint="-0.14996795556505021"/>
      </bottom>
      <diagonal/>
    </border>
    <border>
      <left style="thin">
        <color theme="0" tint="-0.14996795556505021"/>
      </left>
      <right style="medium">
        <color indexed="64"/>
      </right>
      <top style="thin">
        <color theme="0" tint="-0.14996795556505021"/>
      </top>
      <bottom style="medium">
        <color indexed="64"/>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right style="thin">
        <color theme="0" tint="-0.14996795556505021"/>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top style="thin">
        <color theme="0" tint="-0.14996795556505021"/>
      </top>
      <bottom style="thin">
        <color theme="0" tint="-0.14996795556505021"/>
      </bottom>
      <diagonal/>
    </border>
    <border>
      <left/>
      <right/>
      <top style="medium">
        <color indexed="64"/>
      </top>
      <bottom style="medium">
        <color theme="4" tint="-0.499984740745262"/>
      </bottom>
      <diagonal/>
    </border>
    <border>
      <left style="thin">
        <color indexed="64"/>
      </left>
      <right/>
      <top style="thin">
        <color theme="0" tint="-0.14996795556505021"/>
      </top>
      <bottom style="thin">
        <color indexed="64"/>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style="thin">
        <color indexed="22"/>
      </left>
      <right style="thin">
        <color indexed="22"/>
      </right>
      <top style="thin">
        <color indexed="22"/>
      </top>
      <bottom style="thin">
        <color indexed="22"/>
      </bottom>
      <diagonal/>
    </border>
    <border>
      <left style="thin">
        <color theme="0" tint="-0.24994659260841701"/>
      </left>
      <right style="thin">
        <color theme="0" tint="-0.24994659260841701"/>
      </right>
      <top style="thin">
        <color theme="0" tint="-0.24994659260841701"/>
      </top>
      <bottom/>
      <diagonal/>
    </border>
    <border>
      <left style="thin">
        <color theme="0" tint="-0.14996795556505021"/>
      </left>
      <right/>
      <top style="thin">
        <color theme="0" tint="-0.14996795556505021"/>
      </top>
      <bottom style="thin">
        <color theme="0" tint="-0.1499679555650502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14996795556505021"/>
      </left>
      <right/>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right style="medium">
        <color indexed="64"/>
      </right>
      <top/>
      <bottom style="thin">
        <color theme="0" tint="-0.24994659260841701"/>
      </bottom>
      <diagonal/>
    </border>
    <border>
      <left style="thin">
        <color theme="0" tint="-0.14996795556505021"/>
      </left>
      <right/>
      <top style="thin">
        <color theme="0" tint="-0.24994659260841701"/>
      </top>
      <bottom style="double">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right style="medium">
        <color indexed="64"/>
      </right>
      <top style="medium">
        <color indexed="64"/>
      </top>
      <bottom style="thin">
        <color indexed="64"/>
      </bottom>
      <diagonal/>
    </border>
    <border>
      <left style="medium">
        <color indexed="64"/>
      </left>
      <right style="thin">
        <color theme="0" tint="-0.24994659260841701"/>
      </right>
      <top style="thin">
        <color theme="0" tint="-0.24994659260841701"/>
      </top>
      <bottom/>
      <diagonal/>
    </border>
    <border>
      <left style="thin">
        <color indexed="64"/>
      </left>
      <right style="thin">
        <color theme="0" tint="-0.14996795556505021"/>
      </right>
      <top style="thin">
        <color theme="0" tint="-0.1499679555650502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right style="medium">
        <color indexed="64"/>
      </right>
      <top style="thin">
        <color theme="0" tint="-0.24994659260841701"/>
      </top>
      <bottom style="medium">
        <color indexed="64"/>
      </bottom>
      <diagonal/>
    </border>
    <border>
      <left style="thin">
        <color theme="0" tint="-0.14996795556505021"/>
      </left>
      <right/>
      <top style="thin">
        <color theme="0" tint="-0.24994659260841701"/>
      </top>
      <bottom style="medium">
        <color indexed="64"/>
      </bottom>
      <diagonal/>
    </border>
    <border>
      <left style="double">
        <color indexed="64"/>
      </left>
      <right/>
      <top/>
      <bottom style="medium">
        <color indexed="64"/>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indexed="64"/>
      </bottom>
      <diagonal/>
    </border>
    <border>
      <left style="thin">
        <color theme="0" tint="-0.24994659260841701"/>
      </left>
      <right/>
      <top style="thin">
        <color theme="0" tint="-0.24994659260841701"/>
      </top>
      <bottom style="thin">
        <color indexed="64"/>
      </bottom>
      <diagonal/>
    </border>
    <border>
      <left/>
      <right/>
      <top style="thin">
        <color theme="0" tint="-0.24994659260841701"/>
      </top>
      <bottom style="thin">
        <color indexed="64"/>
      </bottom>
      <diagonal/>
    </border>
    <border>
      <left style="thin">
        <color theme="0" tint="-0.14993743705557422"/>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indexed="64"/>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theme="0" tint="-0.14993743705557422"/>
      </left>
      <right/>
      <top style="thin">
        <color theme="0" tint="-0.24994659260841701"/>
      </top>
      <bottom style="medium">
        <color indexed="64"/>
      </bottom>
      <diagonal/>
    </border>
    <border>
      <left style="thin">
        <color theme="0" tint="-0.14993743705557422"/>
      </left>
      <right style="medium">
        <color indexed="64"/>
      </right>
      <top style="thin">
        <color theme="0" tint="-0.24994659260841701"/>
      </top>
      <bottom style="thin">
        <color theme="0" tint="-0.24994659260841701"/>
      </bottom>
      <diagonal/>
    </border>
    <border>
      <left style="thin">
        <color theme="0" tint="-0.14993743705557422"/>
      </left>
      <right style="medium">
        <color indexed="64"/>
      </right>
      <top style="thin">
        <color theme="0" tint="-0.24994659260841701"/>
      </top>
      <bottom style="medium">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diagonal/>
    </border>
    <border>
      <left style="thin">
        <color indexed="64"/>
      </left>
      <right style="medium">
        <color indexed="64"/>
      </right>
      <top/>
      <bottom/>
      <diagonal/>
    </border>
    <border>
      <left style="thin">
        <color theme="0" tint="-0.24994659260841701"/>
      </left>
      <right style="medium">
        <color indexed="64"/>
      </right>
      <top style="thin">
        <color theme="0" tint="-0.24994659260841701"/>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top style="thin">
        <color theme="0" tint="-0.24994659260841701"/>
      </top>
      <bottom style="double">
        <color indexed="64"/>
      </bottom>
      <diagonal/>
    </border>
    <border>
      <left style="thin">
        <color indexed="64"/>
      </left>
      <right style="medium">
        <color indexed="64"/>
      </right>
      <top style="thin">
        <color theme="0" tint="-0.24994659260841701"/>
      </top>
      <bottom style="thin">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indexed="64"/>
      </left>
      <right style="thin">
        <color indexed="64"/>
      </right>
      <top style="thin">
        <color theme="0" tint="-0.24994659260841701"/>
      </top>
      <bottom style="thin">
        <color indexed="64"/>
      </bottom>
      <diagonal/>
    </border>
    <border>
      <left/>
      <right style="thin">
        <color theme="0" tint="-0.14996795556505021"/>
      </right>
      <top style="thin">
        <color theme="0" tint="-0.14996795556505021"/>
      </top>
      <bottom style="medium">
        <color indexed="64"/>
      </bottom>
      <diagonal/>
    </border>
    <border>
      <left style="medium">
        <color indexed="64"/>
      </left>
      <right/>
      <top style="thin">
        <color indexed="64"/>
      </top>
      <bottom style="thin">
        <color theme="0" tint="-0.14996795556505021"/>
      </bottom>
      <diagonal/>
    </border>
    <border>
      <left style="thin">
        <color theme="0" tint="-0.14996795556505021"/>
      </left>
      <right style="medium">
        <color indexed="64"/>
      </right>
      <top style="thin">
        <color theme="0" tint="-0.14996795556505021"/>
      </top>
      <bottom/>
      <diagonal/>
    </border>
    <border>
      <left style="thin">
        <color theme="0" tint="-0.24994659260841701"/>
      </left>
      <right style="thin">
        <color theme="0" tint="-0.24994659260841701"/>
      </right>
      <top style="thin">
        <color theme="0" tint="-0.24994659260841701"/>
      </top>
      <bottom style="thin">
        <color auto="1"/>
      </bottom>
      <diagonal/>
    </border>
    <border>
      <left style="medium">
        <color indexed="64"/>
      </left>
      <right style="thin">
        <color theme="0" tint="-0.24994659260841701"/>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diagonal/>
    </border>
    <border>
      <left style="thin">
        <color theme="0" tint="-0.24994659260841701"/>
      </left>
      <right style="thin">
        <color theme="0" tint="-0.24994659260841701"/>
      </right>
      <top style="thin">
        <color theme="0" tint="-0.24994659260841701"/>
      </top>
      <bottom style="double">
        <color auto="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auto="1"/>
      </left>
      <right style="thin">
        <color theme="0" tint="-0.24994659260841701"/>
      </right>
      <top style="thin">
        <color theme="0" tint="-0.24994659260841701"/>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medium">
        <color indexed="64"/>
      </left>
      <right style="thin">
        <color indexed="64"/>
      </right>
      <top style="thin">
        <color indexed="64"/>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auto="1"/>
      </right>
      <top style="medium">
        <color indexed="64"/>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24994659260841701"/>
      </left>
      <right style="medium">
        <color indexed="64"/>
      </right>
      <top style="thin">
        <color indexed="64"/>
      </top>
      <bottom style="thin">
        <color theme="0" tint="-0.24994659260841701"/>
      </bottom>
      <diagonal/>
    </border>
    <border>
      <left/>
      <right style="medium">
        <color indexed="64"/>
      </right>
      <top/>
      <bottom style="medium">
        <color auto="1"/>
      </bottom>
      <diagonal/>
    </border>
    <border>
      <left style="medium">
        <color indexed="64"/>
      </left>
      <right style="thin">
        <color indexed="64"/>
      </right>
      <top style="thin">
        <color theme="0" tint="-0.14996795556505021"/>
      </top>
      <bottom style="thin">
        <color theme="0" tint="-0.14996795556505021"/>
      </bottom>
      <diagonal/>
    </border>
    <border>
      <left style="medium">
        <color indexed="64"/>
      </left>
      <right style="thin">
        <color indexed="64"/>
      </right>
      <top style="thin">
        <color theme="0" tint="-0.1499679555650502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0" tint="-0.24994659260841701"/>
      </left>
      <right/>
      <top style="thin">
        <color theme="0" tint="-0.24994659260841701"/>
      </top>
      <bottom style="double">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theme="3" tint="-0.24994659260841701"/>
      </left>
      <right/>
      <top/>
      <bottom style="medium">
        <color theme="3" tint="-0.499984740745262"/>
      </bottom>
      <diagonal/>
    </border>
    <border>
      <left/>
      <right style="medium">
        <color theme="3" tint="-0.24994659260841701"/>
      </right>
      <top/>
      <bottom style="medium">
        <color theme="3" tint="-0.499984740745262"/>
      </bottom>
      <diagonal/>
    </border>
    <border>
      <left style="medium">
        <color theme="4" tint="-0.499984740745262"/>
      </left>
      <right/>
      <top style="medium">
        <color theme="3" tint="-0.499984740745262"/>
      </top>
      <bottom/>
      <diagonal/>
    </border>
    <border>
      <left/>
      <right style="medium">
        <color theme="4" tint="-0.499984740745262"/>
      </right>
      <top style="medium">
        <color theme="3" tint="-0.499984740745262"/>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top style="medium">
        <color indexed="64"/>
      </top>
      <bottom style="thin">
        <color theme="0" tint="-0.14996795556505021"/>
      </bottom>
      <diagonal/>
    </border>
    <border>
      <left/>
      <right/>
      <top style="medium">
        <color indexed="64"/>
      </top>
      <bottom style="medium">
        <color indexed="64"/>
      </bottom>
      <diagonal/>
    </border>
    <border>
      <left style="medium">
        <color indexed="64"/>
      </left>
      <right/>
      <top style="medium">
        <color indexed="64"/>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indexed="64"/>
      </left>
      <right/>
      <top style="medium">
        <color indexed="64"/>
      </top>
      <bottom/>
      <diagonal/>
    </border>
    <border>
      <left style="thin">
        <color theme="0" tint="-0.14996795556505021"/>
      </left>
      <right/>
      <top style="medium">
        <color indexed="64"/>
      </top>
      <bottom style="thin">
        <color theme="0" tint="-0.14996795556505021"/>
      </bottom>
      <diagonal/>
    </border>
    <border>
      <left/>
      <right style="medium">
        <color indexed="64"/>
      </right>
      <top style="medium">
        <color indexed="64"/>
      </top>
      <bottom style="thin">
        <color indexed="64"/>
      </bottom>
      <diagonal/>
    </border>
    <border>
      <left style="thin">
        <color theme="0" tint="-0.24994659260841701"/>
      </left>
      <right/>
      <top style="medium">
        <color indexed="64"/>
      </top>
      <bottom style="thin">
        <color theme="0" tint="-0.2499465926084170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theme="0" tint="-0.24994659260841701"/>
      </bottom>
      <diagonal/>
    </border>
    <border>
      <left style="thin">
        <color theme="0" tint="-0.24994659260841701"/>
      </left>
      <right/>
      <top style="medium">
        <color indexed="64"/>
      </top>
      <bottom style="medium">
        <color indexed="64"/>
      </bottom>
      <diagonal/>
    </border>
    <border>
      <left style="thin">
        <color theme="0" tint="-0.14996795556505021"/>
      </left>
      <right style="medium">
        <color indexed="64"/>
      </right>
      <top style="medium">
        <color indexed="64"/>
      </top>
      <bottom style="thin">
        <color theme="0" tint="-0.24994659260841701"/>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style="medium">
        <color indexed="64"/>
      </left>
      <right style="thin">
        <color indexed="64"/>
      </right>
      <top style="medium">
        <color indexed="64"/>
      </top>
      <bottom style="thin">
        <color theme="0" tint="-0.1499679555650502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indexed="64"/>
      </left>
      <right style="thin">
        <color theme="0" tint="-0.14996795556505021"/>
      </right>
      <top style="medium">
        <color indexed="64"/>
      </top>
      <bottom style="thin">
        <color theme="0" tint="-0.14996795556505021"/>
      </bottom>
      <diagonal/>
    </border>
    <border>
      <left style="thin">
        <color theme="0" tint="-0.14996795556505021"/>
      </left>
      <right style="thin">
        <color indexed="64"/>
      </right>
      <top style="medium">
        <color indexed="64"/>
      </top>
      <bottom style="thin">
        <color theme="0" tint="-0.14996795556505021"/>
      </bottom>
      <diagonal/>
    </border>
    <border>
      <left style="medium">
        <color indexed="64"/>
      </left>
      <right/>
      <top style="medium">
        <color indexed="64"/>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theme="0" tint="-0.14996795556505021"/>
      </left>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14993743705557422"/>
      </left>
      <right/>
      <top style="medium">
        <color indexed="64"/>
      </top>
      <bottom style="thin">
        <color theme="0" tint="-0.24994659260841701"/>
      </bottom>
      <diagonal/>
    </border>
    <border>
      <left style="thin">
        <color theme="0" tint="-0.14993743705557422"/>
      </left>
      <right style="medium">
        <color indexed="64"/>
      </right>
      <top style="medium">
        <color indexed="64"/>
      </top>
      <bottom style="thin">
        <color theme="0" tint="-0.24994659260841701"/>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right style="thin">
        <color indexed="64"/>
      </right>
      <top style="medium">
        <color indexed="64"/>
      </top>
      <bottom style="thin">
        <color theme="0" tint="-0.24994659260841701"/>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64"/>
      </left>
      <right style="thin">
        <color indexed="64"/>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right style="thin">
        <color indexed="22"/>
      </right>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medium">
        <color indexed="64"/>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right style="medium">
        <color indexed="64"/>
      </right>
      <top style="thin">
        <color theme="0" tint="-0.14996795556505021"/>
      </top>
      <bottom style="medium">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thin">
        <color theme="0" tint="-0.14996795556505021"/>
      </top>
      <bottom style="thin">
        <color indexed="64"/>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style="medium">
        <color indexed="64"/>
      </right>
      <top style="thin">
        <color theme="0" tint="-0.14996795556505021"/>
      </top>
      <bottom style="thin">
        <color theme="0" tint="-0.14996795556505021"/>
      </bottom>
      <diagonal/>
    </border>
    <border>
      <left style="medium">
        <color indexed="64"/>
      </left>
      <right/>
      <top style="medium">
        <color indexed="64"/>
      </top>
      <bottom style="thin">
        <color theme="0" tint="-0.14996795556505021"/>
      </bottom>
      <diagonal/>
    </border>
    <border>
      <left/>
      <right/>
      <top style="thin">
        <color theme="0" tint="-0.14996795556505021"/>
      </top>
      <bottom style="thin">
        <color theme="0" tint="-0.14996795556505021"/>
      </bottom>
      <diagonal/>
    </border>
    <border>
      <left/>
      <right/>
      <top style="medium">
        <color indexed="64"/>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thin">
        <color theme="0" tint="-0.14996795556505021"/>
      </top>
      <bottom style="medium">
        <color indexed="64"/>
      </bottom>
      <diagonal/>
    </border>
    <border>
      <left style="thin">
        <color indexed="22"/>
      </left>
      <right style="medium">
        <color indexed="64"/>
      </right>
      <top style="thin">
        <color indexed="22"/>
      </top>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right/>
      <top style="medium">
        <color theme="1"/>
      </top>
      <bottom/>
      <diagonal/>
    </border>
    <border>
      <left/>
      <right style="medium">
        <color indexed="64"/>
      </right>
      <top style="medium">
        <color theme="1"/>
      </top>
      <bottom/>
      <diagonal/>
    </border>
    <border>
      <left style="thin">
        <color theme="0" tint="-0.14996795556505021"/>
      </left>
      <right style="medium">
        <color theme="1"/>
      </right>
      <top style="thin">
        <color indexed="64"/>
      </top>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style="medium">
        <color indexed="64"/>
      </left>
      <right style="medium">
        <color indexed="64"/>
      </right>
      <top style="thin">
        <color theme="0" tint="-0.14996795556505021"/>
      </top>
      <bottom style="double">
        <color indexed="64"/>
      </bottom>
      <diagonal/>
    </border>
    <border>
      <left style="medium">
        <color indexed="64"/>
      </left>
      <right style="medium">
        <color indexed="64"/>
      </right>
      <top style="hair">
        <color theme="0" tint="-0.14996795556505021"/>
      </top>
      <bottom style="hair">
        <color theme="0" tint="-0.14996795556505021"/>
      </bottom>
      <diagonal/>
    </border>
    <border>
      <left style="medium">
        <color indexed="64"/>
      </left>
      <right style="medium">
        <color indexed="64"/>
      </right>
      <top style="hair">
        <color theme="0" tint="-0.14996795556505021"/>
      </top>
      <bottom style="medium">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bottom style="thin">
        <color theme="0" tint="-0.14996795556505021"/>
      </bottom>
      <diagonal/>
    </border>
    <border>
      <left/>
      <right style="thin">
        <color indexed="22"/>
      </right>
      <top style="medium">
        <color indexed="64"/>
      </top>
      <bottom style="thin">
        <color theme="0" tint="-0.24994659260841701"/>
      </bottom>
      <diagonal/>
    </border>
    <border>
      <left style="thin">
        <color indexed="22"/>
      </left>
      <right/>
      <top style="medium">
        <color indexed="64"/>
      </top>
      <bottom style="thin">
        <color theme="0" tint="-0.24994659260841701"/>
      </bottom>
      <diagonal/>
    </border>
    <border>
      <left/>
      <right style="thin">
        <color indexed="22"/>
      </right>
      <top style="thin">
        <color theme="0" tint="-0.24994659260841701"/>
      </top>
      <bottom style="thin">
        <color theme="0" tint="-0.24994659260841701"/>
      </bottom>
      <diagonal/>
    </border>
    <border>
      <left style="thin">
        <color indexed="22"/>
      </left>
      <right/>
      <top style="thin">
        <color theme="0" tint="-0.24994659260841701"/>
      </top>
      <bottom style="thin">
        <color theme="0" tint="-0.24994659260841701"/>
      </bottom>
      <diagonal/>
    </border>
    <border>
      <left/>
      <right style="thin">
        <color indexed="22"/>
      </right>
      <top style="thin">
        <color theme="0" tint="-0.24994659260841701"/>
      </top>
      <bottom style="medium">
        <color indexed="64"/>
      </bottom>
      <diagonal/>
    </border>
    <border>
      <left style="medium">
        <color indexed="64"/>
      </left>
      <right style="thin">
        <color theme="0" tint="-0.24994659260841701"/>
      </right>
      <top/>
      <bottom style="thin">
        <color theme="0" tint="-0.14996795556505021"/>
      </bottom>
      <diagonal/>
    </border>
    <border>
      <left style="thin">
        <color theme="0" tint="-0.24994659260841701"/>
      </left>
      <right style="thin">
        <color theme="0" tint="-0.24994659260841701"/>
      </right>
      <top/>
      <bottom style="thin">
        <color theme="0" tint="-0.14996795556505021"/>
      </bottom>
      <diagonal/>
    </border>
    <border>
      <left style="thin">
        <color theme="0" tint="-0.24994659260841701"/>
      </left>
      <right style="medium">
        <color indexed="64"/>
      </right>
      <top/>
      <bottom style="thin">
        <color theme="0" tint="-0.14996795556505021"/>
      </bottom>
      <diagonal/>
    </border>
    <border>
      <left style="medium">
        <color indexed="64"/>
      </left>
      <right style="thin">
        <color theme="0" tint="-0.24994659260841701"/>
      </right>
      <top style="thin">
        <color theme="0" tint="-0.14996795556505021"/>
      </top>
      <bottom style="double">
        <color indexed="64"/>
      </bottom>
      <diagonal/>
    </border>
    <border>
      <left style="thin">
        <color theme="0" tint="-0.24994659260841701"/>
      </left>
      <right style="thin">
        <color theme="0" tint="-0.24994659260841701"/>
      </right>
      <top style="thin">
        <color theme="0" tint="-0.14996795556505021"/>
      </top>
      <bottom style="double">
        <color indexed="64"/>
      </bottom>
      <diagonal/>
    </border>
    <border>
      <left style="thin">
        <color theme="0" tint="-0.24994659260841701"/>
      </left>
      <right style="medium">
        <color indexed="64"/>
      </right>
      <top style="thin">
        <color theme="0" tint="-0.14996795556505021"/>
      </top>
      <bottom style="double">
        <color indexed="64"/>
      </bottom>
      <diagonal/>
    </border>
    <border>
      <left style="medium">
        <color indexed="64"/>
      </left>
      <right style="thin">
        <color theme="0" tint="-0.34998626667073579"/>
      </right>
      <top style="medium">
        <color indexed="64"/>
      </top>
      <bottom style="thin">
        <color theme="0" tint="-0.14996795556505021"/>
      </bottom>
      <diagonal/>
    </border>
    <border>
      <left style="thin">
        <color theme="0" tint="-0.34998626667073579"/>
      </left>
      <right style="thin">
        <color theme="0" tint="-0.34998626667073579"/>
      </right>
      <top style="medium">
        <color indexed="64"/>
      </top>
      <bottom style="thin">
        <color theme="0" tint="-0.14996795556505021"/>
      </bottom>
      <diagonal/>
    </border>
    <border>
      <left style="thin">
        <color theme="0" tint="-0.34998626667073579"/>
      </left>
      <right style="medium">
        <color indexed="64"/>
      </right>
      <top style="medium">
        <color indexed="64"/>
      </top>
      <bottom style="thin">
        <color theme="0" tint="-0.14996795556505021"/>
      </bottom>
      <diagonal/>
    </border>
    <border>
      <left style="medium">
        <color indexed="64"/>
      </left>
      <right style="thin">
        <color theme="0" tint="-0.34998626667073579"/>
      </right>
      <top style="thin">
        <color theme="0" tint="-0.14996795556505021"/>
      </top>
      <bottom style="thin">
        <color theme="0" tint="-0.14996795556505021"/>
      </bottom>
      <diagonal/>
    </border>
    <border>
      <left style="thin">
        <color theme="0" tint="-0.34998626667073579"/>
      </left>
      <right style="thin">
        <color theme="0" tint="-0.34998626667073579"/>
      </right>
      <top style="thin">
        <color theme="0" tint="-0.14996795556505021"/>
      </top>
      <bottom style="thin">
        <color theme="0" tint="-0.14996795556505021"/>
      </bottom>
      <diagonal/>
    </border>
    <border>
      <left style="thin">
        <color theme="0" tint="-0.34998626667073579"/>
      </left>
      <right style="medium">
        <color indexed="64"/>
      </right>
      <top style="thin">
        <color theme="0" tint="-0.14996795556505021"/>
      </top>
      <bottom style="thin">
        <color theme="0" tint="-0.14996795556505021"/>
      </bottom>
      <diagonal/>
    </border>
    <border>
      <left style="medium">
        <color indexed="64"/>
      </left>
      <right style="thin">
        <color theme="0" tint="-0.34998626667073579"/>
      </right>
      <top style="thin">
        <color theme="0" tint="-0.14996795556505021"/>
      </top>
      <bottom style="thin">
        <color indexed="64"/>
      </bottom>
      <diagonal/>
    </border>
    <border>
      <left style="thin">
        <color theme="0" tint="-0.34998626667073579"/>
      </left>
      <right style="thin">
        <color theme="0" tint="-0.34998626667073579"/>
      </right>
      <top style="thin">
        <color theme="0" tint="-0.14996795556505021"/>
      </top>
      <bottom style="thin">
        <color indexed="64"/>
      </bottom>
      <diagonal/>
    </border>
    <border>
      <left style="thin">
        <color theme="0" tint="-0.34998626667073579"/>
      </left>
      <right style="medium">
        <color indexed="64"/>
      </right>
      <top style="thin">
        <color theme="0" tint="-0.14996795556505021"/>
      </top>
      <bottom style="thin">
        <color indexed="64"/>
      </bottom>
      <diagonal/>
    </border>
    <border>
      <left style="medium">
        <color indexed="64"/>
      </left>
      <right style="thin">
        <color indexed="22"/>
      </right>
      <top style="medium">
        <color indexed="64"/>
      </top>
      <bottom style="thin">
        <color indexed="22"/>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medium">
        <color indexed="64"/>
      </left>
      <right style="medium">
        <color indexed="64"/>
      </right>
      <top style="hair">
        <color theme="0" tint="-0.14993743705557422"/>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22"/>
      </right>
      <top style="thin">
        <color indexed="22"/>
      </top>
      <bottom style="medium">
        <color indexed="64"/>
      </bottom>
      <diagonal/>
    </border>
    <border>
      <left style="medium">
        <color indexed="64"/>
      </left>
      <right style="medium">
        <color indexed="64"/>
      </right>
      <top style="medium">
        <color indexed="64"/>
      </top>
      <bottom style="hair">
        <color theme="0" tint="-0.14996795556505021"/>
      </bottom>
      <diagonal/>
    </border>
    <border>
      <left style="medium">
        <color indexed="64"/>
      </left>
      <right/>
      <top style="thin">
        <color indexed="64"/>
      </top>
      <bottom style="thin">
        <color theme="0" tint="-0.24994659260841701"/>
      </bottom>
      <diagonal/>
    </border>
    <border>
      <left/>
      <right/>
      <top style="thin">
        <color theme="0" tint="-0.14996795556505021"/>
      </top>
      <bottom/>
      <diagonal/>
    </border>
    <border>
      <left style="thin">
        <color theme="0" tint="-0.34998626667073579"/>
      </left>
      <right style="medium">
        <color indexed="64"/>
      </right>
      <top style="thin">
        <color theme="0" tint="-0.14996795556505021"/>
      </top>
      <bottom style="thin">
        <color theme="0" tint="-0.34998626667073579"/>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top/>
      <bottom style="thin">
        <color rgb="FF08A8CE"/>
      </bottom>
      <diagonal/>
    </border>
    <border>
      <left style="thin">
        <color indexed="22"/>
      </left>
      <right/>
      <top style="thin">
        <color theme="0" tint="-0.24994659260841701"/>
      </top>
      <bottom style="medium">
        <color indexed="64"/>
      </bottom>
      <diagonal/>
    </border>
    <border>
      <left style="medium">
        <color indexed="64"/>
      </left>
      <right style="thin">
        <color indexed="22"/>
      </right>
      <top style="thin">
        <color indexed="22"/>
      </top>
      <bottom style="medium">
        <color indexed="64"/>
      </bottom>
      <diagonal/>
    </border>
    <border>
      <left style="thin">
        <color indexed="22"/>
      </left>
      <right style="medium">
        <color indexed="64"/>
      </right>
      <top style="thin">
        <color indexed="22"/>
      </top>
      <bottom style="medium">
        <color indexed="64"/>
      </bottom>
      <diagonal/>
    </border>
    <border>
      <left style="medium">
        <color indexed="64"/>
      </left>
      <right style="thin">
        <color theme="0" tint="-0.1499679555650502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double">
        <color indexed="64"/>
      </bottom>
      <diagonal/>
    </border>
    <border>
      <left/>
      <right/>
      <top style="thin">
        <color indexed="64"/>
      </top>
      <bottom style="thin">
        <color theme="0" tint="-0.14996795556505021"/>
      </bottom>
      <diagonal/>
    </border>
    <border>
      <left style="thin">
        <color theme="0" tint="-0.24994659260841701"/>
      </left>
      <right style="thin">
        <color theme="0" tint="-0.14996795556505021"/>
      </right>
      <top style="thin">
        <color indexed="64"/>
      </top>
      <bottom style="thin">
        <color theme="0" tint="-0.14996795556505021"/>
      </bottom>
      <diagonal/>
    </border>
    <border>
      <left style="thin">
        <color theme="0" tint="-0.2499465926084170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14996795556505021"/>
      </right>
      <top style="thin">
        <color theme="0" tint="-0.14996795556505021"/>
      </top>
      <bottom style="medium">
        <color indexed="64"/>
      </bottom>
      <diagonal/>
    </border>
    <border>
      <left style="thin">
        <color indexed="64"/>
      </left>
      <right style="thin">
        <color theme="0" tint="-0.24994659260841701"/>
      </right>
      <top style="thin">
        <color indexed="64"/>
      </top>
      <bottom style="thin">
        <color theme="0" tint="-0.14996795556505021"/>
      </bottom>
      <diagonal/>
    </border>
    <border>
      <left style="thin">
        <color indexed="64"/>
      </left>
      <right style="thin">
        <color theme="0" tint="-0.24994659260841701"/>
      </right>
      <top style="thin">
        <color theme="0" tint="-0.14996795556505021"/>
      </top>
      <bottom style="thin">
        <color theme="0" tint="-0.14996795556505021"/>
      </bottom>
      <diagonal/>
    </border>
    <border>
      <left style="thin">
        <color indexed="64"/>
      </left>
      <right style="thin">
        <color theme="0" tint="-0.24994659260841701"/>
      </right>
      <top style="thin">
        <color theme="0" tint="-0.14996795556505021"/>
      </top>
      <bottom style="medium">
        <color indexed="64"/>
      </bottom>
      <diagonal/>
    </border>
    <border>
      <left/>
      <right style="thin">
        <color indexed="64"/>
      </right>
      <top style="thin">
        <color indexed="64"/>
      </top>
      <bottom style="thin">
        <color theme="0" tint="-0.14996795556505021"/>
      </bottom>
      <diagonal/>
    </border>
    <border>
      <left/>
      <right style="thin">
        <color indexed="64"/>
      </right>
      <top style="thin">
        <color theme="0" tint="-0.14996795556505021"/>
      </top>
      <bottom style="medium">
        <color indexed="64"/>
      </bottom>
      <diagonal/>
    </border>
    <border>
      <left style="medium">
        <color indexed="64"/>
      </left>
      <right style="thin">
        <color indexed="22"/>
      </right>
      <top style="double">
        <color indexed="64"/>
      </top>
      <bottom/>
      <diagonal/>
    </border>
    <border>
      <left style="thin">
        <color indexed="22"/>
      </left>
      <right style="thin">
        <color indexed="22"/>
      </right>
      <top style="double">
        <color indexed="64"/>
      </top>
      <bottom/>
      <diagonal/>
    </border>
    <border>
      <left style="thin">
        <color indexed="22"/>
      </left>
      <right style="medium">
        <color indexed="64"/>
      </right>
      <top style="double">
        <color indexed="64"/>
      </top>
      <bottom/>
      <diagonal/>
    </border>
    <border>
      <left style="medium">
        <color indexed="64"/>
      </left>
      <right style="thin">
        <color theme="0" tint="-0.14996795556505021"/>
      </right>
      <top style="thin">
        <color theme="0" tint="-0.24994659260841701"/>
      </top>
      <bottom style="medium">
        <color auto="1"/>
      </bottom>
      <diagonal/>
    </border>
    <border>
      <left style="thin">
        <color theme="0" tint="-0.14996795556505021"/>
      </left>
      <right style="thin">
        <color theme="0" tint="-0.14996795556505021"/>
      </right>
      <top style="thin">
        <color theme="0" tint="-0.24994659260841701"/>
      </top>
      <bottom style="medium">
        <color auto="1"/>
      </bottom>
      <diagonal/>
    </border>
    <border>
      <left style="thin">
        <color theme="0" tint="-0.14996795556505021"/>
      </left>
      <right style="medium">
        <color indexed="64"/>
      </right>
      <top style="thin">
        <color theme="0" tint="-0.24994659260841701"/>
      </top>
      <bottom style="medium">
        <color auto="1"/>
      </bottom>
      <diagonal/>
    </border>
    <border>
      <left/>
      <right style="hair">
        <color indexed="64"/>
      </right>
      <top style="hair">
        <color indexed="64"/>
      </top>
      <bottom/>
      <diagonal/>
    </border>
    <border>
      <left style="medium">
        <color indexed="64"/>
      </left>
      <right/>
      <top/>
      <bottom style="thin">
        <color theme="0" tint="-0.14996795556505021"/>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thin">
        <color theme="0" tint="-0.24994659260841701"/>
      </right>
      <top style="thin">
        <color theme="0" tint="-0.24994659260841701"/>
      </top>
      <bottom style="double">
        <color auto="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thin">
        <color indexed="64"/>
      </bottom>
      <diagonal/>
    </border>
    <border>
      <left style="medium">
        <color indexed="64"/>
      </left>
      <right/>
      <top style="medium">
        <color indexed="64"/>
      </top>
      <bottom/>
      <diagonal/>
    </border>
    <border>
      <left style="thin">
        <color theme="0" tint="-0.24994659260841701"/>
      </left>
      <right/>
      <top style="medium">
        <color indexed="64"/>
      </top>
      <bottom/>
      <diagonal/>
    </border>
    <border>
      <left style="thin">
        <color theme="0" tint="-0.24994659260841701"/>
      </left>
      <right style="medium">
        <color indexed="64"/>
      </right>
      <top style="medium">
        <color indexed="64"/>
      </top>
      <bottom/>
      <diagonal/>
    </border>
    <border>
      <left style="thin">
        <color theme="0" tint="-0.24994659260841701"/>
      </left>
      <right style="thin">
        <color theme="0" tint="-0.24994659260841701"/>
      </right>
      <top style="medium">
        <color indexed="64"/>
      </top>
      <bottom/>
      <diagonal/>
    </border>
    <border>
      <left style="medium">
        <color indexed="64"/>
      </left>
      <right/>
      <top style="medium">
        <color indexed="64"/>
      </top>
      <bottom style="thin">
        <color indexed="64"/>
      </bottom>
      <diagonal/>
    </border>
    <border>
      <left/>
      <right style="thin">
        <color theme="0" tint="-0.24994659260841701"/>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medium">
        <color indexed="64"/>
      </right>
      <top/>
      <bottom style="thin">
        <color theme="0" tint="-0.24994659260841701"/>
      </bottom>
      <diagonal/>
    </border>
    <border>
      <left style="thin">
        <color theme="0" tint="-0.14996795556505021"/>
      </left>
      <right style="medium">
        <color indexed="64"/>
      </right>
      <top style="thin">
        <color theme="0" tint="-0.24994659260841701"/>
      </top>
      <bottom style="double">
        <color indexed="64"/>
      </bottom>
      <diagonal/>
    </border>
    <border>
      <left style="thin">
        <color theme="0" tint="-0.14996795556505021"/>
      </left>
      <right style="double">
        <color indexed="64"/>
      </right>
      <top style="double">
        <color indexed="64"/>
      </top>
      <bottom style="double">
        <color indexed="64"/>
      </bottom>
      <diagonal/>
    </border>
    <border>
      <left/>
      <right/>
      <top style="medium">
        <color indexed="64"/>
      </top>
      <bottom style="thin">
        <color theme="0" tint="-0.2499465926084170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style="thin">
        <color theme="0" tint="-0.24994659260841701"/>
      </right>
      <top style="medium">
        <color indexed="64"/>
      </top>
      <bottom style="thin">
        <color theme="0" tint="-0.24994659260841701"/>
      </bottom>
      <diagonal/>
    </border>
    <border>
      <left style="medium">
        <color indexed="64"/>
      </left>
      <right style="medium">
        <color indexed="64"/>
      </right>
      <top style="medium">
        <color indexed="64"/>
      </top>
      <bottom style="thin">
        <color theme="0" tint="-0.14996795556505021"/>
      </bottom>
      <diagonal/>
    </border>
    <border>
      <left style="medium">
        <color indexed="64"/>
      </left>
      <right style="medium">
        <color indexed="64"/>
      </right>
      <top style="thin">
        <color theme="0" tint="-0.14996795556505021"/>
      </top>
      <bottom/>
      <diagonal/>
    </border>
    <border>
      <left/>
      <right/>
      <top/>
      <bottom style="medium">
        <color indexed="64"/>
      </bottom>
      <diagonal/>
    </border>
    <border>
      <left/>
      <right style="medium">
        <color indexed="64"/>
      </right>
      <top/>
      <bottom style="medium">
        <color indexed="64"/>
      </bottom>
      <diagonal/>
    </border>
    <border>
      <left/>
      <right style="thin">
        <color theme="0" tint="-0.24994659260841701"/>
      </right>
      <top style="thin">
        <color theme="0" tint="-0.14996795556505021"/>
      </top>
      <bottom style="thin">
        <color theme="0" tint="-0.14996795556505021"/>
      </bottom>
      <diagonal/>
    </border>
    <border>
      <left/>
      <right style="thin">
        <color theme="0" tint="-0.24994659260841701"/>
      </right>
      <top style="thin">
        <color theme="0" tint="-0.14996795556505021"/>
      </top>
      <bottom style="medium">
        <color indexed="64"/>
      </bottom>
      <diagonal/>
    </border>
    <border>
      <left style="thin">
        <color indexed="64"/>
      </left>
      <right/>
      <top style="thin">
        <color theme="0" tint="-0.14996795556505021"/>
      </top>
      <bottom style="medium">
        <color indexed="64"/>
      </bottom>
      <diagonal/>
    </border>
    <border>
      <left style="thin">
        <color indexed="64"/>
      </left>
      <right style="thin">
        <color indexed="22"/>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style="medium">
        <color indexed="64"/>
      </bottom>
      <diagonal/>
    </border>
    <border>
      <left/>
      <right style="thin">
        <color indexed="64"/>
      </right>
      <top style="thin">
        <color indexed="64"/>
      </top>
      <bottom style="thin">
        <color theme="0" tint="-0.24994659260841701"/>
      </bottom>
      <diagonal/>
    </border>
    <border>
      <left/>
      <right style="double">
        <color auto="1"/>
      </right>
      <top style="medium">
        <color auto="1"/>
      </top>
      <bottom style="medium">
        <color auto="1"/>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medium">
        <color indexed="64"/>
      </top>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theme="0" tint="-0.24994659260841701"/>
      </left>
      <right/>
      <top style="medium">
        <color indexed="64"/>
      </top>
      <bottom style="thin">
        <color theme="0" tint="-0.24994659260841701"/>
      </bottom>
      <diagonal/>
    </border>
    <border>
      <left/>
      <right style="thin">
        <color theme="0" tint="-0.14996795556505021"/>
      </right>
      <top/>
      <bottom style="thin">
        <color theme="0" tint="-0.1499679555650502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theme="0" tint="-0.14996795556505021"/>
      </bottom>
      <diagonal/>
    </border>
    <border>
      <left style="medium">
        <color indexed="64"/>
      </left>
      <right style="medium">
        <color indexed="64"/>
      </right>
      <top style="thin">
        <color indexed="64"/>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medium">
        <color auto="1"/>
      </top>
      <bottom style="thin">
        <color theme="0" tint="-0.14996795556505021"/>
      </bottom>
      <diagonal/>
    </border>
    <border>
      <left/>
      <right style="thin">
        <color theme="0" tint="-0.14996795556505021"/>
      </right>
      <top style="medium">
        <color auto="1"/>
      </top>
      <bottom style="thin">
        <color theme="0" tint="-0.14996795556505021"/>
      </bottom>
      <diagonal/>
    </border>
    <border>
      <left style="thin">
        <color theme="0" tint="-0.14996795556505021"/>
      </left>
      <right style="thin">
        <color theme="0" tint="-0.14996795556505021"/>
      </right>
      <top style="thin">
        <color indexed="64"/>
      </top>
      <bottom style="thin">
        <color theme="0" tint="-0.14993743705557422"/>
      </bottom>
      <diagonal/>
    </border>
    <border>
      <left style="thin">
        <color theme="0" tint="-0.14996795556505021"/>
      </left>
      <right style="thin">
        <color theme="0" tint="-0.14996795556505021"/>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3743705557422"/>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medium">
        <color indexed="64"/>
      </right>
      <top style="thin">
        <color theme="0" tint="-0.24994659260841701"/>
      </top>
      <bottom style="medium">
        <color indexed="64"/>
      </bottom>
      <diagonal/>
    </border>
    <border>
      <left style="thin">
        <color indexed="64"/>
      </left>
      <right style="medium">
        <color indexed="64"/>
      </right>
      <top style="thin">
        <color theme="4" tint="0.39994506668294322"/>
      </top>
      <bottom style="double">
        <color indexed="64"/>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medium">
        <color indexed="64"/>
      </top>
      <bottom style="thin">
        <color theme="4" tint="0.39994506668294322"/>
      </bottom>
      <diagonal/>
    </border>
    <border>
      <left style="thin">
        <color theme="0" tint="-0.14996795556505021"/>
      </left>
      <right style="thin">
        <color indexed="64"/>
      </right>
      <top style="thin">
        <color theme="3" tint="0.59996337778862885"/>
      </top>
      <bottom style="thin">
        <color theme="4" tint="0.39994506668294322"/>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indexed="64"/>
      </top>
      <bottom style="thin">
        <color theme="3" tint="0.59996337778862885"/>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style="thin">
        <color indexed="64"/>
      </right>
      <top style="thin">
        <color theme="3" tint="0.59996337778862885"/>
      </top>
      <bottom style="thin">
        <color indexed="64"/>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style="thin">
        <color indexed="64"/>
      </left>
      <right/>
      <top style="thin">
        <color indexed="64"/>
      </top>
      <bottom style="thin">
        <color theme="4" tint="0.39994506668294322"/>
      </bottom>
      <diagonal/>
    </border>
    <border>
      <left style="thin">
        <color indexed="64"/>
      </left>
      <right/>
      <top style="thin">
        <color theme="4" tint="0.39994506668294322"/>
      </top>
      <bottom style="thin">
        <color indexed="64"/>
      </bottom>
      <diagonal/>
    </border>
    <border>
      <left/>
      <right style="thin">
        <color indexed="64"/>
      </right>
      <top style="thin">
        <color theme="4" tint="0.39994506668294322"/>
      </top>
      <bottom style="thin">
        <color indexed="64"/>
      </bottom>
      <diagonal/>
    </border>
    <border>
      <left/>
      <right/>
      <top style="thin">
        <color theme="4" tint="0.39994506668294322"/>
      </top>
      <bottom style="thin">
        <color indexed="64"/>
      </bottom>
      <diagonal/>
    </border>
    <border>
      <left/>
      <right/>
      <top style="thin">
        <color indexed="64"/>
      </top>
      <bottom style="thin">
        <color theme="4" tint="0.39994506668294322"/>
      </bottom>
      <diagonal/>
    </border>
    <border>
      <left style="thin">
        <color indexed="64"/>
      </left>
      <right style="thin">
        <color theme="0" tint="-0.14996795556505021"/>
      </right>
      <top/>
      <bottom/>
      <diagonal/>
    </border>
    <border>
      <left/>
      <right style="thin">
        <color theme="0" tint="-0.14996795556505021"/>
      </right>
      <top style="thin">
        <color indexed="64"/>
      </top>
      <bottom style="thin">
        <color theme="3" tint="0.59996337778862885"/>
      </bottom>
      <diagonal/>
    </border>
    <border>
      <left/>
      <right style="thin">
        <color theme="0" tint="-0.14996795556505021"/>
      </right>
      <top style="thin">
        <color theme="3" tint="0.59996337778862885"/>
      </top>
      <bottom style="thin">
        <color indexed="64"/>
      </bottom>
      <diagonal/>
    </border>
    <border>
      <left/>
      <right style="thin">
        <color theme="0" tint="-0.14996795556505021"/>
      </right>
      <top style="thin">
        <color theme="3" tint="0.59996337778862885"/>
      </top>
      <bottom style="thin">
        <color theme="3" tint="0.59996337778862885"/>
      </bottom>
      <diagonal/>
    </border>
    <border>
      <left/>
      <right/>
      <top style="thin">
        <color indexed="64"/>
      </top>
      <bottom style="thin">
        <color theme="3" tint="0.59996337778862885"/>
      </bottom>
      <diagonal/>
    </border>
    <border>
      <left/>
      <right/>
      <top style="thin">
        <color theme="3" tint="0.59996337778862885"/>
      </top>
      <bottom style="thin">
        <color theme="3" tint="0.59996337778862885"/>
      </bottom>
      <diagonal/>
    </border>
    <border>
      <left/>
      <right/>
      <top style="thin">
        <color theme="3" tint="0.59996337778862885"/>
      </top>
      <bottom style="thin">
        <color indexed="64"/>
      </bottom>
      <diagonal/>
    </border>
    <border>
      <left/>
      <right style="thin">
        <color indexed="64"/>
      </right>
      <top style="thin">
        <color indexed="64"/>
      </top>
      <bottom style="thin">
        <color theme="4" tint="0.39994506668294322"/>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indexed="64"/>
      </left>
      <right/>
      <top style="thin">
        <color theme="3" tint="0.59996337778862885"/>
      </top>
      <bottom style="thin">
        <color theme="4" tint="0.39994506668294322"/>
      </bottom>
      <diagonal/>
    </border>
    <border>
      <left/>
      <right style="thin">
        <color indexed="64"/>
      </right>
      <top style="thin">
        <color theme="3" tint="0.59996337778862885"/>
      </top>
      <bottom style="thin">
        <color theme="4" tint="0.39994506668294322"/>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6795556505021"/>
      </left>
      <right style="thin">
        <color indexed="64"/>
      </right>
      <top style="thin">
        <color indexed="64"/>
      </top>
      <bottom style="thin">
        <color theme="3" tint="0.59996337778862885"/>
      </bottom>
      <diagonal/>
    </border>
    <border>
      <left style="thin">
        <color theme="0" tint="-0.14993743705557422"/>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theme="0" tint="-0.14993743705557422"/>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3743705557422"/>
      </left>
      <right style="thin">
        <color indexed="64"/>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indexed="64"/>
      </bottom>
      <diagonal/>
    </border>
    <border>
      <left style="thin">
        <color theme="0" tint="-0.14996795556505021"/>
      </left>
      <right/>
      <top style="medium">
        <color indexed="64"/>
      </top>
      <bottom style="thin">
        <color theme="0" tint="-0.14993743705557422"/>
      </bottom>
      <diagonal/>
    </border>
    <border>
      <left style="thin">
        <color theme="0" tint="-0.14993743705557422"/>
      </left>
      <right/>
      <top style="medium">
        <color indexed="64"/>
      </top>
      <bottom style="thin">
        <color theme="0" tint="-0.14993743705557422"/>
      </bottom>
      <diagonal/>
    </border>
    <border>
      <left/>
      <right style="medium">
        <color indexed="64"/>
      </right>
      <top style="medium">
        <color indexed="64"/>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style="medium">
        <color indexed="64"/>
      </right>
      <top style="thin">
        <color theme="0" tint="-0.14993743705557422"/>
      </top>
      <bottom style="thin">
        <color theme="0" tint="-0.14993743705557422"/>
      </bottom>
      <diagonal/>
    </border>
    <border>
      <left style="thin">
        <color theme="0" tint="-0.14993743705557422"/>
      </left>
      <right/>
      <top style="thin">
        <color theme="0" tint="-0.14993743705557422"/>
      </top>
      <bottom style="medium">
        <color indexed="64"/>
      </bottom>
      <diagonal/>
    </border>
    <border>
      <left/>
      <right style="medium">
        <color indexed="64"/>
      </right>
      <top style="thin">
        <color theme="0" tint="-0.14993743705557422"/>
      </top>
      <bottom style="medium">
        <color indexed="64"/>
      </bottom>
      <diagonal/>
    </border>
    <border>
      <left style="thin">
        <color theme="0" tint="-0.24994659260841701"/>
      </left>
      <right/>
      <top style="thin">
        <color indexed="64"/>
      </top>
      <bottom style="thin">
        <color indexed="64"/>
      </bottom>
      <diagonal/>
    </border>
    <border>
      <left style="thin">
        <color indexed="64"/>
      </left>
      <right style="medium">
        <color indexed="64"/>
      </right>
      <top style="thin">
        <color theme="0" tint="-0.24994659260841701"/>
      </top>
      <bottom style="double">
        <color auto="1"/>
      </bottom>
      <diagonal/>
    </border>
    <border>
      <left/>
      <right/>
      <top style="thin">
        <color indexed="64"/>
      </top>
      <bottom style="thin">
        <color theme="0" tint="-0.24994659260841701"/>
      </bottom>
      <diagonal/>
    </border>
    <border>
      <left/>
      <right/>
      <top style="thin">
        <color theme="0" tint="-0.24994659260841701"/>
      </top>
      <bottom style="double">
        <color auto="1"/>
      </bottom>
      <diagonal/>
    </border>
    <border>
      <left style="thin">
        <color indexed="64"/>
      </left>
      <right style="thin">
        <color theme="0" tint="-0.24994659260841701"/>
      </right>
      <top style="thin">
        <color indexed="64"/>
      </top>
      <bottom style="thin">
        <color theme="0" tint="-0.24994659260841701"/>
      </bottom>
      <diagonal/>
    </border>
    <border>
      <left style="thin">
        <color indexed="64"/>
      </left>
      <right style="thin">
        <color theme="0" tint="-0.24994659260841701"/>
      </right>
      <top style="thin">
        <color theme="0" tint="-0.24994659260841701"/>
      </top>
      <bottom style="double">
        <color auto="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double">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medium">
        <color indexed="64"/>
      </left>
      <right style="medium">
        <color indexed="64"/>
      </right>
      <top style="thin">
        <color theme="0" tint="-0.24994659260841701"/>
      </top>
      <bottom/>
      <diagonal/>
    </border>
    <border>
      <left style="double">
        <color indexed="64"/>
      </left>
      <right/>
      <top style="thin">
        <color indexed="64"/>
      </top>
      <bottom style="medium">
        <color auto="1"/>
      </bottom>
      <diagonal/>
    </border>
    <border>
      <left style="thin">
        <color theme="0" tint="-0.14993743705557422"/>
      </left>
      <right style="thin">
        <color theme="0" tint="-0.14990691854609822"/>
      </right>
      <top style="medium">
        <color indexed="64"/>
      </top>
      <bottom style="thin">
        <color theme="0" tint="-0.24994659260841701"/>
      </bottom>
      <diagonal/>
    </border>
    <border>
      <left style="thin">
        <color theme="0" tint="-0.14990691854609822"/>
      </left>
      <right style="thin">
        <color theme="0" tint="-0.14993743705557422"/>
      </right>
      <top style="medium">
        <color indexed="64"/>
      </top>
      <bottom style="thin">
        <color theme="0" tint="-0.24994659260841701"/>
      </bottom>
      <diagonal/>
    </border>
    <border>
      <left style="thin">
        <color theme="0" tint="-0.14993743705557422"/>
      </left>
      <right style="thin">
        <color theme="0" tint="-0.14990691854609822"/>
      </right>
      <top style="thin">
        <color theme="0" tint="-0.24994659260841701"/>
      </top>
      <bottom style="thin">
        <color theme="0" tint="-0.24994659260841701"/>
      </bottom>
      <diagonal/>
    </border>
    <border>
      <left style="thin">
        <color theme="0" tint="-0.14990691854609822"/>
      </left>
      <right style="thin">
        <color theme="0" tint="-0.14993743705557422"/>
      </right>
      <top style="thin">
        <color theme="0" tint="-0.24994659260841701"/>
      </top>
      <bottom style="thin">
        <color theme="0" tint="-0.24994659260841701"/>
      </bottom>
      <diagonal/>
    </border>
    <border>
      <left style="thin">
        <color theme="0" tint="-0.14993743705557422"/>
      </left>
      <right style="thin">
        <color theme="0" tint="-0.14990691854609822"/>
      </right>
      <top style="thin">
        <color theme="0" tint="-0.24994659260841701"/>
      </top>
      <bottom style="medium">
        <color indexed="64"/>
      </bottom>
      <diagonal/>
    </border>
    <border>
      <left style="thin">
        <color theme="0" tint="-0.14990691854609822"/>
      </left>
      <right style="thin">
        <color theme="0" tint="-0.14993743705557422"/>
      </right>
      <top style="thin">
        <color theme="0" tint="-0.24994659260841701"/>
      </top>
      <bottom style="medium">
        <color indexed="64"/>
      </bottom>
      <diagonal/>
    </border>
    <border>
      <left style="thin">
        <color theme="0" tint="-0.14990691854609822"/>
      </left>
      <right style="thin">
        <color theme="0" tint="-0.24994659260841701"/>
      </right>
      <top style="medium">
        <color indexed="64"/>
      </top>
      <bottom style="thin">
        <color theme="0" tint="-0.24994659260841701"/>
      </bottom>
      <diagonal/>
    </border>
    <border>
      <left style="thin">
        <color theme="0" tint="-0.14990691854609822"/>
      </left>
      <right style="thin">
        <color theme="0" tint="-0.24994659260841701"/>
      </right>
      <top style="thin">
        <color theme="0" tint="-0.24994659260841701"/>
      </top>
      <bottom style="medium">
        <color indexed="64"/>
      </bottom>
      <diagonal/>
    </border>
    <border>
      <left style="double">
        <color indexed="64"/>
      </left>
      <right style="medium">
        <color indexed="64"/>
      </right>
      <top style="double">
        <color indexed="64"/>
      </top>
      <bottom style="medium">
        <color indexed="64"/>
      </bottom>
      <diagonal/>
    </border>
    <border>
      <left style="medium">
        <color theme="1"/>
      </left>
      <right/>
      <top style="thin">
        <color theme="0" tint="-0.24994659260841701"/>
      </top>
      <bottom style="thin">
        <color theme="0" tint="-0.24994659260841701"/>
      </bottom>
      <diagonal/>
    </border>
    <border>
      <left style="thin">
        <color theme="0" tint="-0.14996795556505021"/>
      </left>
      <right/>
      <top style="thin">
        <color theme="0" tint="-0.24994659260841701"/>
      </top>
      <bottom/>
      <diagonal/>
    </border>
    <border>
      <left style="thin">
        <color theme="0" tint="-0.14993743705557422"/>
      </left>
      <right/>
      <top style="thin">
        <color theme="0" tint="-0.24994659260841701"/>
      </top>
      <bottom/>
      <diagonal/>
    </border>
    <border>
      <left style="thin">
        <color theme="0" tint="-0.14993743705557422"/>
      </left>
      <right style="thin">
        <color theme="0" tint="-0.14990691854609822"/>
      </right>
      <top style="thin">
        <color theme="0" tint="-0.24994659260841701"/>
      </top>
      <bottom/>
      <diagonal/>
    </border>
    <border>
      <left style="thin">
        <color theme="0" tint="-0.14990691854609822"/>
      </left>
      <right style="thin">
        <color theme="0" tint="-0.14993743705557422"/>
      </right>
      <top style="thin">
        <color theme="0" tint="-0.24994659260841701"/>
      </top>
      <bottom/>
      <diagonal/>
    </border>
    <border>
      <left style="thin">
        <color theme="0" tint="-0.14993743705557422"/>
      </left>
      <right style="medium">
        <color indexed="64"/>
      </right>
      <top style="thin">
        <color theme="0" tint="-0.24994659260841701"/>
      </top>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thin">
        <color indexed="64"/>
      </left>
      <right/>
      <top style="medium">
        <color auto="1"/>
      </top>
      <bottom style="thin">
        <color theme="0" tint="-0.14993743705557422"/>
      </bottom>
      <diagonal/>
    </border>
    <border>
      <left style="medium">
        <color indexed="64"/>
      </left>
      <right style="medium">
        <color theme="3" tint="-0.499984740745262"/>
      </right>
      <top/>
      <bottom/>
      <diagonal/>
    </border>
    <border>
      <left style="thin">
        <color indexed="64"/>
      </left>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indexed="64"/>
      </bottom>
      <diagonal/>
    </border>
    <border>
      <left style="thin">
        <color indexed="64"/>
      </left>
      <right/>
      <top style="thin">
        <color theme="0" tint="-0.14993743705557422"/>
      </top>
      <bottom style="thin">
        <color indexed="64"/>
      </bottom>
      <diagonal/>
    </border>
    <border>
      <left style="thin">
        <color indexed="64"/>
      </left>
      <right/>
      <top style="thin">
        <color theme="0" tint="-0.14993743705557422"/>
      </top>
      <bottom/>
      <diagonal/>
    </border>
    <border>
      <left style="thin">
        <color theme="0" tint="-0.14996795556505021"/>
      </left>
      <right/>
      <top style="thin">
        <color theme="0" tint="-0.14993743705557422"/>
      </top>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top style="thin">
        <color indexed="64"/>
      </top>
      <bottom/>
      <diagonal/>
    </border>
    <border>
      <left style="medium">
        <color indexed="18"/>
      </left>
      <right/>
      <top/>
      <bottom style="medium">
        <color theme="3" tint="-0.24994659260841701"/>
      </bottom>
      <diagonal/>
    </border>
    <border>
      <left style="medium">
        <color theme="3" tint="-0.499984740745262"/>
      </left>
      <right/>
      <top style="medium">
        <color theme="4" tint="-0.499984740745262"/>
      </top>
      <bottom/>
      <diagonal/>
    </border>
    <border>
      <left/>
      <right style="medium">
        <color theme="3" tint="-0.499984740745262"/>
      </right>
      <top style="medium">
        <color theme="4" tint="-0.499984740745262"/>
      </top>
      <bottom/>
      <diagonal/>
    </border>
    <border>
      <left style="thin">
        <color indexed="64"/>
      </left>
      <right style="thin">
        <color theme="0" tint="-0.24994659260841701"/>
      </right>
      <top style="medium">
        <color indexed="64"/>
      </top>
      <bottom/>
      <diagonal/>
    </border>
    <border>
      <left style="thin">
        <color theme="0" tint="-0.24994659260841701"/>
      </left>
      <right style="thin">
        <color theme="0" tint="-0.24994659260841701"/>
      </right>
      <top style="medium">
        <color indexed="64"/>
      </top>
      <bottom/>
      <diagonal/>
    </border>
    <border>
      <left style="thin">
        <color auto="1"/>
      </left>
      <right style="thin">
        <color theme="0" tint="-0.24994659260841701"/>
      </right>
      <top style="thin">
        <color theme="0" tint="-0.24994659260841701"/>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18"/>
      </left>
      <right/>
      <top style="medium">
        <color indexed="18"/>
      </top>
      <bottom/>
      <diagonal/>
    </border>
    <border>
      <left/>
      <right style="medium">
        <color indexed="18"/>
      </right>
      <top style="medium">
        <color indexed="18"/>
      </top>
      <bottom/>
      <diagonal/>
    </border>
    <border>
      <left style="thin">
        <color indexed="22"/>
      </left>
      <right/>
      <top style="thin">
        <color theme="0" tint="-0.24994659260841701"/>
      </top>
      <bottom style="medium">
        <color indexed="64"/>
      </bottom>
      <diagonal/>
    </border>
    <border>
      <left/>
      <right style="medium">
        <color indexed="18"/>
      </right>
      <top/>
      <bottom style="medium">
        <color theme="3" tint="-0.24994659260841701"/>
      </bottom>
      <diagonal/>
    </border>
  </borders>
  <cellStyleXfs count="7">
    <xf numFmtId="0" fontId="0" fillId="0" borderId="0"/>
    <xf numFmtId="0" fontId="87" fillId="0" borderId="0" applyNumberForma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44" fontId="3" fillId="0" borderId="0" applyFont="0" applyFill="0" applyBorder="0" applyAlignment="0" applyProtection="0"/>
    <xf numFmtId="43" fontId="1" fillId="0" borderId="0" applyFont="0" applyFill="0" applyBorder="0" applyAlignment="0" applyProtection="0"/>
  </cellStyleXfs>
  <cellXfs count="2718">
    <xf numFmtId="0" fontId="0" fillId="0" borderId="0" xfId="0"/>
    <xf numFmtId="0" fontId="3" fillId="3" borderId="102" xfId="0" applyFont="1" applyFill="1" applyBorder="1" applyAlignment="1" applyProtection="1">
      <protection locked="0"/>
    </xf>
    <xf numFmtId="0" fontId="3" fillId="3" borderId="99" xfId="0" applyFont="1" applyFill="1" applyBorder="1" applyAlignment="1" applyProtection="1">
      <protection locked="0"/>
    </xf>
    <xf numFmtId="44" fontId="3" fillId="3" borderId="94" xfId="0" applyNumberFormat="1" applyFont="1" applyFill="1" applyBorder="1" applyAlignment="1" applyProtection="1">
      <protection locked="0"/>
    </xf>
    <xf numFmtId="0" fontId="3" fillId="3" borderId="32" xfId="0" applyFont="1" applyFill="1" applyBorder="1" applyProtection="1"/>
    <xf numFmtId="0" fontId="3" fillId="0" borderId="0" xfId="0" applyFont="1" applyFill="1" applyBorder="1" applyAlignment="1" applyProtection="1">
      <alignment vertical="center"/>
    </xf>
    <xf numFmtId="0" fontId="14" fillId="0" borderId="0" xfId="0" applyFont="1" applyFill="1" applyBorder="1" applyAlignment="1" applyProtection="1">
      <alignment horizontal="left" vertical="center"/>
    </xf>
    <xf numFmtId="0" fontId="3" fillId="0" borderId="32" xfId="0" applyFont="1" applyBorder="1" applyAlignment="1" applyProtection="1">
      <alignment vertical="center"/>
    </xf>
    <xf numFmtId="0" fontId="3" fillId="0" borderId="31" xfId="0" applyFont="1" applyFill="1" applyBorder="1" applyAlignment="1" applyProtection="1">
      <alignment vertical="center"/>
    </xf>
    <xf numFmtId="0" fontId="3" fillId="0" borderId="33" xfId="0" applyFont="1" applyFill="1" applyBorder="1" applyAlignment="1" applyProtection="1">
      <alignment vertical="center"/>
    </xf>
    <xf numFmtId="0" fontId="3" fillId="0" borderId="34"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66" xfId="0" applyFont="1" applyFill="1" applyBorder="1" applyAlignment="1" applyProtection="1">
      <alignment vertical="center" wrapText="1"/>
      <protection locked="0"/>
    </xf>
    <xf numFmtId="0" fontId="5" fillId="0" borderId="66" xfId="0" applyFont="1" applyBorder="1" applyAlignment="1" applyProtection="1">
      <alignment vertical="center" wrapText="1"/>
      <protection locked="0"/>
    </xf>
    <xf numFmtId="0" fontId="3" fillId="0" borderId="66" xfId="0" applyFont="1" applyBorder="1" applyAlignment="1" applyProtection="1">
      <alignment vertical="center" wrapText="1"/>
      <protection locked="0"/>
    </xf>
    <xf numFmtId="0" fontId="3" fillId="0" borderId="66" xfId="0" applyFont="1" applyFill="1" applyBorder="1" applyAlignment="1" applyProtection="1">
      <alignment vertical="center"/>
      <protection locked="0"/>
    </xf>
    <xf numFmtId="0" fontId="3" fillId="0" borderId="66" xfId="0" applyFont="1" applyBorder="1" applyAlignment="1" applyProtection="1">
      <alignment vertical="center"/>
      <protection locked="0"/>
    </xf>
    <xf numFmtId="0" fontId="3" fillId="0" borderId="69" xfId="0" applyFont="1" applyBorder="1" applyAlignment="1" applyProtection="1">
      <alignment vertical="center" wrapText="1"/>
      <protection locked="0"/>
    </xf>
    <xf numFmtId="0" fontId="5" fillId="0" borderId="175" xfId="0" applyFont="1" applyBorder="1" applyAlignment="1" applyProtection="1">
      <alignment vertical="center" wrapText="1"/>
      <protection locked="0"/>
    </xf>
    <xf numFmtId="0" fontId="3" fillId="0" borderId="103" xfId="0" applyFont="1" applyBorder="1" applyAlignment="1" applyProtection="1">
      <alignment vertical="center"/>
      <protection locked="0"/>
    </xf>
    <xf numFmtId="0" fontId="3" fillId="0" borderId="38" xfId="0" applyFont="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103" xfId="0" applyFont="1" applyFill="1" applyBorder="1" applyAlignment="1" applyProtection="1">
      <alignment vertical="center"/>
      <protection locked="0"/>
    </xf>
    <xf numFmtId="0" fontId="3" fillId="0" borderId="104" xfId="0" applyFont="1" applyFill="1" applyBorder="1" applyAlignment="1" applyProtection="1">
      <alignment vertical="center" wrapText="1"/>
      <protection locked="0"/>
    </xf>
    <xf numFmtId="0" fontId="3" fillId="0" borderId="132" xfId="0" applyFont="1" applyFill="1" applyBorder="1" applyAlignment="1" applyProtection="1">
      <alignment vertical="center"/>
      <protection locked="0"/>
    </xf>
    <xf numFmtId="14" fontId="3" fillId="0" borderId="103" xfId="0" applyNumberFormat="1" applyFont="1" applyBorder="1" applyAlignment="1" applyProtection="1">
      <alignment vertical="center"/>
      <protection locked="0"/>
    </xf>
    <xf numFmtId="0" fontId="3" fillId="0" borderId="105" xfId="0" applyFont="1" applyBorder="1" applyAlignment="1" applyProtection="1">
      <alignment vertical="center"/>
      <protection locked="0"/>
    </xf>
    <xf numFmtId="0" fontId="3" fillId="0" borderId="104" xfId="0" applyFont="1" applyFill="1" applyBorder="1" applyAlignment="1" applyProtection="1">
      <alignment vertical="center"/>
      <protection locked="0"/>
    </xf>
    <xf numFmtId="0" fontId="3" fillId="0" borderId="208" xfId="0" applyFont="1" applyFill="1" applyBorder="1" applyAlignment="1" applyProtection="1">
      <alignment vertical="center"/>
    </xf>
    <xf numFmtId="0" fontId="3" fillId="0" borderId="209" xfId="0" applyFont="1" applyFill="1" applyBorder="1" applyAlignment="1" applyProtection="1">
      <alignment vertical="center"/>
    </xf>
    <xf numFmtId="0" fontId="3" fillId="0" borderId="232" xfId="0" applyFont="1" applyBorder="1" applyAlignment="1" applyProtection="1">
      <alignment vertical="center"/>
      <protection locked="0"/>
    </xf>
    <xf numFmtId="0" fontId="5" fillId="0" borderId="228" xfId="0" applyFont="1" applyBorder="1" applyAlignment="1" applyProtection="1">
      <alignment vertical="center" wrapText="1"/>
      <protection locked="0"/>
    </xf>
    <xf numFmtId="0" fontId="3" fillId="0" borderId="210" xfId="0" applyFont="1" applyFill="1" applyBorder="1" applyAlignment="1" applyProtection="1">
      <alignment vertical="center"/>
    </xf>
    <xf numFmtId="0" fontId="3" fillId="0" borderId="211" xfId="0" applyFont="1" applyBorder="1" applyAlignment="1" applyProtection="1">
      <alignment vertical="center"/>
    </xf>
    <xf numFmtId="0" fontId="3" fillId="0" borderId="212" xfId="0" applyFont="1" applyBorder="1" applyAlignment="1" applyProtection="1">
      <alignment vertical="center"/>
    </xf>
    <xf numFmtId="0" fontId="3" fillId="0" borderId="166" xfId="0" applyFont="1" applyBorder="1" applyAlignment="1" applyProtection="1">
      <alignment vertical="center"/>
    </xf>
    <xf numFmtId="0" fontId="3" fillId="0" borderId="213" xfId="0" applyFont="1" applyBorder="1" applyAlignment="1" applyProtection="1">
      <alignment vertical="center"/>
    </xf>
    <xf numFmtId="0" fontId="17" fillId="0" borderId="0" xfId="0" applyFont="1" applyFill="1" applyBorder="1" applyProtection="1"/>
    <xf numFmtId="5" fontId="27" fillId="0" borderId="163" xfId="0" applyNumberFormat="1" applyFont="1" applyFill="1" applyBorder="1" applyAlignment="1" applyProtection="1">
      <alignment vertical="center"/>
    </xf>
    <xf numFmtId="5" fontId="32" fillId="0" borderId="163" xfId="0" applyNumberFormat="1" applyFont="1" applyFill="1" applyBorder="1" applyAlignment="1" applyProtection="1">
      <alignment vertical="center"/>
    </xf>
    <xf numFmtId="5" fontId="29" fillId="0" borderId="163" xfId="0" applyNumberFormat="1" applyFont="1" applyFill="1" applyBorder="1" applyAlignment="1" applyProtection="1">
      <alignment vertical="center"/>
    </xf>
    <xf numFmtId="5" fontId="32" fillId="10" borderId="223" xfId="0" applyNumberFormat="1" applyFont="1" applyFill="1" applyBorder="1" applyAlignment="1" applyProtection="1">
      <alignment vertical="center"/>
    </xf>
    <xf numFmtId="5" fontId="13" fillId="0" borderId="34" xfId="0" applyNumberFormat="1" applyFont="1" applyFill="1" applyBorder="1" applyAlignment="1" applyProtection="1">
      <alignment vertical="center"/>
    </xf>
    <xf numFmtId="5" fontId="12" fillId="0" borderId="34" xfId="0" applyNumberFormat="1" applyFont="1" applyFill="1" applyBorder="1" applyAlignment="1" applyProtection="1">
      <alignment vertical="center"/>
    </xf>
    <xf numFmtId="44" fontId="25" fillId="0" borderId="0" xfId="0" applyNumberFormat="1" applyFont="1" applyFill="1" applyBorder="1" applyAlignment="1" applyProtection="1">
      <alignment vertical="center"/>
    </xf>
    <xf numFmtId="44" fontId="36" fillId="0" borderId="0" xfId="0" applyNumberFormat="1" applyFont="1" applyFill="1" applyBorder="1" applyAlignment="1" applyProtection="1">
      <alignment vertical="center"/>
    </xf>
    <xf numFmtId="44" fontId="25" fillId="0" borderId="34" xfId="0" applyNumberFormat="1" applyFont="1" applyFill="1" applyBorder="1" applyAlignment="1" applyProtection="1">
      <alignment vertical="center"/>
    </xf>
    <xf numFmtId="0" fontId="13" fillId="5" borderId="0" xfId="0" applyFont="1" applyFill="1" applyBorder="1" applyAlignment="1" applyProtection="1">
      <alignment horizontal="center" wrapText="1"/>
    </xf>
    <xf numFmtId="5" fontId="27" fillId="0" borderId="0" xfId="0" applyNumberFormat="1" applyFont="1" applyFill="1" applyBorder="1" applyAlignment="1" applyProtection="1">
      <alignment vertical="center"/>
    </xf>
    <xf numFmtId="0" fontId="27" fillId="0" borderId="0" xfId="0" applyFont="1" applyBorder="1" applyProtection="1"/>
    <xf numFmtId="3" fontId="27" fillId="0" borderId="0" xfId="0" applyNumberFormat="1" applyFont="1" applyFill="1" applyBorder="1" applyAlignment="1" applyProtection="1">
      <alignment vertical="center"/>
    </xf>
    <xf numFmtId="5" fontId="32" fillId="0" borderId="0" xfId="0" applyNumberFormat="1" applyFont="1" applyFill="1" applyBorder="1" applyAlignment="1" applyProtection="1">
      <alignment vertical="center"/>
    </xf>
    <xf numFmtId="5" fontId="29" fillId="0" borderId="0" xfId="0" applyNumberFormat="1" applyFont="1" applyFill="1" applyBorder="1" applyAlignment="1" applyProtection="1">
      <alignment vertical="center"/>
    </xf>
    <xf numFmtId="0" fontId="27" fillId="0" borderId="0" xfId="0" applyFont="1" applyBorder="1" applyAlignment="1" applyProtection="1">
      <alignment vertical="center"/>
    </xf>
    <xf numFmtId="0" fontId="27" fillId="0" borderId="0" xfId="0" applyFont="1" applyFill="1" applyBorder="1" applyAlignment="1" applyProtection="1">
      <alignment vertical="center"/>
    </xf>
    <xf numFmtId="0" fontId="27" fillId="0" borderId="0" xfId="0" applyNumberFormat="1" applyFont="1" applyFill="1" applyBorder="1" applyAlignment="1" applyProtection="1">
      <alignment vertical="center"/>
    </xf>
    <xf numFmtId="164" fontId="27" fillId="0" borderId="0" xfId="0" applyNumberFormat="1" applyFont="1" applyFill="1" applyBorder="1" applyAlignment="1" applyProtection="1">
      <alignment vertical="center"/>
    </xf>
    <xf numFmtId="9" fontId="27" fillId="0" borderId="0" xfId="0" applyNumberFormat="1" applyFont="1" applyFill="1" applyBorder="1" applyAlignment="1" applyProtection="1">
      <alignment vertical="center"/>
    </xf>
    <xf numFmtId="165" fontId="27" fillId="0" borderId="0" xfId="0" applyNumberFormat="1" applyFont="1" applyFill="1" applyBorder="1" applyAlignment="1" applyProtection="1">
      <alignment vertical="center"/>
    </xf>
    <xf numFmtId="9" fontId="27" fillId="0" borderId="0" xfId="0" applyNumberFormat="1" applyFont="1" applyFill="1" applyBorder="1" applyAlignment="1" applyProtection="1">
      <alignment horizontal="right" vertical="center"/>
    </xf>
    <xf numFmtId="5" fontId="27" fillId="0" borderId="0" xfId="0" applyNumberFormat="1" applyFont="1" applyFill="1" applyBorder="1" applyAlignment="1" applyProtection="1">
      <alignment horizontal="center" vertical="center"/>
    </xf>
    <xf numFmtId="5" fontId="27" fillId="0" borderId="34" xfId="0" applyNumberFormat="1" applyFont="1" applyFill="1" applyBorder="1" applyAlignment="1" applyProtection="1">
      <alignment vertical="center"/>
    </xf>
    <xf numFmtId="5" fontId="29" fillId="0" borderId="34" xfId="0" applyNumberFormat="1" applyFont="1" applyFill="1" applyBorder="1" applyAlignment="1" applyProtection="1">
      <alignment vertical="center"/>
    </xf>
    <xf numFmtId="164" fontId="27" fillId="0" borderId="0" xfId="0" applyNumberFormat="1" applyFont="1" applyFill="1" applyBorder="1" applyAlignment="1" applyProtection="1">
      <alignment horizontal="center" vertical="center"/>
    </xf>
    <xf numFmtId="5" fontId="32" fillId="0" borderId="11" xfId="0" applyNumberFormat="1" applyFont="1" applyFill="1" applyBorder="1" applyProtection="1"/>
    <xf numFmtId="5" fontId="29" fillId="0" borderId="11" xfId="0" applyNumberFormat="1" applyFont="1" applyFill="1" applyBorder="1" applyProtection="1"/>
    <xf numFmtId="0" fontId="29" fillId="0" borderId="11" xfId="0" applyNumberFormat="1" applyFont="1" applyFill="1" applyBorder="1" applyProtection="1"/>
    <xf numFmtId="0" fontId="34" fillId="0" borderId="0" xfId="0" applyFont="1" applyFill="1" applyBorder="1" applyProtection="1"/>
    <xf numFmtId="5" fontId="30" fillId="0" borderId="0" xfId="0" applyNumberFormat="1" applyFont="1" applyFill="1" applyBorder="1" applyAlignment="1" applyProtection="1">
      <alignment horizontal="center" vertical="center" wrapText="1"/>
    </xf>
    <xf numFmtId="5" fontId="34" fillId="0" borderId="0" xfId="0" applyNumberFormat="1" applyFont="1" applyFill="1" applyBorder="1" applyAlignment="1" applyProtection="1">
      <alignment vertical="center"/>
    </xf>
    <xf numFmtId="0" fontId="34" fillId="0" borderId="0" xfId="0" applyFont="1" applyFill="1" applyBorder="1" applyAlignment="1" applyProtection="1">
      <alignment vertical="center"/>
    </xf>
    <xf numFmtId="164" fontId="34" fillId="0" borderId="0" xfId="0" applyNumberFormat="1" applyFont="1" applyFill="1" applyBorder="1" applyAlignment="1" applyProtection="1">
      <alignment vertical="center"/>
    </xf>
    <xf numFmtId="0" fontId="27" fillId="0" borderId="0" xfId="0" applyFont="1" applyFill="1" applyBorder="1" applyProtection="1"/>
    <xf numFmtId="5" fontId="31" fillId="0" borderId="0" xfId="0" applyNumberFormat="1" applyFont="1" applyFill="1" applyBorder="1" applyAlignment="1" applyProtection="1">
      <alignment vertical="center"/>
    </xf>
    <xf numFmtId="3" fontId="27" fillId="0" borderId="0" xfId="0" applyNumberFormat="1" applyFont="1" applyBorder="1" applyProtection="1"/>
    <xf numFmtId="5" fontId="27" fillId="0" borderId="0" xfId="0" applyNumberFormat="1" applyFont="1" applyFill="1" applyBorder="1" applyProtection="1"/>
    <xf numFmtId="3" fontId="27" fillId="0" borderId="0" xfId="0" applyNumberFormat="1" applyFont="1" applyFill="1" applyBorder="1" applyProtection="1"/>
    <xf numFmtId="42" fontId="18" fillId="0" borderId="0" xfId="0" applyNumberFormat="1" applyFont="1" applyFill="1" applyBorder="1" applyAlignment="1" applyProtection="1">
      <alignment vertical="center"/>
    </xf>
    <xf numFmtId="42" fontId="22" fillId="0" borderId="0" xfId="0" applyNumberFormat="1" applyFont="1" applyFill="1" applyBorder="1" applyAlignment="1" applyProtection="1">
      <alignment vertical="center"/>
    </xf>
    <xf numFmtId="42" fontId="21" fillId="0" borderId="0" xfId="0" applyNumberFormat="1" applyFont="1" applyBorder="1" applyAlignment="1" applyProtection="1">
      <alignment vertical="center"/>
    </xf>
    <xf numFmtId="42" fontId="18" fillId="0" borderId="0" xfId="0" applyNumberFormat="1" applyFont="1" applyBorder="1" applyProtection="1"/>
    <xf numFmtId="42" fontId="18" fillId="0" borderId="0" xfId="0" applyNumberFormat="1" applyFont="1" applyBorder="1" applyAlignment="1" applyProtection="1">
      <alignment vertical="center"/>
    </xf>
    <xf numFmtId="5" fontId="32" fillId="0" borderId="11" xfId="0" applyNumberFormat="1" applyFont="1" applyFill="1" applyBorder="1" applyAlignment="1" applyProtection="1">
      <alignment vertical="center"/>
    </xf>
    <xf numFmtId="5" fontId="29" fillId="0" borderId="11" xfId="0" applyNumberFormat="1" applyFont="1" applyFill="1" applyBorder="1" applyAlignment="1" applyProtection="1">
      <alignment vertical="center"/>
    </xf>
    <xf numFmtId="5" fontId="27" fillId="0" borderId="11" xfId="0" applyNumberFormat="1" applyFont="1" applyFill="1" applyBorder="1" applyAlignment="1" applyProtection="1">
      <alignment vertical="center"/>
    </xf>
    <xf numFmtId="0" fontId="32" fillId="0" borderId="11" xfId="0" applyFont="1" applyBorder="1" applyAlignment="1" applyProtection="1">
      <alignment vertical="center"/>
    </xf>
    <xf numFmtId="0" fontId="27" fillId="0" borderId="0" xfId="0" applyFont="1" applyBorder="1" applyAlignment="1" applyProtection="1">
      <alignment horizontal="left" vertical="center"/>
    </xf>
    <xf numFmtId="0" fontId="27" fillId="0" borderId="0" xfId="0" applyFont="1" applyFill="1" applyBorder="1" applyAlignment="1" applyProtection="1">
      <alignment horizontal="left" vertical="center"/>
    </xf>
    <xf numFmtId="42" fontId="18" fillId="0" borderId="0" xfId="0" applyNumberFormat="1" applyFont="1" applyBorder="1" applyAlignment="1" applyProtection="1"/>
    <xf numFmtId="42" fontId="18" fillId="0" borderId="11" xfId="0" applyNumberFormat="1" applyFont="1" applyBorder="1" applyProtection="1"/>
    <xf numFmtId="5" fontId="35" fillId="0" borderId="0" xfId="0" applyNumberFormat="1" applyFont="1" applyFill="1" applyBorder="1" applyAlignment="1" applyProtection="1">
      <alignment horizontal="left" vertical="center"/>
    </xf>
    <xf numFmtId="0" fontId="35" fillId="0" borderId="0" xfId="0" applyFont="1" applyBorder="1" applyAlignment="1" applyProtection="1">
      <alignment horizontal="left" vertical="center"/>
    </xf>
    <xf numFmtId="0" fontId="35" fillId="0" borderId="0" xfId="0" applyFont="1" applyFill="1" applyBorder="1" applyAlignment="1" applyProtection="1">
      <alignment horizontal="left" vertical="center"/>
    </xf>
    <xf numFmtId="42" fontId="18" fillId="0" borderId="34" xfId="0" applyNumberFormat="1" applyFont="1" applyFill="1" applyBorder="1" applyAlignment="1" applyProtection="1">
      <alignment vertical="center"/>
    </xf>
    <xf numFmtId="42" fontId="18" fillId="0" borderId="120" xfId="0" applyNumberFormat="1" applyFont="1" applyFill="1" applyBorder="1" applyAlignment="1" applyProtection="1">
      <alignment vertical="center"/>
      <protection locked="0"/>
    </xf>
    <xf numFmtId="5" fontId="29" fillId="0" borderId="0" xfId="0" applyNumberFormat="1" applyFont="1" applyFill="1" applyBorder="1" applyAlignment="1" applyProtection="1">
      <alignment horizontal="right" vertical="center"/>
    </xf>
    <xf numFmtId="5" fontId="27" fillId="0" borderId="0" xfId="0" applyNumberFormat="1" applyFont="1" applyFill="1" applyBorder="1" applyAlignment="1" applyProtection="1">
      <alignment horizontal="left" vertical="center"/>
    </xf>
    <xf numFmtId="0" fontId="27" fillId="0" borderId="0" xfId="0" applyFont="1" applyBorder="1" applyAlignment="1" applyProtection="1">
      <alignment horizontal="left"/>
    </xf>
    <xf numFmtId="42" fontId="18" fillId="12" borderId="244" xfId="0" applyNumberFormat="1" applyFont="1" applyFill="1" applyBorder="1" applyAlignment="1" applyProtection="1">
      <alignment vertical="center"/>
    </xf>
    <xf numFmtId="42" fontId="18" fillId="12" borderId="16" xfId="0" applyNumberFormat="1" applyFont="1" applyFill="1" applyBorder="1" applyAlignment="1" applyProtection="1">
      <alignment vertical="center"/>
    </xf>
    <xf numFmtId="42" fontId="18" fillId="6" borderId="220" xfId="0" applyNumberFormat="1" applyFont="1" applyFill="1" applyBorder="1" applyAlignment="1" applyProtection="1">
      <alignment vertical="center"/>
    </xf>
    <xf numFmtId="42" fontId="18" fillId="0" borderId="234" xfId="0" applyNumberFormat="1" applyFont="1" applyFill="1" applyBorder="1" applyAlignment="1" applyProtection="1">
      <alignment vertical="center"/>
      <protection locked="0"/>
    </xf>
    <xf numFmtId="42" fontId="18" fillId="6" borderId="80" xfId="0" applyNumberFormat="1" applyFont="1" applyFill="1" applyBorder="1" applyAlignment="1" applyProtection="1">
      <alignment vertical="center"/>
    </xf>
    <xf numFmtId="42" fontId="18" fillId="6" borderId="240" xfId="0" applyNumberFormat="1" applyFont="1" applyFill="1" applyBorder="1" applyAlignment="1" applyProtection="1">
      <alignment vertical="center"/>
    </xf>
    <xf numFmtId="42" fontId="18" fillId="12" borderId="21" xfId="0" applyNumberFormat="1" applyFont="1" applyFill="1" applyBorder="1" applyAlignment="1" applyProtection="1">
      <alignment vertical="center"/>
    </xf>
    <xf numFmtId="42" fontId="18" fillId="0" borderId="238" xfId="0" applyNumberFormat="1" applyFont="1" applyFill="1" applyBorder="1" applyAlignment="1" applyProtection="1">
      <alignment vertical="center"/>
      <protection locked="0"/>
    </xf>
    <xf numFmtId="42" fontId="18" fillId="0" borderId="66" xfId="0" applyNumberFormat="1" applyFont="1" applyFill="1" applyBorder="1" applyAlignment="1" applyProtection="1">
      <alignment vertical="center"/>
      <protection locked="0"/>
    </xf>
    <xf numFmtId="42" fontId="18" fillId="0" borderId="66" xfId="0" applyNumberFormat="1" applyFont="1" applyFill="1" applyBorder="1" applyAlignment="1" applyProtection="1">
      <alignment vertical="center" wrapText="1"/>
      <protection locked="0"/>
    </xf>
    <xf numFmtId="42" fontId="18" fillId="12" borderId="150" xfId="0" applyNumberFormat="1" applyFont="1" applyFill="1" applyBorder="1" applyAlignment="1" applyProtection="1">
      <alignment vertical="center"/>
    </xf>
    <xf numFmtId="42" fontId="18" fillId="0" borderId="228" xfId="0" applyNumberFormat="1" applyFont="1" applyFill="1" applyBorder="1" applyAlignment="1" applyProtection="1">
      <alignment vertical="center"/>
      <protection locked="0"/>
    </xf>
    <xf numFmtId="42" fontId="18" fillId="12" borderId="243" xfId="0" applyNumberFormat="1" applyFont="1" applyFill="1" applyBorder="1" applyAlignment="1" applyProtection="1">
      <alignment vertical="center"/>
    </xf>
    <xf numFmtId="42" fontId="30" fillId="18" borderId="240" xfId="0" applyNumberFormat="1" applyFont="1" applyFill="1" applyBorder="1" applyAlignment="1" applyProtection="1">
      <alignment vertical="center"/>
    </xf>
    <xf numFmtId="42" fontId="34" fillId="18" borderId="219" xfId="0" applyNumberFormat="1" applyFont="1" applyFill="1" applyBorder="1" applyAlignment="1" applyProtection="1">
      <alignment vertical="center"/>
    </xf>
    <xf numFmtId="42" fontId="18" fillId="20" borderId="86" xfId="0" applyNumberFormat="1" applyFont="1" applyFill="1" applyBorder="1" applyAlignment="1" applyProtection="1">
      <alignment vertical="center"/>
    </xf>
    <xf numFmtId="42" fontId="18" fillId="20" borderId="234" xfId="0" applyNumberFormat="1" applyFont="1" applyFill="1" applyBorder="1" applyAlignment="1" applyProtection="1">
      <alignment vertical="center"/>
    </xf>
    <xf numFmtId="42" fontId="18" fillId="20" borderId="227" xfId="0" applyNumberFormat="1" applyFont="1" applyFill="1" applyBorder="1" applyAlignment="1" applyProtection="1">
      <alignment vertical="center"/>
    </xf>
    <xf numFmtId="42" fontId="18" fillId="20" borderId="229" xfId="0" applyNumberFormat="1" applyFont="1" applyFill="1" applyBorder="1" applyAlignment="1" applyProtection="1">
      <alignment vertical="center"/>
    </xf>
    <xf numFmtId="42" fontId="18" fillId="20" borderId="223" xfId="0" applyNumberFormat="1" applyFont="1" applyFill="1" applyBorder="1" applyAlignment="1" applyProtection="1">
      <alignment vertical="center"/>
    </xf>
    <xf numFmtId="42" fontId="18" fillId="20" borderId="23" xfId="0" applyNumberFormat="1" applyFont="1" applyFill="1" applyBorder="1" applyAlignment="1" applyProtection="1">
      <alignment vertical="center"/>
    </xf>
    <xf numFmtId="42" fontId="18" fillId="20" borderId="2" xfId="0" applyNumberFormat="1" applyFont="1" applyFill="1" applyBorder="1" applyAlignment="1" applyProtection="1">
      <alignment vertical="center"/>
    </xf>
    <xf numFmtId="42" fontId="18" fillId="20" borderId="118" xfId="0" applyNumberFormat="1" applyFont="1" applyFill="1" applyBorder="1" applyAlignment="1" applyProtection="1">
      <alignment vertical="center"/>
    </xf>
    <xf numFmtId="42" fontId="18" fillId="20" borderId="98" xfId="0" applyNumberFormat="1" applyFont="1" applyFill="1" applyBorder="1" applyAlignment="1" applyProtection="1">
      <alignment vertical="center"/>
    </xf>
    <xf numFmtId="42" fontId="18" fillId="6" borderId="10" xfId="0" applyNumberFormat="1" applyFont="1" applyFill="1" applyBorder="1" applyAlignment="1" applyProtection="1">
      <alignment vertical="center"/>
    </xf>
    <xf numFmtId="42" fontId="18" fillId="6" borderId="135" xfId="0" applyNumberFormat="1" applyFont="1" applyFill="1" applyBorder="1" applyAlignment="1" applyProtection="1">
      <alignment vertical="center"/>
    </xf>
    <xf numFmtId="42" fontId="18" fillId="0" borderId="134" xfId="0" applyNumberFormat="1" applyFont="1" applyFill="1" applyBorder="1" applyAlignment="1" applyProtection="1">
      <alignment vertical="center"/>
      <protection locked="0"/>
    </xf>
    <xf numFmtId="42" fontId="18" fillId="0" borderId="136" xfId="0" applyNumberFormat="1" applyFont="1" applyBorder="1" applyAlignment="1" applyProtection="1">
      <alignment vertical="center" wrapText="1"/>
      <protection locked="0"/>
    </xf>
    <xf numFmtId="42" fontId="18" fillId="0" borderId="136" xfId="0" applyNumberFormat="1" applyFont="1" applyFill="1" applyBorder="1" applyAlignment="1" applyProtection="1">
      <alignment vertical="center" wrapText="1"/>
      <protection locked="0"/>
    </xf>
    <xf numFmtId="42" fontId="18" fillId="20" borderId="14" xfId="0" applyNumberFormat="1" applyFont="1" applyFill="1" applyBorder="1" applyAlignment="1" applyProtection="1">
      <alignment vertical="center"/>
    </xf>
    <xf numFmtId="42" fontId="18" fillId="20" borderId="27" xfId="0" applyNumberFormat="1" applyFont="1" applyFill="1" applyBorder="1" applyAlignment="1" applyProtection="1">
      <alignment vertical="center"/>
    </xf>
    <xf numFmtId="42" fontId="18" fillId="20" borderId="134" xfId="0" applyNumberFormat="1" applyFont="1" applyFill="1" applyBorder="1" applyAlignment="1" applyProtection="1">
      <alignment vertical="center"/>
    </xf>
    <xf numFmtId="42" fontId="18" fillId="20" borderId="157" xfId="0" applyNumberFormat="1" applyFont="1" applyFill="1" applyBorder="1" applyAlignment="1" applyProtection="1">
      <alignment vertical="center"/>
    </xf>
    <xf numFmtId="5" fontId="32" fillId="0" borderId="126" xfId="0" applyNumberFormat="1" applyFont="1" applyFill="1" applyBorder="1" applyAlignment="1" applyProtection="1">
      <alignment vertical="center"/>
    </xf>
    <xf numFmtId="5" fontId="29" fillId="0" borderId="126" xfId="0" applyNumberFormat="1" applyFont="1" applyFill="1" applyBorder="1" applyAlignment="1" applyProtection="1">
      <alignment vertical="center"/>
    </xf>
    <xf numFmtId="5" fontId="27" fillId="0" borderId="126" xfId="0" applyNumberFormat="1" applyFont="1" applyFill="1" applyBorder="1" applyAlignment="1" applyProtection="1">
      <alignment vertical="center"/>
    </xf>
    <xf numFmtId="42" fontId="18" fillId="0" borderId="126" xfId="0" applyNumberFormat="1" applyFont="1" applyFill="1" applyBorder="1" applyAlignment="1" applyProtection="1">
      <alignment vertical="center"/>
    </xf>
    <xf numFmtId="5" fontId="27" fillId="5" borderId="34" xfId="0" applyNumberFormat="1" applyFont="1" applyFill="1" applyBorder="1" applyAlignment="1" applyProtection="1">
      <alignment vertical="center"/>
    </xf>
    <xf numFmtId="3" fontId="27" fillId="5" borderId="34" xfId="0" applyNumberFormat="1" applyFont="1" applyFill="1" applyBorder="1" applyAlignment="1" applyProtection="1">
      <alignment vertical="center"/>
    </xf>
    <xf numFmtId="42" fontId="18" fillId="5" borderId="34" xfId="0" applyNumberFormat="1" applyFont="1" applyFill="1" applyBorder="1" applyAlignment="1" applyProtection="1">
      <alignment vertical="center"/>
    </xf>
    <xf numFmtId="42" fontId="18" fillId="15" borderId="34" xfId="0" applyNumberFormat="1" applyFont="1" applyFill="1" applyBorder="1" applyAlignment="1" applyProtection="1">
      <alignment vertical="center"/>
    </xf>
    <xf numFmtId="5" fontId="32" fillId="0" borderId="34" xfId="0" applyNumberFormat="1" applyFont="1" applyFill="1" applyBorder="1" applyAlignment="1" applyProtection="1">
      <alignment vertical="center"/>
    </xf>
    <xf numFmtId="42" fontId="18" fillId="20" borderId="120" xfId="0" applyNumberFormat="1" applyFont="1" applyFill="1" applyBorder="1" applyAlignment="1" applyProtection="1">
      <alignment vertical="center"/>
    </xf>
    <xf numFmtId="0" fontId="3" fillId="3" borderId="100" xfId="0" applyFont="1" applyFill="1" applyBorder="1" applyAlignment="1" applyProtection="1">
      <protection locked="0"/>
    </xf>
    <xf numFmtId="44" fontId="3" fillId="3" borderId="80" xfId="0" applyNumberFormat="1" applyFont="1" applyFill="1" applyBorder="1" applyAlignment="1" applyProtection="1">
      <protection locked="0"/>
    </xf>
    <xf numFmtId="0" fontId="18" fillId="0" borderId="0" xfId="0" applyFont="1" applyBorder="1" applyProtection="1"/>
    <xf numFmtId="5" fontId="40" fillId="0" borderId="0" xfId="0" applyNumberFormat="1" applyFont="1" applyFill="1" applyBorder="1" applyProtection="1"/>
    <xf numFmtId="5" fontId="18" fillId="0" borderId="0" xfId="0" applyNumberFormat="1" applyFont="1" applyFill="1" applyBorder="1" applyProtection="1"/>
    <xf numFmtId="0" fontId="36" fillId="0" borderId="0" xfId="0" applyFont="1" applyBorder="1" applyProtection="1"/>
    <xf numFmtId="0" fontId="25" fillId="0" borderId="0" xfId="0" applyFont="1" applyBorder="1" applyProtection="1"/>
    <xf numFmtId="0" fontId="22" fillId="0" borderId="0" xfId="0" applyFont="1" applyBorder="1" applyProtection="1"/>
    <xf numFmtId="0" fontId="46" fillId="0" borderId="0" xfId="0" applyFont="1" applyBorder="1" applyProtection="1"/>
    <xf numFmtId="5" fontId="43" fillId="6" borderId="251" xfId="0" applyNumberFormat="1" applyFont="1" applyFill="1" applyBorder="1" applyProtection="1"/>
    <xf numFmtId="5" fontId="43" fillId="0" borderId="0" xfId="0" applyNumberFormat="1" applyFont="1" applyFill="1" applyBorder="1" applyProtection="1"/>
    <xf numFmtId="5" fontId="43" fillId="0" borderId="0" xfId="0" applyNumberFormat="1" applyFont="1" applyBorder="1" applyProtection="1"/>
    <xf numFmtId="0" fontId="48" fillId="0" borderId="0" xfId="0" applyFont="1" applyBorder="1" applyProtection="1"/>
    <xf numFmtId="5" fontId="21" fillId="0" borderId="0" xfId="0" applyNumberFormat="1" applyFont="1" applyFill="1" applyBorder="1" applyProtection="1"/>
    <xf numFmtId="5" fontId="48" fillId="6" borderId="251" xfId="0" applyNumberFormat="1" applyFont="1" applyFill="1" applyBorder="1" applyAlignment="1" applyProtection="1">
      <alignment horizontal="right"/>
    </xf>
    <xf numFmtId="5" fontId="36" fillId="0" borderId="0" xfId="0" applyNumberFormat="1" applyFont="1" applyFill="1" applyBorder="1" applyProtection="1"/>
    <xf numFmtId="5" fontId="48" fillId="0" borderId="85" xfId="0" applyNumberFormat="1" applyFont="1" applyFill="1" applyBorder="1" applyProtection="1"/>
    <xf numFmtId="0" fontId="48" fillId="0" borderId="85" xfId="0" applyFont="1" applyBorder="1" applyProtection="1"/>
    <xf numFmtId="5" fontId="43" fillId="6" borderId="279" xfId="0" applyNumberFormat="1" applyFont="1" applyFill="1" applyBorder="1" applyProtection="1"/>
    <xf numFmtId="5" fontId="43" fillId="6" borderId="161" xfId="0" applyNumberFormat="1" applyFont="1" applyFill="1" applyBorder="1" applyProtection="1"/>
    <xf numFmtId="5" fontId="43" fillId="6" borderId="160" xfId="0" applyNumberFormat="1" applyFont="1" applyFill="1" applyBorder="1" applyProtection="1"/>
    <xf numFmtId="5" fontId="43" fillId="6" borderId="280" xfId="0" applyNumberFormat="1" applyFont="1" applyFill="1" applyBorder="1" applyProtection="1"/>
    <xf numFmtId="5" fontId="43" fillId="6" borderId="278" xfId="0" applyNumberFormat="1" applyFont="1" applyFill="1" applyBorder="1" applyProtection="1"/>
    <xf numFmtId="5" fontId="43" fillId="6" borderId="275" xfId="0" applyNumberFormat="1" applyFont="1" applyFill="1" applyBorder="1" applyProtection="1"/>
    <xf numFmtId="5" fontId="22" fillId="18" borderId="129" xfId="0" applyNumberFormat="1" applyFont="1" applyFill="1" applyBorder="1" applyAlignment="1" applyProtection="1">
      <alignment horizontal="center"/>
    </xf>
    <xf numFmtId="166" fontId="19" fillId="18" borderId="245" xfId="0" applyNumberFormat="1" applyFont="1" applyFill="1" applyBorder="1" applyAlignment="1" applyProtection="1">
      <alignment horizontal="right"/>
    </xf>
    <xf numFmtId="166" fontId="19" fillId="18" borderId="245" xfId="0" applyNumberFormat="1" applyFont="1" applyFill="1" applyBorder="1" applyProtection="1"/>
    <xf numFmtId="9" fontId="18" fillId="0" borderId="46" xfId="0" applyNumberFormat="1" applyFont="1" applyFill="1" applyBorder="1" applyAlignment="1" applyProtection="1">
      <alignment horizontal="right" wrapText="1"/>
      <protection locked="0"/>
    </xf>
    <xf numFmtId="9" fontId="18" fillId="0" borderId="50" xfId="0" applyNumberFormat="1" applyFont="1" applyFill="1" applyBorder="1" applyAlignment="1" applyProtection="1">
      <alignment horizontal="right" wrapText="1"/>
      <protection locked="0"/>
    </xf>
    <xf numFmtId="166" fontId="19" fillId="6" borderId="146" xfId="0" applyNumberFormat="1" applyFont="1" applyFill="1" applyBorder="1" applyProtection="1"/>
    <xf numFmtId="0" fontId="3" fillId="0" borderId="31" xfId="0" applyFont="1" applyFill="1" applyBorder="1" applyProtection="1"/>
    <xf numFmtId="0" fontId="3" fillId="0" borderId="0" xfId="0" applyFont="1" applyFill="1" applyBorder="1" applyProtection="1"/>
    <xf numFmtId="0" fontId="3" fillId="0" borderId="32" xfId="0" applyFont="1" applyFill="1" applyBorder="1" applyProtection="1"/>
    <xf numFmtId="44" fontId="3" fillId="2" borderId="436" xfId="0" applyNumberFormat="1" applyFont="1" applyFill="1" applyBorder="1" applyAlignment="1" applyProtection="1"/>
    <xf numFmtId="0" fontId="11" fillId="18" borderId="439" xfId="0" applyFont="1" applyFill="1" applyBorder="1" applyAlignment="1" applyProtection="1">
      <alignment vertical="center" wrapText="1"/>
    </xf>
    <xf numFmtId="0" fontId="6" fillId="18" borderId="439" xfId="0" applyFont="1" applyFill="1" applyBorder="1" applyAlignment="1" applyProtection="1">
      <alignment vertical="center" wrapText="1"/>
    </xf>
    <xf numFmtId="0" fontId="11" fillId="18" borderId="440" xfId="0" applyFont="1" applyFill="1" applyBorder="1" applyAlignment="1" applyProtection="1">
      <alignment vertical="center" wrapText="1"/>
    </xf>
    <xf numFmtId="0" fontId="17" fillId="0" borderId="0" xfId="0" applyNumberFormat="1" applyFont="1" applyFill="1" applyBorder="1" applyAlignment="1" applyProtection="1"/>
    <xf numFmtId="0" fontId="11" fillId="18" borderId="248" xfId="0" applyFont="1" applyFill="1" applyBorder="1" applyAlignment="1" applyProtection="1">
      <alignment vertical="center" wrapText="1"/>
    </xf>
    <xf numFmtId="0" fontId="6" fillId="18" borderId="248" xfId="0" applyFont="1" applyFill="1" applyBorder="1" applyAlignment="1" applyProtection="1">
      <alignment vertical="center" wrapText="1"/>
    </xf>
    <xf numFmtId="0" fontId="11" fillId="18" borderId="249" xfId="0" applyFont="1" applyFill="1" applyBorder="1" applyAlignment="1" applyProtection="1">
      <alignment vertical="center" wrapText="1"/>
    </xf>
    <xf numFmtId="0" fontId="19" fillId="0" borderId="0" xfId="0" applyFont="1" applyFill="1" applyBorder="1" applyProtection="1"/>
    <xf numFmtId="0" fontId="27" fillId="0" borderId="432" xfId="0" applyFont="1" applyBorder="1" applyAlignment="1" applyProtection="1"/>
    <xf numFmtId="0" fontId="27" fillId="0" borderId="433" xfId="0" applyFont="1" applyBorder="1" applyAlignment="1" applyProtection="1"/>
    <xf numFmtId="0" fontId="27" fillId="0" borderId="0" xfId="0" applyFont="1" applyBorder="1" applyAlignment="1" applyProtection="1"/>
    <xf numFmtId="0" fontId="27" fillId="0" borderId="2" xfId="0" applyFont="1" applyBorder="1" applyAlignment="1" applyProtection="1"/>
    <xf numFmtId="5" fontId="27" fillId="0" borderId="432" xfId="0" applyNumberFormat="1" applyFont="1" applyFill="1" applyBorder="1" applyAlignment="1" applyProtection="1">
      <alignment vertical="center"/>
    </xf>
    <xf numFmtId="5" fontId="32" fillId="10" borderId="426" xfId="0" applyNumberFormat="1" applyFont="1" applyFill="1" applyBorder="1" applyAlignment="1" applyProtection="1">
      <alignment vertical="center"/>
    </xf>
    <xf numFmtId="5" fontId="32" fillId="10" borderId="432" xfId="0" applyNumberFormat="1" applyFont="1" applyFill="1" applyBorder="1" applyAlignment="1" applyProtection="1">
      <alignment vertical="center"/>
    </xf>
    <xf numFmtId="0" fontId="19" fillId="0" borderId="0" xfId="0" applyFont="1" applyBorder="1" applyProtection="1"/>
    <xf numFmtId="44" fontId="18" fillId="0" borderId="0" xfId="0" applyNumberFormat="1" applyFont="1" applyFill="1" applyBorder="1" applyProtection="1"/>
    <xf numFmtId="5" fontId="10" fillId="7" borderId="113" xfId="0" applyNumberFormat="1" applyFont="1" applyFill="1" applyBorder="1" applyAlignment="1" applyProtection="1">
      <alignment horizontal="center" vertical="center" wrapText="1"/>
    </xf>
    <xf numFmtId="0" fontId="56" fillId="0" borderId="0" xfId="0" applyFont="1" applyBorder="1" applyProtection="1"/>
    <xf numFmtId="0" fontId="58" fillId="0" borderId="0" xfId="0" applyFont="1" applyBorder="1" applyAlignment="1" applyProtection="1"/>
    <xf numFmtId="0" fontId="58" fillId="0" borderId="0" xfId="0" applyFont="1" applyBorder="1" applyProtection="1"/>
    <xf numFmtId="6" fontId="58" fillId="0" borderId="0" xfId="0" applyNumberFormat="1" applyFont="1" applyBorder="1" applyProtection="1"/>
    <xf numFmtId="0" fontId="60" fillId="0" borderId="11" xfId="0" applyFont="1" applyFill="1" applyBorder="1" applyProtection="1"/>
    <xf numFmtId="0" fontId="58" fillId="0" borderId="11" xfId="0" applyFont="1" applyFill="1" applyBorder="1" applyAlignment="1" applyProtection="1"/>
    <xf numFmtId="0" fontId="59" fillId="0" borderId="0" xfId="0" applyFont="1" applyBorder="1" applyAlignment="1" applyProtection="1"/>
    <xf numFmtId="0" fontId="58" fillId="0" borderId="5" xfId="0" applyFont="1" applyBorder="1" applyAlignment="1" applyProtection="1"/>
    <xf numFmtId="0" fontId="58" fillId="0" borderId="5" xfId="0" applyFont="1" applyBorder="1" applyProtection="1"/>
    <xf numFmtId="0" fontId="59" fillId="0" borderId="0" xfId="0" applyFont="1" applyBorder="1" applyProtection="1"/>
    <xf numFmtId="0" fontId="60" fillId="0" borderId="11" xfId="0" applyFont="1" applyBorder="1" applyProtection="1"/>
    <xf numFmtId="0" fontId="58" fillId="0" borderId="11" xfId="0" applyFont="1" applyBorder="1" applyAlignment="1" applyProtection="1"/>
    <xf numFmtId="6" fontId="58" fillId="0" borderId="11" xfId="0" applyNumberFormat="1" applyFont="1" applyBorder="1" applyProtection="1"/>
    <xf numFmtId="6" fontId="58" fillId="0" borderId="42" xfId="0" applyNumberFormat="1" applyFont="1" applyBorder="1" applyProtection="1"/>
    <xf numFmtId="0" fontId="58" fillId="0" borderId="5" xfId="0" applyFont="1" applyFill="1" applyBorder="1" applyAlignment="1" applyProtection="1"/>
    <xf numFmtId="0" fontId="59" fillId="0" borderId="0" xfId="0" applyFont="1" applyFill="1" applyBorder="1" applyAlignment="1" applyProtection="1"/>
    <xf numFmtId="8" fontId="58" fillId="0" borderId="42" xfId="0" applyNumberFormat="1" applyFont="1" applyBorder="1" applyProtection="1"/>
    <xf numFmtId="0" fontId="56" fillId="18" borderId="247" xfId="0" applyFont="1" applyFill="1" applyBorder="1" applyProtection="1"/>
    <xf numFmtId="44" fontId="18" fillId="0" borderId="272" xfId="0" applyNumberFormat="1" applyFont="1" applyFill="1" applyBorder="1" applyAlignment="1" applyProtection="1">
      <protection locked="0"/>
    </xf>
    <xf numFmtId="44" fontId="18" fillId="0" borderId="80" xfId="0" applyNumberFormat="1" applyFont="1" applyFill="1" applyBorder="1" applyAlignment="1" applyProtection="1">
      <alignment vertical="center"/>
      <protection locked="0"/>
    </xf>
    <xf numFmtId="44" fontId="18" fillId="0" borderId="100" xfId="0" applyNumberFormat="1" applyFont="1" applyFill="1" applyBorder="1" applyAlignment="1" applyProtection="1">
      <protection locked="0"/>
    </xf>
    <xf numFmtId="9" fontId="18" fillId="0" borderId="80" xfId="0" applyNumberFormat="1" applyFont="1" applyFill="1" applyBorder="1" applyAlignment="1" applyProtection="1">
      <protection locked="0"/>
    </xf>
    <xf numFmtId="1" fontId="18" fillId="0" borderId="100" xfId="0" applyNumberFormat="1" applyFont="1" applyFill="1" applyBorder="1" applyAlignment="1" applyProtection="1">
      <protection locked="0"/>
    </xf>
    <xf numFmtId="44" fontId="18" fillId="0" borderId="87" xfId="0" applyNumberFormat="1" applyFont="1" applyFill="1" applyBorder="1" applyAlignment="1" applyProtection="1">
      <alignment vertical="center"/>
      <protection locked="0"/>
    </xf>
    <xf numFmtId="44" fontId="18" fillId="0" borderId="115" xfId="0" applyNumberFormat="1" applyFont="1" applyFill="1" applyBorder="1" applyAlignment="1" applyProtection="1">
      <protection locked="0"/>
    </xf>
    <xf numFmtId="9" fontId="18" fillId="0" borderId="87" xfId="0" applyNumberFormat="1" applyFont="1" applyFill="1" applyBorder="1" applyAlignment="1" applyProtection="1">
      <protection locked="0"/>
    </xf>
    <xf numFmtId="1" fontId="18" fillId="0" borderId="115" xfId="0" applyNumberFormat="1" applyFont="1" applyFill="1" applyBorder="1" applyAlignment="1" applyProtection="1">
      <protection locked="0"/>
    </xf>
    <xf numFmtId="166" fontId="18" fillId="0" borderId="0" xfId="0" applyNumberFormat="1" applyFont="1" applyFill="1" applyBorder="1" applyAlignment="1" applyProtection="1">
      <alignment horizontal="left"/>
    </xf>
    <xf numFmtId="0" fontId="43" fillId="0" borderId="0" xfId="0" applyFont="1" applyFill="1" applyBorder="1" applyAlignment="1" applyProtection="1"/>
    <xf numFmtId="0" fontId="18" fillId="0" borderId="277" xfId="0" applyFont="1" applyFill="1" applyBorder="1" applyAlignment="1" applyProtection="1">
      <protection locked="0"/>
    </xf>
    <xf numFmtId="0" fontId="18" fillId="0" borderId="139" xfId="0" applyFont="1" applyFill="1" applyBorder="1" applyAlignment="1" applyProtection="1">
      <protection locked="0"/>
    </xf>
    <xf numFmtId="0" fontId="18" fillId="0" borderId="140" xfId="0" applyFont="1" applyFill="1" applyBorder="1" applyAlignment="1" applyProtection="1">
      <protection locked="0"/>
    </xf>
    <xf numFmtId="44" fontId="18" fillId="0" borderId="257" xfId="0" applyNumberFormat="1" applyFont="1" applyFill="1" applyBorder="1" applyAlignment="1" applyProtection="1">
      <protection locked="0"/>
    </xf>
    <xf numFmtId="0" fontId="18" fillId="0" borderId="276" xfId="0" applyFont="1" applyFill="1" applyBorder="1" applyAlignment="1" applyProtection="1">
      <protection locked="0"/>
    </xf>
    <xf numFmtId="166" fontId="18" fillId="0" borderId="257" xfId="0" applyNumberFormat="1" applyFont="1" applyFill="1" applyBorder="1" applyAlignment="1" applyProtection="1">
      <protection locked="0"/>
    </xf>
    <xf numFmtId="166" fontId="18" fillId="0" borderId="272" xfId="0" applyNumberFormat="1" applyFont="1" applyFill="1" applyBorder="1" applyAlignment="1" applyProtection="1">
      <protection locked="0"/>
    </xf>
    <xf numFmtId="0" fontId="18" fillId="0" borderId="125" xfId="0" applyFont="1" applyFill="1" applyBorder="1" applyAlignment="1" applyProtection="1">
      <protection locked="0"/>
    </xf>
    <xf numFmtId="166" fontId="18" fillId="0" borderId="80" xfId="0" applyNumberFormat="1" applyFont="1" applyFill="1" applyBorder="1" applyAlignment="1" applyProtection="1">
      <protection locked="0"/>
    </xf>
    <xf numFmtId="166" fontId="18" fillId="0" borderId="100" xfId="0" applyNumberFormat="1" applyFont="1" applyFill="1" applyBorder="1" applyAlignment="1" applyProtection="1">
      <protection locked="0"/>
    </xf>
    <xf numFmtId="0" fontId="18" fillId="0" borderId="138" xfId="0" applyFont="1" applyFill="1" applyBorder="1" applyAlignment="1" applyProtection="1">
      <protection locked="0"/>
    </xf>
    <xf numFmtId="166" fontId="18" fillId="0" borderId="87" xfId="0" applyNumberFormat="1" applyFont="1" applyFill="1" applyBorder="1" applyAlignment="1" applyProtection="1">
      <protection locked="0"/>
    </xf>
    <xf numFmtId="166" fontId="18" fillId="0" borderId="115" xfId="0" applyNumberFormat="1" applyFont="1" applyFill="1" applyBorder="1" applyAlignment="1" applyProtection="1">
      <protection locked="0"/>
    </xf>
    <xf numFmtId="44" fontId="18" fillId="0" borderId="0" xfId="0" applyNumberFormat="1" applyFont="1" applyFill="1" applyBorder="1" applyAlignment="1" applyProtection="1">
      <alignment horizontal="left"/>
    </xf>
    <xf numFmtId="0" fontId="66" fillId="0" borderId="0" xfId="0" applyFont="1" applyFill="1" applyBorder="1" applyAlignment="1" applyProtection="1">
      <alignment horizontal="left" vertical="center"/>
    </xf>
    <xf numFmtId="0" fontId="18" fillId="0" borderId="132" xfId="0" applyFont="1" applyFill="1" applyBorder="1" applyAlignment="1" applyProtection="1">
      <protection locked="0"/>
    </xf>
    <xf numFmtId="0" fontId="18" fillId="0" borderId="69" xfId="0" applyFont="1" applyFill="1" applyBorder="1" applyAlignment="1" applyProtection="1">
      <protection locked="0"/>
    </xf>
    <xf numFmtId="44" fontId="18" fillId="0" borderId="99" xfId="0" applyNumberFormat="1" applyFont="1" applyFill="1" applyBorder="1" applyAlignment="1" applyProtection="1">
      <protection locked="0"/>
    </xf>
    <xf numFmtId="9" fontId="18" fillId="0" borderId="94" xfId="0" applyNumberFormat="1" applyFont="1" applyFill="1" applyBorder="1" applyAlignment="1" applyProtection="1">
      <protection locked="0"/>
    </xf>
    <xf numFmtId="1" fontId="18" fillId="0" borderId="99" xfId="0" applyNumberFormat="1" applyFont="1" applyFill="1" applyBorder="1" applyAlignment="1" applyProtection="1">
      <protection locked="0"/>
    </xf>
    <xf numFmtId="44" fontId="18" fillId="0" borderId="94" xfId="0" applyNumberFormat="1" applyFont="1" applyFill="1" applyBorder="1" applyAlignment="1" applyProtection="1">
      <protection locked="0"/>
    </xf>
    <xf numFmtId="0" fontId="18" fillId="0" borderId="105" xfId="0" applyFont="1" applyFill="1" applyBorder="1" applyAlignment="1" applyProtection="1">
      <protection locked="0"/>
    </xf>
    <xf numFmtId="0" fontId="18" fillId="0" borderId="175" xfId="0" applyFont="1" applyFill="1" applyBorder="1" applyAlignment="1" applyProtection="1">
      <protection locked="0"/>
    </xf>
    <xf numFmtId="5" fontId="48" fillId="0" borderId="437" xfId="0" applyNumberFormat="1" applyFont="1" applyFill="1" applyBorder="1" applyProtection="1"/>
    <xf numFmtId="0" fontId="3" fillId="0" borderId="28" xfId="0" applyFont="1" applyFill="1" applyBorder="1" applyAlignment="1" applyProtection="1">
      <alignment vertical="center"/>
    </xf>
    <xf numFmtId="0" fontId="18" fillId="0" borderId="0" xfId="0" applyFont="1" applyFill="1" applyBorder="1" applyProtection="1"/>
    <xf numFmtId="0" fontId="18" fillId="0" borderId="32" xfId="0" applyFont="1" applyFill="1" applyBorder="1" applyProtection="1"/>
    <xf numFmtId="0" fontId="18" fillId="0" borderId="31" xfId="0" applyFont="1" applyFill="1" applyBorder="1" applyAlignment="1" applyProtection="1">
      <alignment vertical="center"/>
    </xf>
    <xf numFmtId="0" fontId="51" fillId="0" borderId="0" xfId="0" applyFont="1" applyFill="1" applyAlignment="1" applyProtection="1">
      <alignment horizontal="right"/>
    </xf>
    <xf numFmtId="0" fontId="18" fillId="0" borderId="33" xfId="0" applyFont="1" applyFill="1" applyBorder="1" applyAlignment="1" applyProtection="1">
      <alignment vertical="center"/>
    </xf>
    <xf numFmtId="0" fontId="18" fillId="0" borderId="34" xfId="0" applyFont="1" applyFill="1" applyBorder="1" applyAlignment="1" applyProtection="1">
      <alignment vertical="center"/>
    </xf>
    <xf numFmtId="0" fontId="18" fillId="0" borderId="34" xfId="0" applyFont="1" applyFill="1" applyBorder="1" applyProtection="1"/>
    <xf numFmtId="0" fontId="18" fillId="0" borderId="35" xfId="0" applyFont="1" applyFill="1" applyBorder="1" applyProtection="1"/>
    <xf numFmtId="6" fontId="18" fillId="6" borderId="82" xfId="0" applyNumberFormat="1" applyFont="1" applyFill="1" applyBorder="1" applyAlignment="1" applyProtection="1"/>
    <xf numFmtId="5" fontId="18" fillId="6" borderId="82" xfId="0" applyNumberFormat="1" applyFont="1" applyFill="1" applyBorder="1" applyAlignment="1" applyProtection="1"/>
    <xf numFmtId="5" fontId="22" fillId="6" borderId="146" xfId="0" applyNumberFormat="1" applyFont="1" applyFill="1" applyBorder="1" applyAlignment="1" applyProtection="1"/>
    <xf numFmtId="6" fontId="18" fillId="6" borderId="146" xfId="0" applyNumberFormat="1" applyFont="1" applyFill="1" applyBorder="1" applyAlignment="1" applyProtection="1"/>
    <xf numFmtId="6" fontId="18" fillId="6" borderId="271" xfId="0" applyNumberFormat="1" applyFont="1" applyFill="1" applyBorder="1" applyAlignment="1" applyProtection="1"/>
    <xf numFmtId="6" fontId="18" fillId="6" borderId="120" xfId="0" applyNumberFormat="1" applyFont="1" applyFill="1" applyBorder="1" applyAlignment="1" applyProtection="1"/>
    <xf numFmtId="6" fontId="18" fillId="6" borderId="147" xfId="0" applyNumberFormat="1" applyFont="1" applyFill="1" applyBorder="1" applyAlignment="1" applyProtection="1"/>
    <xf numFmtId="5" fontId="18" fillId="6" borderId="271" xfId="0" applyNumberFormat="1" applyFont="1" applyFill="1" applyBorder="1" applyAlignment="1" applyProtection="1"/>
    <xf numFmtId="5" fontId="18" fillId="6" borderId="120" xfId="0" applyNumberFormat="1" applyFont="1" applyFill="1" applyBorder="1" applyAlignment="1" applyProtection="1"/>
    <xf numFmtId="5" fontId="18" fillId="6" borderId="147" xfId="0" applyNumberFormat="1" applyFont="1" applyFill="1" applyBorder="1" applyAlignment="1" applyProtection="1"/>
    <xf numFmtId="0" fontId="18" fillId="0" borderId="48" xfId="0" applyFont="1" applyFill="1" applyBorder="1" applyAlignment="1" applyProtection="1">
      <alignment horizontal="center" wrapText="1"/>
      <protection locked="0"/>
    </xf>
    <xf numFmtId="0" fontId="18" fillId="0" borderId="46" xfId="0" applyFont="1" applyFill="1" applyBorder="1" applyAlignment="1" applyProtection="1">
      <alignment horizontal="center"/>
      <protection locked="0"/>
    </xf>
    <xf numFmtId="166" fontId="18" fillId="0" borderId="46" xfId="0" applyNumberFormat="1" applyFont="1" applyFill="1" applyBorder="1" applyAlignment="1" applyProtection="1">
      <alignment horizontal="right" wrapText="1"/>
      <protection locked="0"/>
    </xf>
    <xf numFmtId="0" fontId="18" fillId="0" borderId="50" xfId="0" applyFont="1" applyFill="1" applyBorder="1" applyAlignment="1" applyProtection="1">
      <alignment horizontal="center"/>
      <protection locked="0"/>
    </xf>
    <xf numFmtId="166" fontId="18" fillId="0" borderId="50" xfId="0" applyNumberFormat="1" applyFont="1" applyFill="1" applyBorder="1" applyAlignment="1" applyProtection="1">
      <alignment horizontal="right" wrapText="1"/>
      <protection locked="0"/>
    </xf>
    <xf numFmtId="166" fontId="18" fillId="0" borderId="50" xfId="0" applyNumberFormat="1" applyFont="1" applyFill="1" applyBorder="1" applyAlignment="1" applyProtection="1">
      <alignment horizontal="right"/>
      <protection locked="0"/>
    </xf>
    <xf numFmtId="3" fontId="20" fillId="18" borderId="281" xfId="0" applyNumberFormat="1" applyFont="1" applyFill="1" applyBorder="1" applyAlignment="1" applyProtection="1"/>
    <xf numFmtId="3" fontId="20" fillId="18" borderId="446" xfId="0" applyNumberFormat="1" applyFont="1" applyFill="1" applyBorder="1" applyAlignment="1" applyProtection="1"/>
    <xf numFmtId="3" fontId="20" fillId="0" borderId="281" xfId="0" applyNumberFormat="1" applyFont="1" applyFill="1" applyBorder="1" applyAlignment="1" applyProtection="1"/>
    <xf numFmtId="3" fontId="20" fillId="0" borderId="446" xfId="0" applyNumberFormat="1" applyFont="1" applyFill="1" applyBorder="1" applyAlignment="1" applyProtection="1"/>
    <xf numFmtId="166" fontId="18" fillId="6" borderId="46" xfId="0" applyNumberFormat="1" applyFont="1" applyFill="1" applyBorder="1" applyAlignment="1" applyProtection="1">
      <alignment horizontal="right" wrapText="1"/>
    </xf>
    <xf numFmtId="166" fontId="18" fillId="6" borderId="50" xfId="0" applyNumberFormat="1" applyFont="1" applyFill="1" applyBorder="1" applyAlignment="1" applyProtection="1">
      <alignment horizontal="right" wrapText="1"/>
    </xf>
    <xf numFmtId="166" fontId="18" fillId="6" borderId="37" xfId="0" applyNumberFormat="1" applyFont="1" applyFill="1" applyBorder="1" applyAlignment="1" applyProtection="1">
      <alignment horizontal="right" wrapText="1"/>
    </xf>
    <xf numFmtId="166" fontId="18" fillId="6" borderId="52" xfId="0" applyNumberFormat="1" applyFont="1" applyFill="1" applyBorder="1" applyAlignment="1" applyProtection="1">
      <alignment horizontal="right" wrapText="1"/>
    </xf>
    <xf numFmtId="0" fontId="18" fillId="0" borderId="28" xfId="0" applyFont="1" applyFill="1" applyBorder="1" applyProtection="1"/>
    <xf numFmtId="0" fontId="18" fillId="0" borderId="29" xfId="0" applyFont="1" applyFill="1" applyBorder="1" applyProtection="1"/>
    <xf numFmtId="0" fontId="18" fillId="0" borderId="29" xfId="0" applyFont="1" applyFill="1" applyBorder="1" applyAlignment="1" applyProtection="1">
      <alignment horizontal="center"/>
    </xf>
    <xf numFmtId="166" fontId="18" fillId="0" borderId="29" xfId="0" applyNumberFormat="1" applyFont="1" applyFill="1" applyBorder="1" applyProtection="1"/>
    <xf numFmtId="9" fontId="18" fillId="0" borderId="29" xfId="0" applyNumberFormat="1" applyFont="1" applyFill="1" applyBorder="1" applyAlignment="1" applyProtection="1">
      <alignment horizontal="center"/>
    </xf>
    <xf numFmtId="166" fontId="18" fillId="0" borderId="29" xfId="0" applyNumberFormat="1" applyFont="1" applyFill="1" applyBorder="1" applyAlignment="1" applyProtection="1">
      <alignment horizontal="center"/>
    </xf>
    <xf numFmtId="3" fontId="18" fillId="0" borderId="29" xfId="0" applyNumberFormat="1" applyFont="1" applyFill="1" applyBorder="1" applyProtection="1"/>
    <xf numFmtId="0" fontId="18" fillId="0" borderId="30" xfId="0" applyFont="1" applyFill="1" applyBorder="1" applyProtection="1"/>
    <xf numFmtId="0" fontId="18" fillId="0" borderId="31" xfId="0" applyFont="1" applyFill="1" applyBorder="1" applyProtection="1"/>
    <xf numFmtId="0" fontId="18" fillId="0" borderId="0" xfId="0" applyFont="1" applyFill="1" applyBorder="1" applyAlignment="1" applyProtection="1">
      <alignment horizontal="center"/>
    </xf>
    <xf numFmtId="166" fontId="18" fillId="0" borderId="0" xfId="0" applyNumberFormat="1" applyFont="1" applyFill="1" applyBorder="1" applyProtection="1"/>
    <xf numFmtId="9" fontId="18" fillId="0" borderId="0" xfId="0" applyNumberFormat="1" applyFont="1" applyFill="1" applyBorder="1" applyAlignment="1" applyProtection="1">
      <alignment horizontal="center"/>
    </xf>
    <xf numFmtId="166" fontId="18" fillId="0" borderId="0" xfId="0" applyNumberFormat="1" applyFont="1" applyFill="1" applyBorder="1" applyAlignment="1" applyProtection="1">
      <alignment horizontal="center"/>
    </xf>
    <xf numFmtId="3" fontId="18" fillId="0" borderId="0" xfId="0" applyNumberFormat="1" applyFont="1" applyFill="1" applyBorder="1" applyProtection="1"/>
    <xf numFmtId="0" fontId="18" fillId="0" borderId="0" xfId="0" applyFont="1" applyFill="1" applyProtection="1">
      <protection locked="0"/>
    </xf>
    <xf numFmtId="0" fontId="18" fillId="0" borderId="0" xfId="0" applyFont="1" applyFill="1" applyBorder="1" applyAlignment="1" applyProtection="1"/>
    <xf numFmtId="166" fontId="18" fillId="0" borderId="0" xfId="0" applyNumberFormat="1" applyFont="1" applyFill="1" applyBorder="1" applyAlignment="1" applyProtection="1">
      <alignment horizontal="center" wrapText="1"/>
    </xf>
    <xf numFmtId="0" fontId="18" fillId="0" borderId="31" xfId="0" applyFont="1" applyFill="1" applyBorder="1" applyAlignment="1" applyProtection="1">
      <alignment wrapText="1"/>
    </xf>
    <xf numFmtId="166" fontId="18" fillId="0" borderId="0" xfId="0" applyNumberFormat="1" applyFont="1" applyFill="1" applyBorder="1" applyAlignment="1" applyProtection="1">
      <alignment wrapText="1"/>
    </xf>
    <xf numFmtId="3" fontId="19" fillId="0" borderId="32" xfId="0" applyNumberFormat="1" applyFont="1" applyFill="1" applyBorder="1" applyProtection="1"/>
    <xf numFmtId="6" fontId="18" fillId="0" borderId="36" xfId="0" applyNumberFormat="1" applyFont="1" applyFill="1" applyBorder="1" applyAlignment="1" applyProtection="1">
      <alignment horizontal="right"/>
      <protection locked="0"/>
    </xf>
    <xf numFmtId="6" fontId="18" fillId="0" borderId="46" xfId="0" applyNumberFormat="1" applyFont="1" applyFill="1" applyBorder="1" applyAlignment="1" applyProtection="1">
      <alignment horizontal="right"/>
      <protection locked="0"/>
    </xf>
    <xf numFmtId="6" fontId="18" fillId="0" borderId="37" xfId="0" applyNumberFormat="1" applyFont="1" applyFill="1" applyBorder="1" applyAlignment="1" applyProtection="1">
      <alignment horizontal="right"/>
      <protection locked="0"/>
    </xf>
    <xf numFmtId="166" fontId="19" fillId="0" borderId="32" xfId="0" applyNumberFormat="1" applyFont="1" applyFill="1" applyBorder="1" applyProtection="1"/>
    <xf numFmtId="166" fontId="18" fillId="0" borderId="46" xfId="0" applyNumberFormat="1" applyFont="1" applyFill="1" applyBorder="1" applyAlignment="1" applyProtection="1">
      <alignment horizontal="right"/>
      <protection locked="0"/>
    </xf>
    <xf numFmtId="6" fontId="18" fillId="0" borderId="49" xfId="0" applyNumberFormat="1" applyFont="1" applyFill="1" applyBorder="1" applyAlignment="1" applyProtection="1">
      <alignment horizontal="right"/>
      <protection locked="0"/>
    </xf>
    <xf numFmtId="6" fontId="18" fillId="0" borderId="50" xfId="0" applyNumberFormat="1" applyFont="1" applyFill="1" applyBorder="1" applyAlignment="1" applyProtection="1">
      <alignment horizontal="right"/>
      <protection locked="0"/>
    </xf>
    <xf numFmtId="6" fontId="18" fillId="0" borderId="52" xfId="0" applyNumberFormat="1" applyFont="1" applyFill="1" applyBorder="1" applyAlignment="1" applyProtection="1">
      <alignment horizontal="right"/>
      <protection locked="0"/>
    </xf>
    <xf numFmtId="3" fontId="19" fillId="0" borderId="31" xfId="0" applyNumberFormat="1" applyFont="1" applyFill="1" applyBorder="1" applyProtection="1"/>
    <xf numFmtId="166" fontId="19" fillId="0" borderId="11" xfId="0" applyNumberFormat="1" applyFont="1" applyFill="1" applyBorder="1" applyAlignment="1" applyProtection="1">
      <alignment horizontal="right"/>
    </xf>
    <xf numFmtId="166" fontId="19" fillId="0" borderId="11" xfId="0" applyNumberFormat="1" applyFont="1" applyFill="1" applyBorder="1" applyProtection="1"/>
    <xf numFmtId="166" fontId="19" fillId="0" borderId="186" xfId="0" applyNumberFormat="1" applyFont="1" applyFill="1" applyBorder="1" applyProtection="1"/>
    <xf numFmtId="3" fontId="20" fillId="0" borderId="29" xfId="0" applyNumberFormat="1" applyFont="1" applyFill="1" applyBorder="1" applyProtection="1"/>
    <xf numFmtId="166" fontId="19" fillId="0" borderId="29" xfId="0" applyNumberFormat="1" applyFont="1" applyFill="1" applyBorder="1" applyAlignment="1" applyProtection="1">
      <alignment horizontal="right"/>
    </xf>
    <xf numFmtId="166" fontId="19" fillId="0" borderId="29" xfId="0" applyNumberFormat="1" applyFont="1" applyFill="1" applyBorder="1" applyProtection="1"/>
    <xf numFmtId="166" fontId="19" fillId="0" borderId="0" xfId="0" applyNumberFormat="1" applyFont="1" applyFill="1" applyBorder="1" applyProtection="1"/>
    <xf numFmtId="3" fontId="19" fillId="0" borderId="0" xfId="0" applyNumberFormat="1" applyFont="1" applyFill="1" applyBorder="1" applyProtection="1"/>
    <xf numFmtId="3" fontId="20" fillId="0" borderId="0" xfId="0" applyNumberFormat="1" applyFont="1" applyFill="1" applyBorder="1" applyProtection="1"/>
    <xf numFmtId="166" fontId="17" fillId="0" borderId="0" xfId="0" applyNumberFormat="1" applyFont="1" applyFill="1" applyBorder="1" applyProtection="1"/>
    <xf numFmtId="6" fontId="18" fillId="0" borderId="255" xfId="0" applyNumberFormat="1" applyFont="1" applyFill="1" applyBorder="1" applyAlignment="1" applyProtection="1">
      <alignment horizontal="right"/>
      <protection locked="0"/>
    </xf>
    <xf numFmtId="6" fontId="18" fillId="0" borderId="254" xfId="0" applyNumberFormat="1" applyFont="1" applyFill="1" applyBorder="1" applyAlignment="1" applyProtection="1">
      <alignment horizontal="right"/>
      <protection locked="0"/>
    </xf>
    <xf numFmtId="6" fontId="18" fillId="0" borderId="256" xfId="0" applyNumberFormat="1" applyFont="1" applyFill="1" applyBorder="1" applyAlignment="1" applyProtection="1">
      <alignment horizontal="right"/>
      <protection locked="0"/>
    </xf>
    <xf numFmtId="6" fontId="18" fillId="0" borderId="53" xfId="0" applyNumberFormat="1" applyFont="1" applyFill="1" applyBorder="1" applyAlignment="1" applyProtection="1">
      <alignment horizontal="right"/>
      <protection locked="0"/>
    </xf>
    <xf numFmtId="6" fontId="18" fillId="0" borderId="54" xfId="0" applyNumberFormat="1" applyFont="1" applyFill="1" applyBorder="1" applyAlignment="1" applyProtection="1">
      <alignment horizontal="right"/>
      <protection locked="0"/>
    </xf>
    <xf numFmtId="6" fontId="18" fillId="0" borderId="55" xfId="0" applyNumberFormat="1" applyFont="1" applyFill="1" applyBorder="1" applyAlignment="1" applyProtection="1">
      <alignment horizontal="right"/>
      <protection locked="0"/>
    </xf>
    <xf numFmtId="6" fontId="18" fillId="0" borderId="47" xfId="0" applyNumberFormat="1" applyFont="1" applyFill="1" applyBorder="1" applyAlignment="1" applyProtection="1">
      <alignment horizontal="right"/>
      <protection locked="0"/>
    </xf>
    <xf numFmtId="6" fontId="18" fillId="0" borderId="56" xfId="0" applyNumberFormat="1" applyFont="1" applyFill="1" applyBorder="1" applyAlignment="1" applyProtection="1">
      <alignment horizontal="right"/>
      <protection locked="0"/>
    </xf>
    <xf numFmtId="166" fontId="22" fillId="0" borderId="0" xfId="0" applyNumberFormat="1" applyFont="1" applyFill="1" applyBorder="1" applyProtection="1"/>
    <xf numFmtId="168" fontId="22" fillId="0" borderId="0" xfId="0" applyNumberFormat="1" applyFont="1" applyFill="1" applyBorder="1" applyAlignment="1" applyProtection="1">
      <alignment horizontal="right"/>
    </xf>
    <xf numFmtId="166" fontId="19" fillId="0" borderId="0" xfId="0" applyNumberFormat="1" applyFont="1" applyFill="1" applyBorder="1" applyAlignment="1" applyProtection="1">
      <alignment horizontal="right"/>
    </xf>
    <xf numFmtId="166" fontId="19" fillId="0" borderId="0" xfId="0" applyNumberFormat="1" applyFont="1" applyFill="1" applyBorder="1" applyAlignment="1" applyProtection="1">
      <alignment horizontal="center"/>
    </xf>
    <xf numFmtId="166" fontId="19" fillId="0" borderId="0" xfId="0" applyNumberFormat="1" applyFont="1" applyFill="1" applyBorder="1" applyAlignment="1" applyProtection="1"/>
    <xf numFmtId="3" fontId="20" fillId="0" borderId="422" xfId="0" applyNumberFormat="1" applyFont="1" applyFill="1" applyBorder="1" applyAlignment="1" applyProtection="1"/>
    <xf numFmtId="0" fontId="43" fillId="0" borderId="32" xfId="0" applyFont="1" applyFill="1" applyBorder="1" applyAlignment="1" applyProtection="1">
      <alignment wrapText="1"/>
    </xf>
    <xf numFmtId="3" fontId="50" fillId="0" borderId="0" xfId="0" applyNumberFormat="1" applyFont="1" applyFill="1" applyBorder="1" applyAlignment="1" applyProtection="1">
      <alignment horizontal="left"/>
    </xf>
    <xf numFmtId="0" fontId="43" fillId="7" borderId="0" xfId="0" applyFont="1" applyFill="1" applyBorder="1" applyAlignment="1" applyProtection="1">
      <alignment vertical="center"/>
    </xf>
    <xf numFmtId="0" fontId="40" fillId="7" borderId="0" xfId="0" applyFont="1" applyFill="1" applyBorder="1" applyAlignment="1" applyProtection="1">
      <alignment vertical="center"/>
    </xf>
    <xf numFmtId="0" fontId="59" fillId="7" borderId="0" xfId="0" applyFont="1" applyFill="1" applyBorder="1" applyAlignment="1" applyProtection="1">
      <alignment horizontal="left" vertical="center"/>
    </xf>
    <xf numFmtId="0" fontId="43" fillId="7" borderId="0" xfId="0" applyFont="1" applyFill="1" applyAlignment="1" applyProtection="1">
      <alignment vertical="center"/>
    </xf>
    <xf numFmtId="0" fontId="59" fillId="7" borderId="0" xfId="0" applyFont="1" applyFill="1" applyBorder="1" applyAlignment="1" applyProtection="1">
      <alignment horizontal="right" vertical="center"/>
    </xf>
    <xf numFmtId="0" fontId="46" fillId="18" borderId="252" xfId="0" applyFont="1" applyFill="1" applyBorder="1" applyAlignment="1" applyProtection="1">
      <alignment horizontal="center" vertical="center"/>
    </xf>
    <xf numFmtId="0" fontId="46" fillId="18" borderId="248" xfId="0" applyFont="1" applyFill="1" applyBorder="1" applyAlignment="1" applyProtection="1">
      <alignment horizontal="center" vertical="center"/>
    </xf>
    <xf numFmtId="0" fontId="46" fillId="18" borderId="249" xfId="0" applyFont="1" applyFill="1" applyBorder="1" applyAlignment="1" applyProtection="1">
      <alignment horizontal="center" vertical="center"/>
    </xf>
    <xf numFmtId="0" fontId="40" fillId="0" borderId="11" xfId="0" applyFont="1" applyFill="1" applyBorder="1" applyAlignment="1" applyProtection="1">
      <alignment horizontal="center" vertical="center"/>
    </xf>
    <xf numFmtId="0" fontId="46" fillId="8" borderId="258" xfId="0" applyFont="1" applyFill="1" applyBorder="1" applyAlignment="1" applyProtection="1">
      <alignment horizontal="center" vertical="center"/>
    </xf>
    <xf numFmtId="0" fontId="46" fillId="8" borderId="332" xfId="0" applyFont="1" applyFill="1" applyBorder="1" applyAlignment="1" applyProtection="1">
      <alignment horizontal="center" vertical="center"/>
    </xf>
    <xf numFmtId="0" fontId="46" fillId="8" borderId="260" xfId="0" applyFont="1" applyFill="1" applyBorder="1" applyAlignment="1" applyProtection="1">
      <alignment horizontal="center" vertical="center"/>
    </xf>
    <xf numFmtId="5" fontId="43" fillId="6" borderId="36" xfId="0" applyNumberFormat="1" applyFont="1" applyFill="1" applyBorder="1" applyAlignment="1" applyProtection="1">
      <alignment horizontal="right" vertical="center"/>
    </xf>
    <xf numFmtId="5" fontId="43" fillId="6" borderId="343" xfId="0" applyNumberFormat="1" applyFont="1" applyFill="1" applyBorder="1" applyAlignment="1" applyProtection="1">
      <alignment horizontal="right" vertical="center"/>
    </xf>
    <xf numFmtId="5" fontId="43" fillId="6" borderId="344" xfId="0" applyNumberFormat="1" applyFont="1" applyFill="1" applyBorder="1" applyAlignment="1" applyProtection="1">
      <alignment horizontal="right" vertical="center"/>
    </xf>
    <xf numFmtId="5" fontId="43" fillId="6" borderId="345" xfId="0" applyNumberFormat="1" applyFont="1" applyFill="1" applyBorder="1" applyAlignment="1" applyProtection="1">
      <alignment horizontal="right" vertical="center"/>
    </xf>
    <xf numFmtId="5" fontId="46" fillId="8" borderId="1" xfId="0" applyNumberFormat="1" applyFont="1" applyFill="1" applyBorder="1" applyAlignment="1" applyProtection="1">
      <alignment vertical="center"/>
    </xf>
    <xf numFmtId="5" fontId="46" fillId="8" borderId="0" xfId="0" applyNumberFormat="1" applyFont="1" applyFill="1" applyBorder="1" applyAlignment="1" applyProtection="1">
      <alignment vertical="center"/>
    </xf>
    <xf numFmtId="5" fontId="46" fillId="8" borderId="2" xfId="0" applyNumberFormat="1" applyFont="1" applyFill="1" applyBorder="1" applyAlignment="1" applyProtection="1">
      <alignment vertical="center"/>
    </xf>
    <xf numFmtId="5" fontId="46" fillId="6" borderId="314" xfId="0" applyNumberFormat="1" applyFont="1" applyFill="1" applyBorder="1" applyAlignment="1" applyProtection="1">
      <alignment vertical="center"/>
    </xf>
    <xf numFmtId="5" fontId="46" fillId="6" borderId="315" xfId="0" applyNumberFormat="1" applyFont="1" applyFill="1" applyBorder="1" applyAlignment="1" applyProtection="1">
      <alignment vertical="center"/>
    </xf>
    <xf numFmtId="5" fontId="46" fillId="6" borderId="316" xfId="0" applyNumberFormat="1" applyFont="1" applyFill="1" applyBorder="1" applyAlignment="1" applyProtection="1">
      <alignment vertical="center"/>
    </xf>
    <xf numFmtId="0" fontId="40" fillId="24" borderId="0" xfId="0" applyFont="1" applyFill="1" applyBorder="1" applyAlignment="1" applyProtection="1">
      <alignment vertical="center"/>
    </xf>
    <xf numFmtId="0" fontId="59" fillId="24" borderId="0" xfId="0" applyFont="1" applyFill="1" applyBorder="1" applyAlignment="1" applyProtection="1">
      <alignment horizontal="left" vertical="center"/>
    </xf>
    <xf numFmtId="0" fontId="59" fillId="24" borderId="0" xfId="0" applyFont="1" applyFill="1" applyBorder="1" applyAlignment="1" applyProtection="1">
      <alignment horizontal="right" vertical="center"/>
    </xf>
    <xf numFmtId="0" fontId="46" fillId="18" borderId="251" xfId="0" applyFont="1" applyFill="1" applyBorder="1" applyAlignment="1" applyProtection="1">
      <alignment horizontal="center" vertical="center" wrapText="1"/>
    </xf>
    <xf numFmtId="0" fontId="46" fillId="6" borderId="383" xfId="0" applyNumberFormat="1" applyFont="1" applyFill="1" applyBorder="1" applyAlignment="1" applyProtection="1">
      <alignment vertical="center"/>
    </xf>
    <xf numFmtId="6" fontId="43" fillId="6" borderId="343" xfId="0" applyNumberFormat="1" applyFont="1" applyFill="1" applyBorder="1" applyAlignment="1" applyProtection="1">
      <alignment horizontal="right" vertical="center"/>
    </xf>
    <xf numFmtId="6" fontId="43" fillId="6" borderId="344" xfId="0" applyNumberFormat="1" applyFont="1" applyFill="1" applyBorder="1" applyAlignment="1" applyProtection="1">
      <alignment horizontal="right" vertical="center"/>
    </xf>
    <xf numFmtId="6" fontId="43" fillId="6" borderId="345" xfId="0" applyNumberFormat="1" applyFont="1" applyFill="1" applyBorder="1" applyAlignment="1" applyProtection="1">
      <alignment horizontal="right" vertical="center"/>
    </xf>
    <xf numFmtId="6" fontId="43" fillId="8" borderId="1" xfId="0" applyNumberFormat="1" applyFont="1" applyFill="1" applyBorder="1" applyAlignment="1" applyProtection="1">
      <alignment horizontal="right" vertical="center"/>
    </xf>
    <xf numFmtId="6" fontId="43" fillId="8" borderId="0" xfId="0" applyNumberFormat="1" applyFont="1" applyFill="1" applyBorder="1" applyAlignment="1" applyProtection="1">
      <alignment horizontal="right" vertical="center"/>
    </xf>
    <xf numFmtId="6" fontId="43" fillId="8" borderId="2" xfId="0" applyNumberFormat="1" applyFont="1" applyFill="1" applyBorder="1" applyAlignment="1" applyProtection="1">
      <alignment horizontal="right" vertical="center"/>
    </xf>
    <xf numFmtId="0" fontId="46" fillId="0" borderId="0" xfId="0" applyFont="1" applyFill="1" applyBorder="1" applyAlignment="1" applyProtection="1">
      <alignment horizontal="left" vertical="center"/>
    </xf>
    <xf numFmtId="6" fontId="43" fillId="6" borderId="314" xfId="0" applyNumberFormat="1" applyFont="1" applyFill="1" applyBorder="1" applyAlignment="1" applyProtection="1">
      <alignment horizontal="right" vertical="center"/>
    </xf>
    <xf numFmtId="6" fontId="43" fillId="6" borderId="318" xfId="0" applyNumberFormat="1" applyFont="1" applyFill="1" applyBorder="1" applyAlignment="1" applyProtection="1">
      <alignment horizontal="right" vertical="center"/>
    </xf>
    <xf numFmtId="6" fontId="43" fillId="6" borderId="319" xfId="0" applyNumberFormat="1" applyFont="1" applyFill="1" applyBorder="1" applyAlignment="1" applyProtection="1">
      <alignment horizontal="right" vertical="center"/>
    </xf>
    <xf numFmtId="6" fontId="43" fillId="6" borderId="320" xfId="0" applyNumberFormat="1" applyFont="1" applyFill="1" applyBorder="1" applyAlignment="1" applyProtection="1">
      <alignment horizontal="right" vertical="center"/>
    </xf>
    <xf numFmtId="6" fontId="46" fillId="6" borderId="321" xfId="0" applyNumberFormat="1" applyFont="1" applyFill="1" applyBorder="1" applyAlignment="1" applyProtection="1">
      <alignment vertical="center"/>
    </xf>
    <xf numFmtId="6" fontId="46" fillId="6" borderId="322" xfId="0" applyNumberFormat="1" applyFont="1" applyFill="1" applyBorder="1" applyAlignment="1" applyProtection="1">
      <alignment vertical="center"/>
    </xf>
    <xf numFmtId="6" fontId="46" fillId="6" borderId="253" xfId="0" applyNumberFormat="1" applyFont="1" applyFill="1" applyBorder="1" applyAlignment="1" applyProtection="1">
      <alignment vertical="center"/>
    </xf>
    <xf numFmtId="0" fontId="18" fillId="23" borderId="0" xfId="0" applyFont="1" applyFill="1" applyBorder="1" applyProtection="1"/>
    <xf numFmtId="6" fontId="43" fillId="6" borderId="408" xfId="0" applyNumberFormat="1" applyFont="1" applyFill="1" applyBorder="1" applyAlignment="1" applyProtection="1">
      <alignment horizontal="right" vertical="center"/>
    </xf>
    <xf numFmtId="6" fontId="43" fillId="6" borderId="409" xfId="0" applyNumberFormat="1" applyFont="1" applyFill="1" applyBorder="1" applyAlignment="1" applyProtection="1">
      <alignment horizontal="right" vertical="center"/>
    </xf>
    <xf numFmtId="6" fontId="43" fillId="6" borderId="410" xfId="0" applyNumberFormat="1" applyFont="1" applyFill="1" applyBorder="1" applyAlignment="1" applyProtection="1">
      <alignment horizontal="right" vertical="center"/>
    </xf>
    <xf numFmtId="6" fontId="43" fillId="6" borderId="411" xfId="0" applyNumberFormat="1" applyFont="1" applyFill="1" applyBorder="1" applyAlignment="1" applyProtection="1">
      <alignment horizontal="right" vertical="center"/>
    </xf>
    <xf numFmtId="6" fontId="43" fillId="6" borderId="412" xfId="0" applyNumberFormat="1" applyFont="1" applyFill="1" applyBorder="1" applyAlignment="1" applyProtection="1">
      <alignment horizontal="right" vertical="center"/>
    </xf>
    <xf numFmtId="6" fontId="43" fillId="6" borderId="413" xfId="0" applyNumberFormat="1" applyFont="1" applyFill="1" applyBorder="1" applyAlignment="1" applyProtection="1">
      <alignment horizontal="right" vertical="center"/>
    </xf>
    <xf numFmtId="6" fontId="43" fillId="6" borderId="301" xfId="0" applyNumberFormat="1" applyFont="1" applyFill="1" applyBorder="1" applyAlignment="1" applyProtection="1">
      <alignment horizontal="right" vertical="center"/>
    </xf>
    <xf numFmtId="6" fontId="43" fillId="6" borderId="302" xfId="0" applyNumberFormat="1" applyFont="1" applyFill="1" applyBorder="1" applyAlignment="1" applyProtection="1">
      <alignment horizontal="right" vertical="center"/>
    </xf>
    <xf numFmtId="6" fontId="43" fillId="6" borderId="342" xfId="0" applyNumberFormat="1" applyFont="1" applyFill="1" applyBorder="1" applyAlignment="1" applyProtection="1">
      <alignment horizontal="right" vertical="center"/>
    </xf>
    <xf numFmtId="0" fontId="46" fillId="18" borderId="251" xfId="0" applyFont="1" applyFill="1" applyBorder="1" applyAlignment="1" applyProtection="1">
      <alignment horizontal="center" vertical="center"/>
    </xf>
    <xf numFmtId="0" fontId="46" fillId="18" borderId="296" xfId="0" applyFont="1" applyFill="1" applyBorder="1" applyAlignment="1" applyProtection="1">
      <alignment horizontal="center" vertical="center"/>
    </xf>
    <xf numFmtId="6" fontId="46" fillId="6" borderId="343" xfId="0" applyNumberFormat="1" applyFont="1" applyFill="1" applyBorder="1" applyAlignment="1" applyProtection="1">
      <alignment vertical="center"/>
    </xf>
    <xf numFmtId="6" fontId="46" fillId="6" borderId="344" xfId="0" applyNumberFormat="1" applyFont="1" applyFill="1" applyBorder="1" applyAlignment="1" applyProtection="1">
      <alignment vertical="center"/>
    </xf>
    <xf numFmtId="6" fontId="46" fillId="6" borderId="345" xfId="0" applyNumberFormat="1" applyFont="1" applyFill="1" applyBorder="1" applyAlignment="1" applyProtection="1">
      <alignment vertical="center"/>
    </xf>
    <xf numFmtId="6" fontId="46" fillId="8" borderId="1" xfId="0" applyNumberFormat="1" applyFont="1" applyFill="1" applyBorder="1" applyAlignment="1" applyProtection="1">
      <alignment vertical="center"/>
    </xf>
    <xf numFmtId="6" fontId="46" fillId="8" borderId="0" xfId="0" applyNumberFormat="1" applyFont="1" applyFill="1" applyBorder="1" applyAlignment="1" applyProtection="1">
      <alignment vertical="center"/>
    </xf>
    <xf numFmtId="6" fontId="46" fillId="8" borderId="2" xfId="0" applyNumberFormat="1" applyFont="1" applyFill="1" applyBorder="1" applyAlignment="1" applyProtection="1">
      <alignment vertical="center"/>
    </xf>
    <xf numFmtId="6" fontId="43" fillId="6" borderId="314" xfId="0" applyNumberFormat="1" applyFont="1" applyFill="1" applyBorder="1" applyAlignment="1" applyProtection="1">
      <alignment vertical="center"/>
    </xf>
    <xf numFmtId="6" fontId="46" fillId="6" borderId="315" xfId="0" applyNumberFormat="1" applyFont="1" applyFill="1" applyBorder="1" applyAlignment="1" applyProtection="1">
      <alignment vertical="center"/>
    </xf>
    <xf numFmtId="6" fontId="46" fillId="6" borderId="316" xfId="0" applyNumberFormat="1" applyFont="1" applyFill="1" applyBorder="1" applyAlignment="1" applyProtection="1">
      <alignment vertical="center"/>
    </xf>
    <xf numFmtId="6" fontId="46" fillId="6" borderId="298" xfId="0" applyNumberFormat="1" applyFont="1" applyFill="1" applyBorder="1" applyAlignment="1" applyProtection="1">
      <alignment vertical="center"/>
    </xf>
    <xf numFmtId="6" fontId="46" fillId="6" borderId="303" xfId="0" applyNumberFormat="1" applyFont="1" applyFill="1" applyBorder="1" applyAlignment="1" applyProtection="1">
      <alignment vertical="center"/>
    </xf>
    <xf numFmtId="6" fontId="46" fillId="6" borderId="299" xfId="0" applyNumberFormat="1" applyFont="1" applyFill="1" applyBorder="1" applyAlignment="1" applyProtection="1">
      <alignment vertical="center"/>
    </xf>
    <xf numFmtId="6" fontId="46" fillId="6" borderId="300" xfId="0" applyNumberFormat="1" applyFont="1" applyFill="1" applyBorder="1" applyAlignment="1" applyProtection="1">
      <alignment vertical="center"/>
    </xf>
    <xf numFmtId="6" fontId="43" fillId="6" borderId="349" xfId="0" applyNumberFormat="1" applyFont="1" applyFill="1" applyBorder="1" applyAlignment="1" applyProtection="1">
      <alignment horizontal="right" vertical="center"/>
    </xf>
    <xf numFmtId="0" fontId="46" fillId="18" borderId="264" xfId="0" applyFont="1" applyFill="1" applyBorder="1" applyAlignment="1" applyProtection="1">
      <alignment horizontal="center" vertical="center"/>
    </xf>
    <xf numFmtId="0" fontId="46" fillId="18" borderId="265" xfId="0" applyFont="1" applyFill="1" applyBorder="1" applyAlignment="1" applyProtection="1">
      <alignment horizontal="center" vertical="center"/>
    </xf>
    <xf numFmtId="0" fontId="46" fillId="18" borderId="266" xfId="0" applyFont="1" applyFill="1" applyBorder="1" applyAlignment="1" applyProtection="1">
      <alignment horizontal="center" vertical="center"/>
    </xf>
    <xf numFmtId="0" fontId="43" fillId="0" borderId="291" xfId="0" applyFont="1" applyFill="1" applyBorder="1" applyAlignment="1" applyProtection="1">
      <alignment horizontal="left" vertical="center"/>
    </xf>
    <xf numFmtId="0" fontId="43" fillId="0" borderId="292" xfId="0" applyFont="1" applyFill="1" applyBorder="1" applyAlignment="1" applyProtection="1">
      <alignment vertical="center"/>
    </xf>
    <xf numFmtId="0" fontId="43" fillId="0" borderId="293" xfId="0" applyFont="1" applyFill="1" applyBorder="1" applyAlignment="1" applyProtection="1">
      <alignment vertical="center"/>
    </xf>
    <xf numFmtId="0" fontId="43" fillId="0" borderId="288" xfId="0" applyFont="1" applyFill="1" applyBorder="1" applyAlignment="1" applyProtection="1">
      <alignment horizontal="left" vertical="center"/>
    </xf>
    <xf numFmtId="0" fontId="43" fillId="0" borderId="0" xfId="0" applyFont="1" applyFill="1" applyBorder="1" applyAlignment="1" applyProtection="1">
      <alignment vertical="center"/>
    </xf>
    <xf numFmtId="0" fontId="43" fillId="0" borderId="290" xfId="0" applyFont="1" applyFill="1" applyBorder="1" applyAlignment="1" applyProtection="1">
      <alignment vertical="center"/>
    </xf>
    <xf numFmtId="0" fontId="43" fillId="0" borderId="288" xfId="0" applyFont="1" applyFill="1" applyBorder="1" applyAlignment="1" applyProtection="1">
      <alignment vertical="center"/>
    </xf>
    <xf numFmtId="0" fontId="43" fillId="0" borderId="0" xfId="0" applyFont="1" applyFill="1" applyAlignment="1" applyProtection="1">
      <alignment vertical="center"/>
    </xf>
    <xf numFmtId="0" fontId="59" fillId="0" borderId="0" xfId="0" applyFont="1" applyFill="1" applyBorder="1" applyAlignment="1" applyProtection="1">
      <alignment horizontal="left" vertical="center"/>
    </xf>
    <xf numFmtId="0" fontId="59" fillId="0" borderId="0" xfId="0" applyFont="1" applyFill="1" applyBorder="1" applyAlignment="1" applyProtection="1">
      <alignment horizontal="right" vertical="center"/>
    </xf>
    <xf numFmtId="0" fontId="59" fillId="0" borderId="290" xfId="0" applyFont="1" applyFill="1" applyBorder="1" applyAlignment="1" applyProtection="1">
      <alignment horizontal="left" vertical="center"/>
    </xf>
    <xf numFmtId="0" fontId="68" fillId="0" borderId="0" xfId="0" applyFont="1" applyFill="1" applyBorder="1" applyAlignment="1" applyProtection="1">
      <alignment vertical="center"/>
    </xf>
    <xf numFmtId="0" fontId="43" fillId="0" borderId="31" xfId="0" applyFont="1" applyFill="1" applyBorder="1" applyAlignment="1" applyProtection="1">
      <alignment vertical="center"/>
    </xf>
    <xf numFmtId="0" fontId="40" fillId="0" borderId="0" xfId="0" applyFont="1" applyFill="1" applyBorder="1" applyAlignment="1" applyProtection="1">
      <alignment vertical="center"/>
    </xf>
    <xf numFmtId="0" fontId="59" fillId="0" borderId="32" xfId="0" applyFont="1" applyFill="1" applyBorder="1" applyAlignment="1" applyProtection="1">
      <alignment horizontal="left" vertical="center"/>
    </xf>
    <xf numFmtId="0" fontId="43" fillId="0" borderId="328" xfId="0" applyFont="1" applyFill="1" applyBorder="1" applyAlignment="1" applyProtection="1">
      <alignment horizontal="left" vertical="center" indent="1"/>
    </xf>
    <xf numFmtId="5" fontId="43" fillId="0" borderId="310" xfId="0" applyNumberFormat="1" applyFont="1" applyFill="1" applyBorder="1" applyAlignment="1" applyProtection="1">
      <alignment horizontal="right" vertical="center"/>
      <protection locked="0"/>
    </xf>
    <xf numFmtId="5" fontId="43" fillId="0" borderId="311" xfId="0" applyNumberFormat="1" applyFont="1" applyFill="1" applyBorder="1" applyAlignment="1" applyProtection="1">
      <alignment horizontal="right" vertical="center"/>
      <protection locked="0"/>
    </xf>
    <xf numFmtId="0" fontId="43" fillId="0" borderId="326" xfId="0" applyFont="1" applyFill="1" applyBorder="1" applyAlignment="1" applyProtection="1">
      <alignment horizontal="left" vertical="center" indent="1"/>
    </xf>
    <xf numFmtId="0" fontId="43" fillId="0" borderId="326" xfId="0" applyFont="1" applyFill="1" applyBorder="1" applyAlignment="1" applyProtection="1">
      <alignment vertical="center"/>
    </xf>
    <xf numFmtId="0" fontId="46" fillId="0" borderId="388"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0" xfId="0" quotePrefix="1"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46" fillId="0" borderId="297" xfId="0" applyFont="1" applyFill="1" applyBorder="1" applyAlignment="1" applyProtection="1">
      <alignment vertical="center"/>
    </xf>
    <xf numFmtId="0" fontId="46" fillId="0" borderId="297" xfId="0" quotePrefix="1"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8" fillId="0" borderId="328" xfId="0" applyFont="1" applyFill="1" applyBorder="1" applyAlignment="1" applyProtection="1">
      <alignment vertical="center"/>
    </xf>
    <xf numFmtId="0" fontId="48" fillId="0" borderId="297" xfId="0" applyFont="1" applyFill="1" applyBorder="1" applyAlignment="1" applyProtection="1">
      <alignment vertical="center"/>
    </xf>
    <xf numFmtId="0" fontId="40" fillId="0" borderId="0" xfId="0" applyFont="1" applyFill="1" applyBorder="1" applyAlignment="1" applyProtection="1">
      <alignment horizontal="left" vertical="center"/>
    </xf>
    <xf numFmtId="0" fontId="40" fillId="0" borderId="11" xfId="0" applyFont="1" applyFill="1" applyBorder="1" applyAlignment="1" applyProtection="1">
      <alignment horizontal="center"/>
    </xf>
    <xf numFmtId="0" fontId="40" fillId="0" borderId="0" xfId="0" applyFont="1" applyFill="1" applyBorder="1" applyAlignment="1" applyProtection="1">
      <alignment horizontal="center"/>
    </xf>
    <xf numFmtId="0" fontId="43" fillId="0" borderId="333" xfId="0" applyFont="1" applyFill="1" applyBorder="1" applyAlignment="1" applyProtection="1">
      <alignment horizontal="left" vertical="center" indent="1"/>
    </xf>
    <xf numFmtId="0" fontId="46" fillId="0" borderId="333" xfId="0" applyFont="1" applyFill="1" applyBorder="1" applyAlignment="1" applyProtection="1">
      <alignment vertical="center"/>
    </xf>
    <xf numFmtId="0" fontId="43" fillId="0" borderId="333" xfId="0" applyFont="1" applyFill="1" applyBorder="1" applyAlignment="1" applyProtection="1">
      <alignment vertical="center"/>
    </xf>
    <xf numFmtId="0" fontId="43" fillId="0" borderId="329" xfId="0" applyFont="1" applyFill="1" applyBorder="1" applyAlignment="1" applyProtection="1">
      <alignment vertical="center"/>
    </xf>
    <xf numFmtId="6" fontId="43" fillId="0" borderId="371" xfId="0" applyNumberFormat="1" applyFont="1" applyFill="1" applyBorder="1" applyAlignment="1" applyProtection="1">
      <alignment vertical="center"/>
      <protection locked="0"/>
    </xf>
    <xf numFmtId="6" fontId="43" fillId="0" borderId="372" xfId="0" applyNumberFormat="1" applyFont="1" applyFill="1" applyBorder="1" applyAlignment="1" applyProtection="1">
      <alignment vertical="center"/>
      <protection locked="0"/>
    </xf>
    <xf numFmtId="6" fontId="43" fillId="0" borderId="373" xfId="0" applyNumberFormat="1" applyFont="1" applyFill="1" applyBorder="1" applyAlignment="1" applyProtection="1">
      <alignment vertical="center"/>
      <protection locked="0"/>
    </xf>
    <xf numFmtId="0" fontId="58" fillId="0" borderId="288" xfId="0" applyFont="1" applyFill="1" applyBorder="1" applyAlignment="1" applyProtection="1">
      <alignment vertical="center"/>
    </xf>
    <xf numFmtId="0" fontId="43" fillId="0" borderId="334" xfId="0" applyFont="1" applyFill="1" applyBorder="1" applyAlignment="1" applyProtection="1">
      <alignment horizontal="left" vertical="center" indent="1"/>
    </xf>
    <xf numFmtId="0" fontId="46" fillId="0" borderId="334" xfId="0" applyFont="1" applyFill="1" applyBorder="1" applyAlignment="1" applyProtection="1">
      <alignment vertical="center"/>
    </xf>
    <xf numFmtId="0" fontId="43" fillId="0" borderId="334" xfId="0" applyFont="1" applyFill="1" applyBorder="1" applyAlignment="1" applyProtection="1">
      <alignment vertical="center"/>
    </xf>
    <xf numFmtId="0" fontId="43" fillId="0" borderId="324" xfId="0" applyFont="1" applyFill="1" applyBorder="1" applyAlignment="1" applyProtection="1">
      <alignment vertical="center"/>
    </xf>
    <xf numFmtId="6" fontId="43" fillId="0" borderId="374" xfId="0" applyNumberFormat="1" applyFont="1" applyFill="1" applyBorder="1" applyAlignment="1" applyProtection="1">
      <alignment vertical="center"/>
      <protection locked="0"/>
    </xf>
    <xf numFmtId="6" fontId="43" fillId="0" borderId="375" xfId="0" applyNumberFormat="1" applyFont="1" applyFill="1" applyBorder="1" applyAlignment="1" applyProtection="1">
      <alignment vertical="center"/>
      <protection locked="0"/>
    </xf>
    <xf numFmtId="6" fontId="43" fillId="0" borderId="376" xfId="0" applyNumberFormat="1" applyFont="1" applyFill="1" applyBorder="1" applyAlignment="1" applyProtection="1">
      <alignment vertical="center"/>
      <protection locked="0"/>
    </xf>
    <xf numFmtId="0" fontId="70" fillId="0" borderId="288" xfId="0" applyFont="1" applyFill="1" applyBorder="1" applyAlignment="1" applyProtection="1">
      <alignment vertical="center"/>
    </xf>
    <xf numFmtId="7" fontId="43" fillId="0" borderId="290" xfId="0" applyNumberFormat="1" applyFont="1" applyFill="1" applyBorder="1" applyAlignment="1" applyProtection="1">
      <alignment vertical="center"/>
    </xf>
    <xf numFmtId="0" fontId="43" fillId="0" borderId="5" xfId="0" applyFont="1" applyFill="1" applyBorder="1" applyAlignment="1" applyProtection="1">
      <alignment horizontal="left" vertical="center" indent="1"/>
    </xf>
    <xf numFmtId="0" fontId="46" fillId="0" borderId="5" xfId="0" applyFont="1" applyFill="1" applyBorder="1" applyAlignment="1" applyProtection="1">
      <alignment vertical="center"/>
    </xf>
    <xf numFmtId="0" fontId="43" fillId="0" borderId="5" xfId="0" applyFont="1" applyFill="1" applyBorder="1" applyAlignment="1" applyProtection="1">
      <alignment vertical="center"/>
    </xf>
    <xf numFmtId="6" fontId="43" fillId="0" borderId="377" xfId="0" applyNumberFormat="1" applyFont="1" applyFill="1" applyBorder="1" applyAlignment="1" applyProtection="1">
      <alignment vertical="center"/>
      <protection locked="0"/>
    </xf>
    <xf numFmtId="6" fontId="43" fillId="0" borderId="378" xfId="0" applyNumberFormat="1" applyFont="1" applyFill="1" applyBorder="1" applyAlignment="1" applyProtection="1">
      <alignment vertical="center"/>
      <protection locked="0"/>
    </xf>
    <xf numFmtId="6" fontId="43" fillId="0" borderId="379" xfId="0" applyNumberFormat="1" applyFont="1" applyFill="1" applyBorder="1" applyAlignment="1" applyProtection="1">
      <alignment vertical="center"/>
      <protection locked="0"/>
    </xf>
    <xf numFmtId="0" fontId="43" fillId="0" borderId="328" xfId="0" applyFont="1" applyFill="1" applyBorder="1" applyAlignment="1" applyProtection="1">
      <alignment horizontal="left" vertical="center"/>
    </xf>
    <xf numFmtId="0" fontId="46" fillId="0" borderId="328" xfId="0" applyFont="1" applyFill="1" applyBorder="1" applyAlignment="1" applyProtection="1">
      <alignment vertical="center"/>
    </xf>
    <xf numFmtId="6" fontId="43" fillId="0" borderId="309" xfId="0" applyNumberFormat="1" applyFont="1" applyFill="1" applyBorder="1" applyAlignment="1" applyProtection="1">
      <alignment horizontal="right" vertical="center"/>
      <protection locked="0"/>
    </xf>
    <xf numFmtId="0" fontId="43" fillId="0" borderId="5" xfId="0" applyFont="1" applyFill="1" applyBorder="1" applyAlignment="1" applyProtection="1">
      <alignment horizontal="left" vertical="center"/>
    </xf>
    <xf numFmtId="44" fontId="46" fillId="0" borderId="0" xfId="0" applyNumberFormat="1" applyFont="1" applyFill="1" applyBorder="1" applyAlignment="1" applyProtection="1">
      <alignment vertical="center"/>
    </xf>
    <xf numFmtId="6" fontId="43" fillId="0" borderId="390" xfId="0" applyNumberFormat="1" applyFont="1" applyFill="1" applyBorder="1" applyAlignment="1" applyProtection="1">
      <alignment vertical="center"/>
      <protection locked="0"/>
    </xf>
    <xf numFmtId="6" fontId="43" fillId="0" borderId="389" xfId="0" applyNumberFormat="1" applyFont="1" applyFill="1" applyBorder="1" applyAlignment="1" applyProtection="1">
      <alignment vertical="center"/>
      <protection locked="0"/>
    </xf>
    <xf numFmtId="0" fontId="46" fillId="0" borderId="297" xfId="0" applyFont="1" applyFill="1" applyBorder="1" applyAlignment="1" applyProtection="1">
      <alignment horizontal="left" vertical="center"/>
    </xf>
    <xf numFmtId="0" fontId="43" fillId="0" borderId="297" xfId="0" applyFont="1" applyFill="1" applyBorder="1" applyAlignment="1" applyProtection="1">
      <alignment vertical="center"/>
    </xf>
    <xf numFmtId="0" fontId="46" fillId="0" borderId="0" xfId="0" applyNumberFormat="1" applyFont="1" applyFill="1" applyBorder="1" applyAlignment="1" applyProtection="1">
      <alignment vertical="center"/>
    </xf>
    <xf numFmtId="6" fontId="46" fillId="0" borderId="245" xfId="0" applyNumberFormat="1" applyFont="1" applyFill="1" applyBorder="1" applyAlignment="1" applyProtection="1">
      <alignment vertical="center"/>
    </xf>
    <xf numFmtId="0" fontId="40" fillId="0" borderId="34" xfId="0" applyFont="1" applyFill="1" applyBorder="1" applyAlignment="1" applyProtection="1">
      <alignment vertical="center"/>
    </xf>
    <xf numFmtId="0" fontId="43" fillId="0" borderId="0" xfId="0" applyFont="1" applyFill="1" applyBorder="1" applyAlignment="1" applyProtection="1">
      <alignment horizontal="left" vertical="center" indent="1"/>
    </xf>
    <xf numFmtId="6" fontId="43" fillId="0" borderId="310" xfId="0" applyNumberFormat="1" applyFont="1" applyFill="1" applyBorder="1" applyAlignment="1" applyProtection="1">
      <alignment horizontal="right" vertical="center"/>
      <protection locked="0"/>
    </xf>
    <xf numFmtId="6" fontId="43" fillId="0" borderId="311" xfId="0" applyNumberFormat="1" applyFont="1" applyFill="1" applyBorder="1" applyAlignment="1" applyProtection="1">
      <alignment horizontal="right" vertical="center"/>
      <protection locked="0"/>
    </xf>
    <xf numFmtId="0" fontId="48" fillId="0" borderId="0" xfId="0" applyFont="1" applyFill="1" applyBorder="1" applyAlignment="1" applyProtection="1">
      <alignment vertical="center"/>
    </xf>
    <xf numFmtId="10" fontId="46" fillId="0" borderId="334" xfId="0" applyNumberFormat="1" applyFont="1" applyFill="1" applyBorder="1" applyAlignment="1" applyProtection="1">
      <alignment horizontal="center" vertical="center"/>
    </xf>
    <xf numFmtId="0" fontId="46" fillId="0" borderId="334" xfId="0" quotePrefix="1" applyFont="1" applyFill="1" applyBorder="1" applyAlignment="1" applyProtection="1">
      <alignment horizontal="center" vertical="center"/>
    </xf>
    <xf numFmtId="0" fontId="46" fillId="0" borderId="5" xfId="0" quotePrefix="1" applyFont="1" applyFill="1" applyBorder="1" applyAlignment="1" applyProtection="1">
      <alignment horizontal="center" vertical="center"/>
    </xf>
    <xf numFmtId="0" fontId="43" fillId="0" borderId="0" xfId="0" applyFont="1" applyFill="1" applyBorder="1" applyAlignment="1" applyProtection="1">
      <alignment horizontal="left" vertical="center"/>
    </xf>
    <xf numFmtId="6" fontId="43" fillId="0" borderId="314" xfId="0" applyNumberFormat="1" applyFont="1" applyFill="1" applyBorder="1" applyAlignment="1" applyProtection="1">
      <alignment horizontal="right" vertical="center"/>
      <protection locked="0"/>
    </xf>
    <xf numFmtId="6" fontId="43" fillId="0" borderId="315" xfId="0" applyNumberFormat="1" applyFont="1" applyFill="1" applyBorder="1" applyAlignment="1" applyProtection="1">
      <alignment horizontal="right" vertical="center"/>
      <protection locked="0"/>
    </xf>
    <xf numFmtId="6" fontId="43" fillId="0" borderId="316" xfId="0" applyNumberFormat="1" applyFont="1" applyFill="1" applyBorder="1" applyAlignment="1" applyProtection="1">
      <alignment horizontal="right" vertical="center"/>
      <protection locked="0"/>
    </xf>
    <xf numFmtId="0" fontId="22" fillId="0" borderId="0" xfId="0" applyFont="1" applyFill="1" applyProtection="1"/>
    <xf numFmtId="0" fontId="66" fillId="0" borderId="332" xfId="0" applyFont="1" applyFill="1" applyBorder="1" applyAlignment="1" applyProtection="1">
      <alignment horizontal="right" vertical="center"/>
    </xf>
    <xf numFmtId="49" fontId="46" fillId="0" borderId="23" xfId="0" applyNumberFormat="1" applyFont="1" applyFill="1" applyBorder="1" applyAlignment="1" applyProtection="1">
      <alignment vertical="center"/>
    </xf>
    <xf numFmtId="0" fontId="21" fillId="7" borderId="0" xfId="0" applyFont="1" applyFill="1" applyBorder="1" applyAlignment="1" applyProtection="1">
      <alignment vertical="center"/>
    </xf>
    <xf numFmtId="166" fontId="43" fillId="6" borderId="309" xfId="0" applyNumberFormat="1" applyFont="1" applyFill="1" applyBorder="1" applyAlignment="1" applyProtection="1">
      <alignment horizontal="right" vertical="center"/>
    </xf>
    <xf numFmtId="166" fontId="43" fillId="6" borderId="36" xfId="0" applyNumberFormat="1" applyFont="1" applyFill="1" applyBorder="1" applyAlignment="1" applyProtection="1">
      <alignment vertical="center"/>
    </xf>
    <xf numFmtId="166" fontId="43" fillId="6" borderId="36" xfId="0" applyNumberFormat="1" applyFont="1" applyFill="1" applyBorder="1" applyAlignment="1" applyProtection="1">
      <alignment horizontal="right" vertical="center"/>
    </xf>
    <xf numFmtId="0" fontId="21" fillId="24" borderId="0" xfId="0" applyFont="1" applyFill="1" applyBorder="1" applyAlignment="1" applyProtection="1">
      <alignment vertical="center"/>
    </xf>
    <xf numFmtId="0" fontId="46" fillId="0" borderId="0" xfId="0" applyFont="1" applyFill="1" applyBorder="1" applyAlignment="1" applyProtection="1">
      <alignment horizontal="left" vertical="center" indent="1"/>
    </xf>
    <xf numFmtId="0" fontId="18" fillId="0" borderId="453" xfId="0" applyFont="1" applyFill="1" applyBorder="1" applyProtection="1">
      <protection locked="0"/>
    </xf>
    <xf numFmtId="0" fontId="18" fillId="0" borderId="351" xfId="0" applyFont="1" applyFill="1" applyBorder="1" applyProtection="1">
      <protection locked="0"/>
    </xf>
    <xf numFmtId="0" fontId="46" fillId="0" borderId="0" xfId="0" applyFont="1" applyFill="1" applyBorder="1" applyAlignment="1" applyProtection="1">
      <alignment vertical="center" wrapText="1"/>
    </xf>
    <xf numFmtId="0" fontId="46" fillId="0" borderId="2" xfId="0" applyFont="1" applyFill="1" applyBorder="1" applyAlignment="1" applyProtection="1">
      <alignment vertical="center" wrapText="1"/>
    </xf>
    <xf numFmtId="0" fontId="43" fillId="0" borderId="259" xfId="0" applyFont="1" applyFill="1" applyBorder="1" applyAlignment="1" applyProtection="1">
      <alignment vertical="center"/>
    </xf>
    <xf numFmtId="0" fontId="18" fillId="0" borderId="352" xfId="0" applyFont="1" applyFill="1" applyBorder="1" applyProtection="1">
      <protection locked="0"/>
    </xf>
    <xf numFmtId="0" fontId="43" fillId="21" borderId="1" xfId="0" applyFont="1" applyFill="1" applyBorder="1" applyProtection="1"/>
    <xf numFmtId="0" fontId="18" fillId="21" borderId="0" xfId="0" applyFont="1" applyFill="1" applyBorder="1" applyAlignment="1" applyProtection="1"/>
    <xf numFmtId="0" fontId="18" fillId="21" borderId="0" xfId="0" applyFont="1" applyFill="1" applyBorder="1" applyProtection="1"/>
    <xf numFmtId="0" fontId="18" fillId="21" borderId="2" xfId="0" applyFont="1" applyFill="1" applyBorder="1" applyProtection="1"/>
    <xf numFmtId="0" fontId="18" fillId="5" borderId="417" xfId="0" applyFont="1" applyFill="1" applyBorder="1" applyAlignment="1" applyProtection="1">
      <alignment horizontal="center" vertical="center" wrapText="1"/>
      <protection locked="0"/>
    </xf>
    <xf numFmtId="0" fontId="18" fillId="5" borderId="418" xfId="0" applyFont="1" applyFill="1" applyBorder="1" applyAlignment="1" applyProtection="1">
      <alignment horizontal="center" vertical="center" wrapText="1"/>
      <protection locked="0"/>
    </xf>
    <xf numFmtId="0" fontId="18" fillId="5" borderId="419" xfId="0" applyFont="1" applyFill="1" applyBorder="1" applyAlignment="1" applyProtection="1">
      <alignment horizontal="center" vertical="center"/>
      <protection locked="0"/>
    </xf>
    <xf numFmtId="0" fontId="18" fillId="0" borderId="0" xfId="0" applyFont="1" applyBorder="1" applyAlignment="1" applyProtection="1">
      <alignment wrapText="1"/>
    </xf>
    <xf numFmtId="0" fontId="53" fillId="0" borderId="291" xfId="0" applyFont="1" applyFill="1" applyBorder="1" applyAlignment="1" applyProtection="1">
      <alignment horizontal="left" wrapText="1"/>
    </xf>
    <xf numFmtId="0" fontId="18" fillId="0" borderId="292" xfId="0" applyFont="1" applyFill="1" applyBorder="1" applyAlignment="1" applyProtection="1">
      <alignment wrapText="1"/>
    </xf>
    <xf numFmtId="0" fontId="18" fillId="0" borderId="420" xfId="0" applyFont="1" applyFill="1" applyBorder="1" applyAlignment="1" applyProtection="1">
      <alignment wrapText="1"/>
    </xf>
    <xf numFmtId="0" fontId="18" fillId="0" borderId="293" xfId="0" applyFont="1" applyBorder="1" applyAlignment="1" applyProtection="1">
      <alignment wrapText="1"/>
    </xf>
    <xf numFmtId="0" fontId="53" fillId="0" borderId="288" xfId="0" applyFont="1" applyFill="1" applyBorder="1" applyAlignment="1" applyProtection="1">
      <alignment horizontal="left" wrapText="1"/>
    </xf>
    <xf numFmtId="0" fontId="18" fillId="0" borderId="290" xfId="0" applyFont="1" applyBorder="1" applyAlignment="1" applyProtection="1">
      <alignment wrapText="1"/>
    </xf>
    <xf numFmtId="0" fontId="18" fillId="0" borderId="0" xfId="0" applyFont="1" applyFill="1" applyBorder="1" applyAlignment="1" applyProtection="1">
      <alignment wrapText="1"/>
    </xf>
    <xf numFmtId="0" fontId="43" fillId="0" borderId="288" xfId="0" applyFont="1" applyFill="1" applyBorder="1" applyAlignment="1" applyProtection="1">
      <alignment horizontal="left" wrapText="1"/>
    </xf>
    <xf numFmtId="0" fontId="43" fillId="0" borderId="0" xfId="0" applyFont="1" applyAlignment="1" applyProtection="1">
      <alignment wrapText="1"/>
    </xf>
    <xf numFmtId="0" fontId="43" fillId="0" borderId="290" xfId="0" applyFont="1" applyBorder="1" applyAlignment="1" applyProtection="1">
      <alignment wrapText="1"/>
    </xf>
    <xf numFmtId="0" fontId="43" fillId="0" borderId="0" xfId="0" applyFont="1" applyFill="1" applyBorder="1" applyAlignment="1" applyProtection="1">
      <alignment wrapText="1"/>
    </xf>
    <xf numFmtId="0" fontId="20" fillId="0" borderId="0" xfId="0" applyFont="1" applyFill="1" applyBorder="1" applyAlignment="1" applyProtection="1"/>
    <xf numFmtId="0" fontId="20" fillId="0" borderId="0" xfId="0" applyFont="1" applyFill="1" applyBorder="1" applyAlignment="1" applyProtection="1">
      <alignment wrapText="1"/>
    </xf>
    <xf numFmtId="0" fontId="18" fillId="0" borderId="288" xfId="0" applyFont="1" applyFill="1" applyBorder="1" applyAlignment="1" applyProtection="1">
      <alignment wrapText="1"/>
    </xf>
    <xf numFmtId="0" fontId="46" fillId="18" borderId="296" xfId="0" applyFont="1" applyFill="1" applyBorder="1" applyAlignment="1" applyProtection="1">
      <alignment horizontal="center" vertical="center" wrapText="1"/>
    </xf>
    <xf numFmtId="0" fontId="46" fillId="18" borderId="248" xfId="0" applyFont="1" applyFill="1" applyBorder="1" applyAlignment="1" applyProtection="1">
      <alignment horizontal="center" vertical="center" wrapText="1"/>
    </xf>
    <xf numFmtId="0" fontId="46" fillId="18" borderId="249" xfId="0" applyFont="1" applyFill="1" applyBorder="1" applyAlignment="1" applyProtection="1">
      <alignment horizontal="center" vertical="center" wrapText="1"/>
    </xf>
    <xf numFmtId="0" fontId="74" fillId="0" borderId="288" xfId="0" applyFont="1" applyFill="1" applyBorder="1" applyAlignment="1" applyProtection="1">
      <alignment wrapText="1"/>
    </xf>
    <xf numFmtId="0" fontId="18" fillId="5" borderId="403" xfId="0" applyFont="1" applyFill="1" applyBorder="1" applyAlignment="1" applyProtection="1">
      <alignment horizontal="center" wrapText="1"/>
      <protection locked="0"/>
    </xf>
    <xf numFmtId="0" fontId="18" fillId="5" borderId="400" xfId="0" applyFont="1" applyFill="1" applyBorder="1" applyAlignment="1" applyProtection="1">
      <alignment horizontal="center" wrapText="1"/>
      <protection locked="0"/>
    </xf>
    <xf numFmtId="0" fontId="18" fillId="0" borderId="48" xfId="0" applyFont="1" applyBorder="1" applyAlignment="1" applyProtection="1">
      <alignment horizontal="center" wrapText="1"/>
      <protection locked="0"/>
    </xf>
    <xf numFmtId="0" fontId="18" fillId="0" borderId="48" xfId="0" applyFont="1" applyBorder="1" applyAlignment="1" applyProtection="1">
      <alignment horizontal="left" wrapText="1"/>
      <protection locked="0"/>
    </xf>
    <xf numFmtId="49" fontId="18" fillId="0" borderId="48" xfId="0" applyNumberFormat="1" applyFont="1" applyFill="1" applyBorder="1" applyAlignment="1" applyProtection="1">
      <alignment horizontal="center" wrapText="1"/>
      <protection locked="0"/>
    </xf>
    <xf numFmtId="49" fontId="18" fillId="0" borderId="51" xfId="0" applyNumberFormat="1" applyFont="1" applyFill="1" applyBorder="1" applyAlignment="1" applyProtection="1">
      <alignment horizontal="center" wrapText="1"/>
      <protection locked="0"/>
    </xf>
    <xf numFmtId="0" fontId="18" fillId="5" borderId="404" xfId="0" applyFont="1" applyFill="1" applyBorder="1" applyAlignment="1" applyProtection="1">
      <alignment horizontal="center" wrapText="1"/>
      <protection locked="0"/>
    </xf>
    <xf numFmtId="0" fontId="18" fillId="5" borderId="401" xfId="0" applyFont="1" applyFill="1" applyBorder="1" applyAlignment="1" applyProtection="1">
      <alignment horizontal="center" wrapText="1"/>
      <protection locked="0"/>
    </xf>
    <xf numFmtId="0" fontId="18" fillId="0" borderId="46" xfId="0" applyFont="1" applyBorder="1" applyAlignment="1" applyProtection="1">
      <alignment horizontal="center" wrapText="1"/>
      <protection locked="0"/>
    </xf>
    <xf numFmtId="0" fontId="18" fillId="0" borderId="46" xfId="0" applyFont="1" applyBorder="1" applyAlignment="1" applyProtection="1">
      <alignment horizontal="left" wrapText="1"/>
      <protection locked="0"/>
    </xf>
    <xf numFmtId="49" fontId="18" fillId="0" borderId="46" xfId="0" applyNumberFormat="1" applyFont="1" applyFill="1" applyBorder="1" applyAlignment="1" applyProtection="1">
      <alignment horizontal="center" wrapText="1"/>
      <protection locked="0"/>
    </xf>
    <xf numFmtId="49" fontId="18" fillId="0" borderId="37" xfId="0" applyNumberFormat="1" applyFont="1" applyFill="1" applyBorder="1" applyAlignment="1" applyProtection="1">
      <alignment horizontal="center" wrapText="1"/>
      <protection locked="0"/>
    </xf>
    <xf numFmtId="0" fontId="18" fillId="0" borderId="46" xfId="0" applyFont="1" applyFill="1" applyBorder="1" applyAlignment="1" applyProtection="1">
      <alignment horizontal="center" wrapText="1"/>
      <protection locked="0"/>
    </xf>
    <xf numFmtId="0" fontId="57" fillId="0" borderId="288" xfId="0" applyFont="1" applyFill="1" applyBorder="1" applyAlignment="1" applyProtection="1">
      <alignment wrapText="1"/>
    </xf>
    <xf numFmtId="0" fontId="22" fillId="5" borderId="405" xfId="0" applyFont="1" applyFill="1" applyBorder="1" applyAlignment="1" applyProtection="1">
      <alignment horizontal="center" wrapText="1"/>
      <protection locked="0"/>
    </xf>
    <xf numFmtId="0" fontId="22" fillId="5" borderId="402" xfId="0" applyFont="1" applyFill="1" applyBorder="1" applyAlignment="1" applyProtection="1">
      <alignment horizontal="center" wrapText="1"/>
      <protection locked="0"/>
    </xf>
    <xf numFmtId="0" fontId="22" fillId="0" borderId="50" xfId="0" applyFont="1" applyBorder="1" applyAlignment="1" applyProtection="1">
      <alignment horizontal="center" wrapText="1"/>
      <protection locked="0"/>
    </xf>
    <xf numFmtId="0" fontId="22" fillId="0" borderId="50" xfId="0" applyFont="1" applyBorder="1" applyAlignment="1" applyProtection="1">
      <alignment wrapText="1"/>
      <protection locked="0"/>
    </xf>
    <xf numFmtId="49" fontId="18" fillId="0" borderId="50" xfId="0" applyNumberFormat="1" applyFont="1" applyFill="1" applyBorder="1" applyAlignment="1" applyProtection="1">
      <alignment horizontal="center" wrapText="1"/>
      <protection locked="0"/>
    </xf>
    <xf numFmtId="49" fontId="18" fillId="0" borderId="52" xfId="0" applyNumberFormat="1" applyFont="1" applyFill="1" applyBorder="1" applyAlignment="1" applyProtection="1">
      <alignment horizontal="center" wrapText="1"/>
      <protection locked="0"/>
    </xf>
    <xf numFmtId="0" fontId="18" fillId="0" borderId="48" xfId="0" applyFont="1" applyBorder="1" applyAlignment="1" applyProtection="1">
      <alignment wrapText="1"/>
      <protection locked="0"/>
    </xf>
    <xf numFmtId="0" fontId="18" fillId="0" borderId="46" xfId="0" applyFont="1" applyBorder="1" applyAlignment="1" applyProtection="1">
      <alignment wrapText="1"/>
      <protection locked="0"/>
    </xf>
    <xf numFmtId="0" fontId="18" fillId="0" borderId="46" xfId="0" applyFont="1" applyFill="1" applyBorder="1" applyAlignment="1" applyProtection="1">
      <alignment wrapText="1"/>
      <protection locked="0"/>
    </xf>
    <xf numFmtId="0" fontId="18" fillId="0" borderId="289" xfId="0" applyFont="1" applyFill="1" applyBorder="1" applyAlignment="1" applyProtection="1">
      <alignment wrapText="1"/>
    </xf>
    <xf numFmtId="0" fontId="22" fillId="0" borderId="294" xfId="0" applyFont="1" applyBorder="1" applyAlignment="1" applyProtection="1">
      <alignment wrapText="1"/>
    </xf>
    <xf numFmtId="0" fontId="18" fillId="0" borderId="295" xfId="0" applyFont="1" applyBorder="1" applyAlignment="1" applyProtection="1">
      <alignment wrapText="1"/>
    </xf>
    <xf numFmtId="0" fontId="20" fillId="0" borderId="455" xfId="0" applyFont="1" applyFill="1" applyBorder="1" applyAlignment="1" applyProtection="1"/>
    <xf numFmtId="0" fontId="18" fillId="0" borderId="292" xfId="0" applyFont="1" applyFill="1" applyBorder="1" applyAlignment="1" applyProtection="1"/>
    <xf numFmtId="0" fontId="75" fillId="0" borderId="290" xfId="0" applyFont="1" applyFill="1" applyBorder="1" applyAlignment="1" applyProtection="1">
      <alignment horizontal="left" vertical="center" wrapText="1"/>
    </xf>
    <xf numFmtId="0" fontId="22" fillId="0" borderId="0" xfId="0" applyFont="1" applyBorder="1" applyAlignment="1" applyProtection="1"/>
    <xf numFmtId="0" fontId="18" fillId="5" borderId="405" xfId="0" applyFont="1" applyFill="1" applyBorder="1" applyAlignment="1" applyProtection="1">
      <alignment horizontal="center" wrapText="1"/>
      <protection locked="0"/>
    </xf>
    <xf numFmtId="0" fontId="18" fillId="5" borderId="402" xfId="0" applyFont="1" applyFill="1" applyBorder="1" applyAlignment="1" applyProtection="1">
      <alignment horizontal="center" wrapText="1"/>
      <protection locked="0"/>
    </xf>
    <xf numFmtId="0" fontId="18" fillId="0" borderId="50" xfId="0" applyFont="1" applyBorder="1" applyAlignment="1" applyProtection="1">
      <alignment wrapText="1"/>
      <protection locked="0"/>
    </xf>
    <xf numFmtId="0" fontId="22" fillId="0" borderId="294" xfId="0" applyFont="1" applyBorder="1" applyAlignment="1" applyProtection="1"/>
    <xf numFmtId="0" fontId="20" fillId="0" borderId="5" xfId="0" applyFont="1" applyFill="1" applyBorder="1" applyAlignment="1" applyProtection="1"/>
    <xf numFmtId="0" fontId="18" fillId="0" borderId="399" xfId="0" applyFont="1" applyBorder="1" applyAlignment="1" applyProtection="1">
      <protection locked="0"/>
    </xf>
    <xf numFmtId="0" fontId="18" fillId="0" borderId="326" xfId="0" applyFont="1" applyBorder="1" applyAlignment="1" applyProtection="1">
      <protection locked="0"/>
    </xf>
    <xf numFmtId="0" fontId="18" fillId="0" borderId="326" xfId="0" applyFont="1" applyFill="1" applyBorder="1" applyAlignment="1" applyProtection="1">
      <protection locked="0"/>
    </xf>
    <xf numFmtId="0" fontId="18" fillId="0" borderId="330" xfId="0" applyFont="1" applyBorder="1" applyAlignment="1" applyProtection="1">
      <protection locked="0"/>
    </xf>
    <xf numFmtId="0" fontId="47" fillId="6" borderId="78" xfId="0" applyFont="1" applyFill="1" applyBorder="1" applyAlignment="1" applyProtection="1">
      <alignment vertical="center"/>
    </xf>
    <xf numFmtId="0" fontId="47" fillId="6" borderId="76" xfId="0" applyFont="1" applyFill="1" applyBorder="1" applyAlignment="1" applyProtection="1">
      <alignment vertical="center"/>
    </xf>
    <xf numFmtId="0" fontId="47" fillId="6" borderId="79" xfId="0" applyFont="1" applyFill="1" applyBorder="1" applyAlignment="1" applyProtection="1">
      <alignment vertical="center"/>
    </xf>
    <xf numFmtId="0" fontId="46" fillId="18" borderId="281" xfId="0" applyFont="1" applyFill="1" applyBorder="1" applyAlignment="1" applyProtection="1">
      <alignment vertical="center"/>
    </xf>
    <xf numFmtId="0" fontId="46" fillId="18" borderId="446" xfId="0" applyFont="1" applyFill="1" applyBorder="1" applyAlignment="1" applyProtection="1">
      <alignment vertical="center"/>
    </xf>
    <xf numFmtId="0" fontId="46" fillId="18" borderId="441" xfId="0" applyFont="1" applyFill="1" applyBorder="1" applyAlignment="1" applyProtection="1">
      <alignment horizontal="center" vertical="center" wrapText="1"/>
    </xf>
    <xf numFmtId="0" fontId="18" fillId="0" borderId="61" xfId="0" applyFont="1" applyFill="1" applyBorder="1" applyAlignment="1" applyProtection="1">
      <protection locked="0"/>
    </xf>
    <xf numFmtId="0" fontId="46" fillId="18" borderId="446" xfId="0" applyFont="1" applyFill="1" applyBorder="1" applyAlignment="1" applyProtection="1">
      <alignment vertical="center" wrapText="1"/>
    </xf>
    <xf numFmtId="0" fontId="18" fillId="0" borderId="50" xfId="0" applyFont="1" applyFill="1" applyBorder="1" applyAlignment="1" applyProtection="1">
      <alignment horizontal="center" wrapText="1"/>
      <protection locked="0"/>
    </xf>
    <xf numFmtId="0" fontId="22" fillId="0" borderId="0" xfId="0" applyFont="1" applyBorder="1" applyAlignment="1" applyProtection="1">
      <alignment wrapText="1"/>
    </xf>
    <xf numFmtId="0" fontId="18" fillId="0" borderId="291" xfId="0" applyFont="1" applyFill="1" applyBorder="1" applyAlignment="1" applyProtection="1">
      <alignment horizontal="left" wrapText="1"/>
    </xf>
    <xf numFmtId="0" fontId="18" fillId="0" borderId="288" xfId="0" applyFont="1" applyFill="1" applyBorder="1" applyAlignment="1" applyProtection="1">
      <alignment horizontal="left" wrapText="1"/>
    </xf>
    <xf numFmtId="0" fontId="75" fillId="0" borderId="0" xfId="0" applyFont="1" applyBorder="1" applyAlignment="1" applyProtection="1">
      <alignment horizontal="left" vertical="center" wrapText="1"/>
    </xf>
    <xf numFmtId="49" fontId="18" fillId="0" borderId="384" xfId="0" applyNumberFormat="1" applyFont="1" applyFill="1" applyBorder="1" applyAlignment="1" applyProtection="1">
      <alignment horizontal="center" wrapText="1"/>
      <protection locked="0"/>
    </xf>
    <xf numFmtId="49" fontId="18" fillId="0" borderId="73" xfId="0" applyNumberFormat="1" applyFont="1" applyFill="1" applyBorder="1" applyAlignment="1" applyProtection="1">
      <alignment horizontal="center" wrapText="1"/>
      <protection locked="0"/>
    </xf>
    <xf numFmtId="49" fontId="18" fillId="0" borderId="385" xfId="0" applyNumberFormat="1" applyFont="1" applyFill="1" applyBorder="1" applyAlignment="1" applyProtection="1">
      <alignment horizontal="center" wrapText="1"/>
      <protection locked="0"/>
    </xf>
    <xf numFmtId="0" fontId="18" fillId="0" borderId="460" xfId="0" applyFont="1" applyBorder="1" applyAlignment="1" applyProtection="1">
      <alignment horizontal="center" wrapText="1"/>
      <protection locked="0"/>
    </xf>
    <xf numFmtId="0" fontId="18" fillId="0" borderId="461" xfId="0" applyFont="1" applyBorder="1" applyAlignment="1" applyProtection="1">
      <alignment horizontal="center" wrapText="1"/>
      <protection locked="0"/>
    </xf>
    <xf numFmtId="0" fontId="18" fillId="0" borderId="462" xfId="0" applyFont="1" applyBorder="1" applyAlignment="1" applyProtection="1">
      <alignment horizontal="center" wrapText="1"/>
      <protection locked="0"/>
    </xf>
    <xf numFmtId="0" fontId="18" fillId="0" borderId="128" xfId="0" applyFont="1" applyBorder="1" applyAlignment="1">
      <alignment vertical="center"/>
    </xf>
    <xf numFmtId="0" fontId="18" fillId="0" borderId="3" xfId="0" applyFont="1" applyBorder="1" applyAlignment="1">
      <alignment vertical="center"/>
    </xf>
    <xf numFmtId="44" fontId="3" fillId="3" borderId="96" xfId="0" applyNumberFormat="1" applyFont="1" applyFill="1" applyBorder="1" applyAlignment="1" applyProtection="1">
      <protection locked="0"/>
    </xf>
    <xf numFmtId="0" fontId="0" fillId="0" borderId="127" xfId="0" applyBorder="1"/>
    <xf numFmtId="1" fontId="6" fillId="2" borderId="465" xfId="0" applyNumberFormat="1" applyFont="1" applyFill="1" applyBorder="1" applyAlignment="1" applyProtection="1">
      <alignment vertical="center"/>
    </xf>
    <xf numFmtId="0" fontId="18" fillId="0" borderId="1" xfId="0" applyFont="1" applyFill="1" applyBorder="1" applyAlignment="1" applyProtection="1">
      <alignment wrapText="1"/>
    </xf>
    <xf numFmtId="0" fontId="18" fillId="0" borderId="1" xfId="0" applyFont="1" applyFill="1" applyBorder="1" applyProtection="1"/>
    <xf numFmtId="0" fontId="18" fillId="0" borderId="27" xfId="0" applyFont="1" applyFill="1" applyBorder="1" applyProtection="1">
      <protection locked="0"/>
    </xf>
    <xf numFmtId="0" fontId="18" fillId="0" borderId="1" xfId="0" applyFont="1" applyFill="1" applyBorder="1" applyAlignment="1" applyProtection="1"/>
    <xf numFmtId="0" fontId="18" fillId="0" borderId="10" xfId="0" applyFont="1" applyFill="1" applyBorder="1" applyProtection="1"/>
    <xf numFmtId="0" fontId="18" fillId="0" borderId="27" xfId="0" applyFont="1" applyFill="1" applyBorder="1" applyAlignment="1" applyProtection="1">
      <alignment horizontal="left"/>
      <protection locked="0"/>
    </xf>
    <xf numFmtId="0" fontId="63" fillId="0" borderId="259" xfId="0" applyFont="1" applyFill="1" applyBorder="1" applyAlignment="1" applyProtection="1"/>
    <xf numFmtId="0" fontId="18" fillId="0" borderId="126" xfId="0" applyFont="1" applyFill="1" applyBorder="1" applyProtection="1"/>
    <xf numFmtId="0" fontId="18" fillId="0" borderId="12" xfId="0" applyFont="1" applyFill="1" applyBorder="1" applyProtection="1"/>
    <xf numFmtId="0" fontId="18" fillId="0" borderId="163" xfId="0" applyFont="1" applyFill="1" applyBorder="1" applyProtection="1"/>
    <xf numFmtId="0" fontId="22" fillId="0" borderId="0" xfId="0" applyFont="1" applyFill="1" applyBorder="1" applyProtection="1"/>
    <xf numFmtId="0" fontId="43" fillId="0" borderId="1" xfId="0" applyFont="1" applyFill="1" applyBorder="1" applyProtection="1"/>
    <xf numFmtId="166" fontId="43" fillId="0" borderId="64" xfId="0" applyNumberFormat="1" applyFont="1" applyFill="1" applyBorder="1" applyProtection="1">
      <protection locked="0"/>
    </xf>
    <xf numFmtId="166" fontId="43" fillId="0" borderId="65" xfId="0" applyNumberFormat="1" applyFont="1" applyFill="1" applyBorder="1" applyProtection="1">
      <protection locked="0"/>
    </xf>
    <xf numFmtId="166" fontId="43" fillId="0" borderId="66" xfId="0" applyNumberFormat="1" applyFont="1" applyFill="1" applyBorder="1" applyProtection="1">
      <protection locked="0"/>
    </xf>
    <xf numFmtId="166" fontId="43" fillId="0" borderId="67" xfId="0" applyNumberFormat="1" applyFont="1" applyFill="1" applyBorder="1" applyProtection="1">
      <protection locked="0"/>
    </xf>
    <xf numFmtId="166" fontId="43" fillId="0" borderId="68" xfId="0" applyNumberFormat="1" applyFont="1" applyFill="1" applyBorder="1" applyProtection="1">
      <protection locked="0"/>
    </xf>
    <xf numFmtId="166" fontId="43" fillId="0" borderId="69" xfId="0" applyNumberFormat="1" applyFont="1" applyFill="1" applyBorder="1" applyProtection="1">
      <protection locked="0"/>
    </xf>
    <xf numFmtId="166" fontId="43" fillId="6" borderId="280" xfId="0" applyNumberFormat="1" applyFont="1" applyFill="1" applyBorder="1" applyProtection="1"/>
    <xf numFmtId="166" fontId="43" fillId="6" borderId="278" xfId="0" applyNumberFormat="1" applyFont="1" applyFill="1" applyBorder="1" applyProtection="1"/>
    <xf numFmtId="166" fontId="43" fillId="6" borderId="275" xfId="0" applyNumberFormat="1" applyFont="1" applyFill="1" applyBorder="1" applyProtection="1"/>
    <xf numFmtId="5" fontId="43" fillId="6" borderId="161" xfId="0" applyNumberFormat="1" applyFont="1" applyFill="1" applyBorder="1" applyAlignment="1" applyProtection="1">
      <alignment horizontal="right"/>
    </xf>
    <xf numFmtId="5" fontId="43" fillId="6" borderId="467" xfId="0" applyNumberFormat="1" applyFont="1" applyFill="1" applyBorder="1" applyAlignment="1" applyProtection="1">
      <alignment horizontal="right"/>
    </xf>
    <xf numFmtId="0" fontId="40" fillId="18" borderId="468" xfId="0" applyFont="1" applyFill="1" applyBorder="1" applyAlignment="1" applyProtection="1">
      <alignment horizontal="center"/>
    </xf>
    <xf numFmtId="5" fontId="43" fillId="18" borderId="4" xfId="0" applyNumberFormat="1" applyFont="1" applyFill="1" applyBorder="1" applyProtection="1"/>
    <xf numFmtId="166" fontId="18" fillId="6" borderId="154" xfId="0" applyNumberFormat="1" applyFont="1" applyFill="1" applyBorder="1" applyAlignment="1" applyProtection="1">
      <alignment horizontal="right" wrapText="1"/>
    </xf>
    <xf numFmtId="166" fontId="18" fillId="0" borderId="469" xfId="0" applyNumberFormat="1" applyFont="1" applyFill="1" applyBorder="1" applyAlignment="1" applyProtection="1">
      <protection locked="0"/>
    </xf>
    <xf numFmtId="166" fontId="18" fillId="0" borderId="470" xfId="0" applyNumberFormat="1" applyFont="1" applyFill="1" applyBorder="1" applyAlignment="1" applyProtection="1">
      <protection locked="0"/>
    </xf>
    <xf numFmtId="3" fontId="20" fillId="0" borderId="0" xfId="0" applyNumberFormat="1" applyFont="1" applyFill="1" applyBorder="1" applyAlignment="1" applyProtection="1">
      <alignment horizontal="center"/>
    </xf>
    <xf numFmtId="0" fontId="18" fillId="0" borderId="2" xfId="0" applyFont="1" applyFill="1" applyBorder="1" applyAlignment="1" applyProtection="1"/>
    <xf numFmtId="168" fontId="43" fillId="6" borderId="395" xfId="0" applyNumberFormat="1" applyFont="1" applyFill="1" applyBorder="1" applyAlignment="1" applyProtection="1">
      <alignment horizontal="right" vertical="center"/>
    </xf>
    <xf numFmtId="0" fontId="43" fillId="6" borderId="396" xfId="0" applyNumberFormat="1" applyFont="1" applyFill="1" applyBorder="1" applyAlignment="1" applyProtection="1">
      <alignment horizontal="right" vertical="center"/>
    </xf>
    <xf numFmtId="0" fontId="43" fillId="6" borderId="397" xfId="0" applyNumberFormat="1" applyFont="1" applyFill="1" applyBorder="1" applyAlignment="1" applyProtection="1">
      <alignment horizontal="right" vertical="center"/>
    </xf>
    <xf numFmtId="0" fontId="43" fillId="6" borderId="267" xfId="0" applyNumberFormat="1" applyFont="1" applyFill="1" applyBorder="1" applyAlignment="1" applyProtection="1">
      <alignment horizontal="right" vertical="center"/>
    </xf>
    <xf numFmtId="0" fontId="43" fillId="6" borderId="268" xfId="0" applyNumberFormat="1" applyFont="1" applyFill="1" applyBorder="1" applyAlignment="1" applyProtection="1">
      <alignment horizontal="right" vertical="center"/>
    </xf>
    <xf numFmtId="0" fontId="43" fillId="6" borderId="269" xfId="0" applyNumberFormat="1" applyFont="1" applyFill="1" applyBorder="1" applyAlignment="1" applyProtection="1">
      <alignment horizontal="right" vertical="center"/>
    </xf>
    <xf numFmtId="0" fontId="43" fillId="6" borderId="395" xfId="0" applyNumberFormat="1" applyFont="1" applyFill="1" applyBorder="1" applyAlignment="1" applyProtection="1">
      <alignment horizontal="right" vertical="center"/>
    </xf>
    <xf numFmtId="0" fontId="18" fillId="0" borderId="403" xfId="0" applyFont="1" applyFill="1" applyBorder="1" applyAlignment="1" applyProtection="1">
      <alignment horizontal="center" wrapText="1"/>
      <protection locked="0"/>
    </xf>
    <xf numFmtId="0" fontId="18" fillId="0" borderId="400" xfId="0" applyFont="1" applyFill="1" applyBorder="1" applyAlignment="1" applyProtection="1">
      <alignment horizontal="center" wrapText="1"/>
      <protection locked="0"/>
    </xf>
    <xf numFmtId="0" fontId="18" fillId="0" borderId="457" xfId="0" applyFont="1" applyFill="1" applyBorder="1" applyAlignment="1" applyProtection="1">
      <alignment horizontal="center" wrapText="1"/>
      <protection locked="0"/>
    </xf>
    <xf numFmtId="0" fontId="18" fillId="0" borderId="459" xfId="0" applyFont="1" applyFill="1" applyBorder="1" applyAlignment="1" applyProtection="1">
      <protection locked="0"/>
    </xf>
    <xf numFmtId="0" fontId="18" fillId="0" borderId="458" xfId="0" applyFont="1" applyFill="1" applyBorder="1" applyAlignment="1" applyProtection="1">
      <alignment horizontal="center" wrapText="1"/>
      <protection locked="0"/>
    </xf>
    <xf numFmtId="0" fontId="0" fillId="0" borderId="0" xfId="0" applyAlignment="1">
      <alignment vertical="center"/>
    </xf>
    <xf numFmtId="0" fontId="2" fillId="0" borderId="0" xfId="0" applyFont="1" applyAlignment="1">
      <alignment vertical="center"/>
    </xf>
    <xf numFmtId="9" fontId="0" fillId="0" borderId="0" xfId="0" applyNumberFormat="1" applyAlignment="1">
      <alignment vertical="center"/>
    </xf>
    <xf numFmtId="0" fontId="77" fillId="0" borderId="0" xfId="0" applyFont="1" applyAlignment="1">
      <alignment vertical="center"/>
    </xf>
    <xf numFmtId="0" fontId="73" fillId="0" borderId="0" xfId="0" applyFont="1" applyAlignment="1">
      <alignment vertical="center"/>
    </xf>
    <xf numFmtId="9" fontId="0" fillId="0" borderId="0" xfId="0" applyNumberFormat="1" applyAlignment="1">
      <alignment horizontal="right" vertical="center"/>
    </xf>
    <xf numFmtId="9" fontId="0" fillId="7" borderId="0" xfId="0" applyNumberFormat="1" applyFill="1"/>
    <xf numFmtId="0" fontId="0" fillId="7" borderId="0" xfId="0" applyFill="1"/>
    <xf numFmtId="9" fontId="0" fillId="26" borderId="0" xfId="0" applyNumberFormat="1" applyFill="1"/>
    <xf numFmtId="0" fontId="0" fillId="26" borderId="0" xfId="0" applyFill="1"/>
    <xf numFmtId="0" fontId="0" fillId="27" borderId="0" xfId="0" applyFill="1"/>
    <xf numFmtId="0" fontId="3" fillId="0" borderId="0" xfId="0" applyFont="1"/>
    <xf numFmtId="0" fontId="19" fillId="0" borderId="0" xfId="0" applyFont="1" applyFill="1"/>
    <xf numFmtId="0" fontId="17" fillId="0" borderId="0" xfId="0" applyFont="1" applyFill="1"/>
    <xf numFmtId="9" fontId="17" fillId="0" borderId="0" xfId="0" applyNumberFormat="1" applyFont="1" applyFill="1" applyAlignment="1">
      <alignment horizontal="left"/>
    </xf>
    <xf numFmtId="0" fontId="57" fillId="0" borderId="0" xfId="0" applyFont="1" applyFill="1" applyBorder="1"/>
    <xf numFmtId="0" fontId="57" fillId="0" borderId="0" xfId="0" applyFont="1" applyFill="1" applyBorder="1" applyAlignment="1"/>
    <xf numFmtId="0" fontId="57" fillId="0" borderId="0" xfId="0" applyFont="1" applyFill="1" applyBorder="1" applyAlignment="1">
      <alignment horizontal="left"/>
    </xf>
    <xf numFmtId="6" fontId="57" fillId="0" borderId="0" xfId="0" applyNumberFormat="1" applyFont="1" applyFill="1" applyBorder="1" applyAlignment="1">
      <alignment horizontal="left"/>
    </xf>
    <xf numFmtId="0" fontId="18" fillId="0" borderId="455" xfId="0" applyFont="1" applyFill="1" applyBorder="1" applyProtection="1"/>
    <xf numFmtId="0" fontId="18" fillId="0" borderId="456" xfId="0" applyFont="1" applyFill="1" applyBorder="1" applyProtection="1"/>
    <xf numFmtId="0" fontId="18" fillId="0" borderId="310" xfId="0" applyFont="1" applyFill="1" applyBorder="1" applyAlignment="1" applyProtection="1">
      <alignment horizontal="center" wrapText="1"/>
      <protection locked="0"/>
    </xf>
    <xf numFmtId="166" fontId="18" fillId="0" borderId="310" xfId="0" applyNumberFormat="1" applyFont="1" applyFill="1" applyBorder="1" applyAlignment="1" applyProtection="1">
      <alignment horizontal="right" wrapText="1"/>
      <protection locked="0"/>
    </xf>
    <xf numFmtId="9" fontId="18" fillId="0" borderId="310" xfId="0" applyNumberFormat="1" applyFont="1" applyFill="1" applyBorder="1" applyAlignment="1" applyProtection="1">
      <alignment horizontal="right" wrapText="1"/>
      <protection locked="0"/>
    </xf>
    <xf numFmtId="166" fontId="18" fillId="6" borderId="310" xfId="0" applyNumberFormat="1" applyFont="1" applyFill="1" applyBorder="1" applyAlignment="1" applyProtection="1">
      <alignment horizontal="right" wrapText="1"/>
    </xf>
    <xf numFmtId="166" fontId="18" fillId="6" borderId="311" xfId="0" applyNumberFormat="1" applyFont="1" applyFill="1" applyBorder="1" applyAlignment="1" applyProtection="1">
      <alignment horizontal="right" wrapText="1"/>
    </xf>
    <xf numFmtId="0" fontId="18" fillId="0" borderId="310" xfId="0" applyFont="1" applyFill="1" applyBorder="1" applyAlignment="1" applyProtection="1">
      <alignment horizontal="center"/>
      <protection locked="0"/>
    </xf>
    <xf numFmtId="166" fontId="18" fillId="0" borderId="478" xfId="0" applyNumberFormat="1" applyFont="1" applyFill="1" applyBorder="1" applyAlignment="1" applyProtection="1">
      <protection locked="0"/>
    </xf>
    <xf numFmtId="6" fontId="18" fillId="0" borderId="309" xfId="0" applyNumberFormat="1" applyFont="1" applyFill="1" applyBorder="1" applyAlignment="1" applyProtection="1">
      <alignment horizontal="right"/>
      <protection locked="0"/>
    </xf>
    <xf numFmtId="6" fontId="18" fillId="0" borderId="310" xfId="0" applyNumberFormat="1" applyFont="1" applyFill="1" applyBorder="1" applyAlignment="1" applyProtection="1">
      <alignment horizontal="right"/>
      <protection locked="0"/>
    </xf>
    <xf numFmtId="6" fontId="18" fillId="0" borderId="311" xfId="0" applyNumberFormat="1" applyFont="1" applyFill="1" applyBorder="1" applyAlignment="1" applyProtection="1">
      <alignment horizontal="right"/>
      <protection locked="0"/>
    </xf>
    <xf numFmtId="166" fontId="46" fillId="6" borderId="476" xfId="0" applyNumberFormat="1" applyFont="1" applyFill="1" applyBorder="1" applyAlignment="1" applyProtection="1">
      <alignment horizontal="center" wrapText="1"/>
    </xf>
    <xf numFmtId="166" fontId="46" fillId="6" borderId="477" xfId="0" applyNumberFormat="1" applyFont="1" applyFill="1" applyBorder="1" applyAlignment="1" applyProtection="1">
      <alignment horizontal="center" wrapText="1"/>
    </xf>
    <xf numFmtId="5" fontId="43" fillId="0" borderId="480" xfId="0" applyNumberFormat="1" applyFont="1" applyFill="1" applyBorder="1" applyProtection="1">
      <protection locked="0"/>
    </xf>
    <xf numFmtId="5" fontId="43" fillId="0" borderId="481" xfId="0" applyNumberFormat="1" applyFont="1" applyFill="1" applyBorder="1" applyProtection="1">
      <protection locked="0"/>
    </xf>
    <xf numFmtId="5" fontId="43" fillId="0" borderId="482" xfId="0" applyNumberFormat="1" applyFont="1" applyFill="1" applyBorder="1" applyProtection="1">
      <protection locked="0"/>
    </xf>
    <xf numFmtId="5" fontId="43" fillId="0" borderId="64" xfId="0" applyNumberFormat="1" applyFont="1" applyFill="1" applyBorder="1" applyProtection="1">
      <protection locked="0"/>
    </xf>
    <xf numFmtId="5" fontId="43" fillId="0" borderId="65" xfId="0" applyNumberFormat="1" applyFont="1" applyFill="1" applyBorder="1" applyProtection="1">
      <protection locked="0"/>
    </xf>
    <xf numFmtId="5" fontId="43" fillId="0" borderId="66" xfId="0" applyNumberFormat="1" applyFont="1" applyFill="1" applyBorder="1" applyProtection="1">
      <protection locked="0"/>
    </xf>
    <xf numFmtId="5" fontId="43" fillId="0" borderId="67" xfId="0" applyNumberFormat="1" applyFont="1" applyFill="1" applyBorder="1" applyProtection="1">
      <protection locked="0"/>
    </xf>
    <xf numFmtId="5" fontId="43" fillId="0" borderId="68" xfId="0" applyNumberFormat="1" applyFont="1" applyFill="1" applyBorder="1" applyProtection="1">
      <protection locked="0"/>
    </xf>
    <xf numFmtId="5" fontId="43" fillId="0" borderId="69" xfId="0" applyNumberFormat="1" applyFont="1" applyFill="1" applyBorder="1" applyProtection="1">
      <protection locked="0"/>
    </xf>
    <xf numFmtId="0" fontId="17" fillId="0" borderId="0" xfId="0" applyFont="1" applyFill="1" applyAlignment="1" applyProtection="1">
      <alignment horizontal="right" vertical="center"/>
    </xf>
    <xf numFmtId="166" fontId="43" fillId="8" borderId="36" xfId="0" applyNumberFormat="1" applyFont="1" applyFill="1" applyBorder="1" applyAlignment="1" applyProtection="1">
      <alignment vertical="center"/>
    </xf>
    <xf numFmtId="6" fontId="43" fillId="0" borderId="317" xfId="0" applyNumberFormat="1" applyFont="1" applyFill="1" applyBorder="1" applyAlignment="1" applyProtection="1">
      <alignment horizontal="right" vertical="center"/>
      <protection locked="0"/>
    </xf>
    <xf numFmtId="6" fontId="22" fillId="6" borderId="488" xfId="0" applyNumberFormat="1" applyFont="1" applyFill="1" applyBorder="1" applyAlignment="1" applyProtection="1"/>
    <xf numFmtId="0" fontId="18" fillId="0" borderId="518" xfId="0" applyFont="1" applyFill="1" applyBorder="1" applyAlignment="1" applyProtection="1">
      <alignment horizontal="center" wrapText="1"/>
      <protection locked="0"/>
    </xf>
    <xf numFmtId="0" fontId="1" fillId="0" borderId="508" xfId="0" applyFont="1" applyFill="1" applyBorder="1" applyAlignment="1" applyProtection="1">
      <alignment horizontal="center"/>
      <protection locked="0"/>
    </xf>
    <xf numFmtId="0" fontId="18" fillId="0" borderId="522" xfId="0" applyFont="1" applyFill="1" applyBorder="1" applyAlignment="1" applyProtection="1">
      <alignment horizontal="center" wrapText="1"/>
      <protection locked="0"/>
    </xf>
    <xf numFmtId="0" fontId="18" fillId="0" borderId="496" xfId="0" applyFont="1" applyFill="1" applyBorder="1" applyAlignment="1" applyProtection="1">
      <alignment horizontal="center" wrapText="1"/>
      <protection locked="0"/>
    </xf>
    <xf numFmtId="0" fontId="18" fillId="0" borderId="529" xfId="0" applyFont="1" applyFill="1" applyBorder="1" applyAlignment="1" applyProtection="1">
      <alignment horizontal="center" wrapText="1"/>
      <protection locked="0"/>
    </xf>
    <xf numFmtId="0" fontId="18" fillId="0" borderId="504" xfId="0" applyFont="1" applyFill="1" applyBorder="1" applyAlignment="1" applyProtection="1">
      <alignment horizontal="center" wrapText="1"/>
      <protection locked="0"/>
    </xf>
    <xf numFmtId="0" fontId="18" fillId="0" borderId="501" xfId="0" applyFont="1" applyFill="1" applyBorder="1" applyAlignment="1" applyProtection="1">
      <alignment horizontal="center" wrapText="1"/>
      <protection locked="0"/>
    </xf>
    <xf numFmtId="0" fontId="18" fillId="0" borderId="504" xfId="0" applyFont="1" applyFill="1" applyBorder="1" applyAlignment="1" applyProtection="1">
      <alignment horizontal="center" vertical="top" wrapText="1"/>
      <protection locked="0"/>
    </xf>
    <xf numFmtId="0" fontId="18" fillId="0" borderId="540" xfId="0" applyFont="1" applyFill="1" applyBorder="1" applyAlignment="1" applyProtection="1">
      <alignment horizontal="center" wrapText="1"/>
      <protection locked="0"/>
    </xf>
    <xf numFmtId="0" fontId="46" fillId="0" borderId="0" xfId="0" applyFont="1" applyFill="1" applyBorder="1" applyAlignment="1" applyProtection="1"/>
    <xf numFmtId="0" fontId="66" fillId="0" borderId="0" xfId="0" applyFont="1" applyFill="1" applyBorder="1" applyAlignment="1" applyProtection="1">
      <alignment horizontal="right" vertical="center"/>
    </xf>
    <xf numFmtId="0" fontId="18" fillId="0" borderId="76" xfId="0" applyFont="1" applyFill="1" applyBorder="1" applyAlignment="1" applyProtection="1">
      <protection locked="0"/>
    </xf>
    <xf numFmtId="0" fontId="18" fillId="0" borderId="5" xfId="0" applyFont="1" applyFill="1" applyBorder="1" applyAlignment="1" applyProtection="1">
      <protection locked="0"/>
    </xf>
    <xf numFmtId="0" fontId="18" fillId="0" borderId="5" xfId="0" applyFont="1" applyFill="1" applyBorder="1" applyProtection="1">
      <protection locked="0"/>
    </xf>
    <xf numFmtId="0" fontId="18" fillId="0" borderId="472" xfId="0" applyFont="1" applyFill="1" applyBorder="1" applyAlignment="1" applyProtection="1">
      <protection locked="0"/>
    </xf>
    <xf numFmtId="0" fontId="18" fillId="0" borderId="59" xfId="0" applyFont="1" applyFill="1" applyBorder="1" applyAlignment="1" applyProtection="1">
      <protection locked="0"/>
    </xf>
    <xf numFmtId="0" fontId="18" fillId="0" borderId="60" xfId="0" applyFont="1" applyBorder="1" applyAlignment="1" applyProtection="1">
      <protection locked="0"/>
    </xf>
    <xf numFmtId="0" fontId="18" fillId="0" borderId="153" xfId="0" applyFont="1" applyBorder="1" applyAlignment="1" applyProtection="1">
      <protection locked="0"/>
    </xf>
    <xf numFmtId="0" fontId="18" fillId="0" borderId="59" xfId="0" applyFont="1" applyBorder="1" applyAlignment="1" applyProtection="1">
      <protection locked="0"/>
    </xf>
    <xf numFmtId="0" fontId="18" fillId="18" borderId="281" xfId="0" applyFont="1" applyFill="1" applyBorder="1" applyAlignment="1" applyProtection="1">
      <alignment wrapText="1"/>
    </xf>
    <xf numFmtId="0" fontId="18" fillId="18" borderId="441" xfId="0" applyFont="1" applyFill="1" applyBorder="1" applyAlignment="1" applyProtection="1">
      <alignment wrapText="1"/>
    </xf>
    <xf numFmtId="0" fontId="18" fillId="0" borderId="165" xfId="0" applyFont="1" applyBorder="1" applyProtection="1"/>
    <xf numFmtId="0" fontId="18" fillId="0" borderId="166" xfId="0" applyFont="1" applyBorder="1" applyProtection="1"/>
    <xf numFmtId="0" fontId="18" fillId="0" borderId="168" xfId="0" applyFont="1" applyBorder="1" applyProtection="1"/>
    <xf numFmtId="0" fontId="18" fillId="0" borderId="0" xfId="0" applyFont="1" applyFill="1" applyBorder="1" applyAlignment="1" applyProtection="1">
      <alignment horizontal="left"/>
    </xf>
    <xf numFmtId="0" fontId="19" fillId="0" borderId="0" xfId="0" applyFont="1" applyBorder="1" applyAlignment="1" applyProtection="1"/>
    <xf numFmtId="0" fontId="18" fillId="0" borderId="0" xfId="0" applyFont="1" applyBorder="1" applyAlignment="1" applyProtection="1">
      <alignment horizontal="left" indent="1"/>
    </xf>
    <xf numFmtId="0" fontId="18" fillId="0" borderId="0" xfId="0" applyFont="1" applyBorder="1" applyAlignment="1" applyProtection="1"/>
    <xf numFmtId="0" fontId="18" fillId="0" borderId="0" xfId="0" applyFont="1" applyFill="1" applyBorder="1" applyAlignment="1" applyProtection="1">
      <alignment horizontal="right"/>
    </xf>
    <xf numFmtId="0" fontId="18" fillId="0" borderId="5" xfId="0" applyFont="1" applyFill="1" applyBorder="1" applyProtection="1"/>
    <xf numFmtId="0" fontId="18" fillId="0" borderId="17" xfId="0" applyFont="1" applyFill="1" applyBorder="1" applyAlignment="1" applyProtection="1">
      <alignment horizontal="left"/>
    </xf>
    <xf numFmtId="0" fontId="0" fillId="0" borderId="0" xfId="0" applyProtection="1"/>
    <xf numFmtId="0" fontId="18" fillId="0" borderId="0" xfId="0" applyFont="1" applyFill="1" applyBorder="1" applyAlignment="1" applyProtection="1">
      <alignment horizontal="center" vertical="center"/>
    </xf>
    <xf numFmtId="0" fontId="19" fillId="0" borderId="92" xfId="0" applyFont="1" applyBorder="1" applyAlignment="1" applyProtection="1"/>
    <xf numFmtId="0" fontId="22" fillId="0" borderId="92" xfId="0" applyFont="1" applyFill="1" applyBorder="1" applyAlignment="1" applyProtection="1"/>
    <xf numFmtId="0" fontId="22" fillId="0" borderId="0" xfId="0" applyFont="1" applyBorder="1" applyAlignment="1" applyProtection="1">
      <alignment horizontal="left" indent="1"/>
    </xf>
    <xf numFmtId="0" fontId="18" fillId="0" borderId="0" xfId="0" applyFont="1" applyFill="1" applyBorder="1" applyAlignment="1" applyProtection="1">
      <alignment horizontal="left" indent="1"/>
    </xf>
    <xf numFmtId="0" fontId="0" fillId="0" borderId="0" xfId="0" applyFont="1" applyFill="1" applyProtection="1"/>
    <xf numFmtId="0" fontId="18" fillId="0" borderId="0" xfId="0" applyFont="1" applyFill="1" applyBorder="1" applyAlignment="1" applyProtection="1">
      <alignment vertical="center"/>
    </xf>
    <xf numFmtId="0" fontId="18" fillId="0" borderId="76" xfId="0" applyFont="1" applyFill="1" applyBorder="1" applyAlignment="1" applyProtection="1">
      <alignment vertical="center"/>
    </xf>
    <xf numFmtId="0" fontId="18" fillId="0" borderId="23" xfId="0" applyFont="1" applyFill="1" applyBorder="1" applyAlignment="1" applyProtection="1">
      <alignment horizontal="center"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vertical="top" wrapText="1"/>
    </xf>
    <xf numFmtId="0" fontId="18" fillId="0" borderId="0" xfId="0" applyFont="1" applyFill="1" applyBorder="1" applyAlignment="1" applyProtection="1">
      <alignment horizontal="left" vertical="top"/>
    </xf>
    <xf numFmtId="0" fontId="18" fillId="0" borderId="0" xfId="0" applyFont="1" applyBorder="1" applyAlignment="1" applyProtection="1">
      <alignment horizontal="left" vertical="top"/>
    </xf>
    <xf numFmtId="0" fontId="51" fillId="0" borderId="0" xfId="0" applyFont="1" applyFill="1" applyBorder="1" applyAlignment="1" applyProtection="1">
      <alignment vertical="top" wrapText="1"/>
    </xf>
    <xf numFmtId="0" fontId="18" fillId="9" borderId="146" xfId="0" applyFont="1" applyFill="1" applyBorder="1" applyProtection="1"/>
    <xf numFmtId="0" fontId="49" fillId="0" borderId="0" xfId="0" applyFont="1" applyBorder="1" applyProtection="1"/>
    <xf numFmtId="0" fontId="18" fillId="0" borderId="0" xfId="0" applyFont="1" applyBorder="1" applyAlignment="1" applyProtection="1">
      <alignment horizontal="right" vertical="center"/>
    </xf>
    <xf numFmtId="0" fontId="18" fillId="0" borderId="0" xfId="0" applyFont="1" applyBorder="1" applyAlignment="1" applyProtection="1">
      <alignment horizontal="center" vertical="center"/>
    </xf>
    <xf numFmtId="0" fontId="18" fillId="0" borderId="0" xfId="0" applyFont="1" applyBorder="1" applyAlignment="1" applyProtection="1">
      <alignment horizontal="left" vertical="center"/>
    </xf>
    <xf numFmtId="0" fontId="18" fillId="0" borderId="162" xfId="0" applyFont="1" applyBorder="1" applyProtection="1"/>
    <xf numFmtId="0" fontId="18" fillId="0" borderId="163" xfId="0" applyFont="1" applyBorder="1" applyProtection="1"/>
    <xf numFmtId="9" fontId="18" fillId="0" borderId="163" xfId="0" applyNumberFormat="1" applyFont="1" applyFill="1" applyBorder="1" applyProtection="1"/>
    <xf numFmtId="0" fontId="18" fillId="0" borderId="77" xfId="0" applyFont="1" applyFill="1" applyBorder="1" applyProtection="1">
      <protection locked="0"/>
    </xf>
    <xf numFmtId="0" fontId="54" fillId="0" borderId="5" xfId="0" applyFont="1" applyFill="1" applyBorder="1" applyAlignment="1" applyProtection="1">
      <alignment horizontal="left"/>
      <protection locked="0"/>
    </xf>
    <xf numFmtId="0" fontId="18" fillId="0" borderId="77"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7" fillId="0" borderId="0" xfId="0" applyFont="1" applyFill="1" applyProtection="1">
      <protection locked="0"/>
    </xf>
    <xf numFmtId="0" fontId="18" fillId="0" borderId="167" xfId="0" applyFont="1" applyBorder="1" applyProtection="1"/>
    <xf numFmtId="0" fontId="18" fillId="0" borderId="169" xfId="0" applyFont="1" applyBorder="1" applyProtection="1"/>
    <xf numFmtId="0" fontId="18" fillId="0" borderId="164" xfId="0" applyFont="1" applyBorder="1" applyProtection="1"/>
    <xf numFmtId="0" fontId="0" fillId="0" borderId="0" xfId="0" applyFont="1" applyProtection="1">
      <protection locked="0"/>
    </xf>
    <xf numFmtId="0" fontId="17" fillId="0" borderId="191" xfId="0" applyFont="1" applyBorder="1" applyAlignment="1" applyProtection="1">
      <alignment horizontal="center"/>
      <protection locked="0"/>
    </xf>
    <xf numFmtId="0" fontId="17" fillId="0" borderId="178" xfId="0" applyFont="1" applyFill="1" applyBorder="1" applyAlignment="1" applyProtection="1">
      <alignment horizontal="center"/>
      <protection locked="0"/>
    </xf>
    <xf numFmtId="0" fontId="0" fillId="0" borderId="178" xfId="0" applyFont="1" applyFill="1" applyBorder="1" applyAlignment="1" applyProtection="1">
      <alignment horizontal="center"/>
      <protection locked="0"/>
    </xf>
    <xf numFmtId="0" fontId="17" fillId="0" borderId="65" xfId="0" applyFont="1" applyFill="1" applyBorder="1" applyAlignment="1" applyProtection="1">
      <alignment horizontal="center"/>
      <protection locked="0"/>
    </xf>
    <xf numFmtId="0" fontId="0" fillId="0" borderId="65" xfId="0" applyFont="1" applyFill="1" applyBorder="1" applyAlignment="1" applyProtection="1">
      <alignment horizontal="center"/>
      <protection locked="0"/>
    </xf>
    <xf numFmtId="0" fontId="17" fillId="0" borderId="110" xfId="0" applyFont="1" applyBorder="1" applyAlignment="1" applyProtection="1">
      <alignment horizontal="center"/>
      <protection locked="0"/>
    </xf>
    <xf numFmtId="0" fontId="17" fillId="0" borderId="74" xfId="0" applyFont="1" applyFill="1" applyBorder="1" applyAlignment="1" applyProtection="1">
      <alignment horizontal="center"/>
      <protection locked="0"/>
    </xf>
    <xf numFmtId="0" fontId="0" fillId="0" borderId="74" xfId="0" applyFont="1" applyFill="1" applyBorder="1" applyAlignment="1" applyProtection="1">
      <alignment horizontal="center"/>
      <protection locked="0"/>
    </xf>
    <xf numFmtId="0" fontId="18" fillId="0" borderId="191" xfId="0" applyFont="1" applyBorder="1" applyAlignment="1" applyProtection="1">
      <alignment horizontal="center"/>
      <protection locked="0"/>
    </xf>
    <xf numFmtId="0" fontId="18" fillId="0" borderId="178" xfId="0" applyFont="1" applyBorder="1" applyAlignment="1" applyProtection="1">
      <alignment horizontal="center"/>
      <protection locked="0"/>
    </xf>
    <xf numFmtId="0" fontId="18" fillId="0" borderId="190" xfId="0" applyFont="1" applyBorder="1" applyAlignment="1" applyProtection="1">
      <alignment horizontal="center"/>
      <protection locked="0"/>
    </xf>
    <xf numFmtId="0" fontId="18" fillId="0" borderId="68" xfId="0" applyFont="1" applyBorder="1" applyAlignment="1" applyProtection="1">
      <alignment horizontal="center"/>
      <protection locked="0"/>
    </xf>
    <xf numFmtId="0" fontId="18" fillId="0" borderId="41" xfId="0" applyFont="1" applyBorder="1" applyProtection="1"/>
    <xf numFmtId="0" fontId="17" fillId="18" borderId="192" xfId="0" applyFont="1" applyFill="1" applyBorder="1" applyProtection="1"/>
    <xf numFmtId="0" fontId="18" fillId="0" borderId="42" xfId="0" applyFont="1" applyBorder="1" applyProtection="1"/>
    <xf numFmtId="9" fontId="42" fillId="5" borderId="94" xfId="0" applyNumberFormat="1" applyFont="1" applyFill="1" applyBorder="1" applyAlignment="1" applyProtection="1">
      <alignment horizontal="center" vertical="center" wrapText="1"/>
    </xf>
    <xf numFmtId="9" fontId="42" fillId="18" borderId="187" xfId="0" applyNumberFormat="1" applyFont="1" applyFill="1" applyBorder="1" applyAlignment="1" applyProtection="1">
      <alignment horizontal="center" vertical="center" wrapText="1"/>
    </xf>
    <xf numFmtId="0" fontId="18" fillId="6" borderId="193" xfId="0" applyFont="1" applyFill="1" applyBorder="1" applyAlignment="1" applyProtection="1">
      <alignment horizontal="center"/>
    </xf>
    <xf numFmtId="0" fontId="18" fillId="6" borderId="194" xfId="0" applyFont="1" applyFill="1" applyBorder="1" applyAlignment="1" applyProtection="1">
      <alignment horizontal="center"/>
    </xf>
    <xf numFmtId="0" fontId="0" fillId="6" borderId="194" xfId="0" applyFont="1" applyFill="1" applyBorder="1" applyAlignment="1" applyProtection="1">
      <alignment horizontal="center"/>
    </xf>
    <xf numFmtId="0" fontId="22" fillId="6" borderId="93" xfId="0" applyFont="1" applyFill="1" applyBorder="1" applyAlignment="1" applyProtection="1">
      <alignment horizontal="center"/>
    </xf>
    <xf numFmtId="9" fontId="42" fillId="18" borderId="195" xfId="0" applyNumberFormat="1" applyFont="1" applyFill="1" applyBorder="1" applyAlignment="1" applyProtection="1">
      <alignment horizontal="center" vertical="center" wrapText="1"/>
    </xf>
    <xf numFmtId="9" fontId="42" fillId="18" borderId="196" xfId="0" applyNumberFormat="1" applyFont="1" applyFill="1" applyBorder="1" applyAlignment="1" applyProtection="1">
      <alignment horizontal="center" vertical="center" wrapText="1"/>
    </xf>
    <xf numFmtId="9" fontId="42" fillId="22" borderId="8" xfId="0" applyNumberFormat="1" applyFont="1" applyFill="1" applyBorder="1" applyAlignment="1" applyProtection="1">
      <alignment horizontal="center" vertical="center" wrapText="1"/>
    </xf>
    <xf numFmtId="0" fontId="18" fillId="22" borderId="6" xfId="0" applyFont="1" applyFill="1" applyBorder="1" applyAlignment="1" applyProtection="1">
      <alignment horizontal="center"/>
    </xf>
    <xf numFmtId="0" fontId="0" fillId="22" borderId="6" xfId="0" applyFont="1" applyFill="1" applyBorder="1" applyAlignment="1" applyProtection="1">
      <alignment horizontal="center"/>
    </xf>
    <xf numFmtId="9" fontId="42" fillId="18" borderId="197" xfId="0" applyNumberFormat="1" applyFont="1" applyFill="1" applyBorder="1" applyAlignment="1" applyProtection="1">
      <alignment horizontal="center" vertical="center" wrapText="1"/>
    </xf>
    <xf numFmtId="0" fontId="18" fillId="6" borderId="2" xfId="0" applyFont="1" applyFill="1" applyBorder="1" applyAlignment="1" applyProtection="1">
      <alignment horizontal="center"/>
    </xf>
    <xf numFmtId="0" fontId="2" fillId="18" borderId="196" xfId="0" applyFont="1" applyFill="1" applyBorder="1" applyAlignment="1" applyProtection="1">
      <alignment horizontal="center" vertical="center"/>
    </xf>
    <xf numFmtId="0" fontId="22" fillId="22" borderId="189" xfId="0" applyFont="1" applyFill="1" applyBorder="1" applyAlignment="1" applyProtection="1">
      <alignment horizontal="center"/>
    </xf>
    <xf numFmtId="0" fontId="18" fillId="0" borderId="43" xfId="0" applyFont="1" applyBorder="1" applyProtection="1"/>
    <xf numFmtId="0" fontId="18" fillId="0" borderId="44" xfId="0" applyFont="1" applyBorder="1" applyProtection="1"/>
    <xf numFmtId="0" fontId="18" fillId="0" borderId="45" xfId="0" applyFont="1" applyBorder="1" applyProtection="1"/>
    <xf numFmtId="0" fontId="43" fillId="0" borderId="105" xfId="0" applyFont="1" applyFill="1" applyBorder="1" applyAlignment="1" applyProtection="1">
      <protection locked="0"/>
    </xf>
    <xf numFmtId="0" fontId="3" fillId="0" borderId="178" xfId="0" applyFont="1" applyFill="1" applyBorder="1" applyAlignment="1" applyProtection="1">
      <alignment horizontal="center"/>
      <protection locked="0"/>
    </xf>
    <xf numFmtId="0" fontId="43" fillId="0" borderId="103" xfId="0" applyFont="1" applyFill="1" applyBorder="1" applyAlignment="1" applyProtection="1">
      <protection locked="0"/>
    </xf>
    <xf numFmtId="0" fontId="43" fillId="0" borderId="65" xfId="0" applyFont="1" applyFill="1" applyBorder="1" applyAlignment="1" applyProtection="1">
      <alignment horizontal="center"/>
      <protection locked="0"/>
    </xf>
    <xf numFmtId="0" fontId="3" fillId="0" borderId="65" xfId="0" applyFont="1" applyFill="1" applyBorder="1" applyAlignment="1" applyProtection="1">
      <alignment horizontal="center"/>
      <protection locked="0"/>
    </xf>
    <xf numFmtId="0" fontId="44" fillId="0" borderId="65" xfId="0" applyFont="1" applyFill="1" applyBorder="1" applyAlignment="1" applyProtection="1">
      <alignment horizontal="center"/>
      <protection locked="0"/>
    </xf>
    <xf numFmtId="0" fontId="3" fillId="0" borderId="165" xfId="0" applyFont="1" applyBorder="1" applyProtection="1"/>
    <xf numFmtId="0" fontId="3" fillId="0" borderId="166" xfId="0" applyFont="1" applyBorder="1" applyProtection="1"/>
    <xf numFmtId="0" fontId="3" fillId="0" borderId="166" xfId="0" applyFont="1" applyFill="1" applyBorder="1" applyProtection="1"/>
    <xf numFmtId="0" fontId="3" fillId="0" borderId="167" xfId="0" applyFont="1" applyBorder="1" applyProtection="1"/>
    <xf numFmtId="0" fontId="3" fillId="0" borderId="168" xfId="0" applyFont="1" applyBorder="1" applyProtection="1"/>
    <xf numFmtId="0" fontId="3" fillId="0" borderId="169" xfId="0" applyFont="1" applyBorder="1" applyProtection="1"/>
    <xf numFmtId="0" fontId="3" fillId="0" borderId="0" xfId="0" applyFont="1" applyBorder="1" applyProtection="1"/>
    <xf numFmtId="0" fontId="3" fillId="0" borderId="0" xfId="0" applyFont="1" applyFill="1" applyBorder="1" applyAlignment="1" applyProtection="1"/>
    <xf numFmtId="0" fontId="3" fillId="0" borderId="168" xfId="0" applyFont="1" applyBorder="1" applyAlignment="1" applyProtection="1">
      <alignment vertical="center"/>
    </xf>
    <xf numFmtId="0" fontId="42" fillId="18" borderId="184" xfId="0" applyFont="1" applyFill="1" applyBorder="1" applyAlignment="1" applyProtection="1">
      <alignment horizontal="center" vertical="center" wrapText="1"/>
    </xf>
    <xf numFmtId="0" fontId="42" fillId="18" borderId="199" xfId="0" applyFont="1" applyFill="1" applyBorder="1" applyAlignment="1" applyProtection="1">
      <alignment horizontal="center" vertical="center"/>
    </xf>
    <xf numFmtId="9" fontId="42" fillId="18" borderId="185" xfId="0" applyNumberFormat="1" applyFont="1" applyFill="1" applyBorder="1" applyAlignment="1" applyProtection="1">
      <alignment horizontal="center" vertical="center" wrapText="1"/>
    </xf>
    <xf numFmtId="9" fontId="45" fillId="18" borderId="185" xfId="0" applyNumberFormat="1" applyFont="1" applyFill="1" applyBorder="1" applyAlignment="1" applyProtection="1">
      <alignment horizontal="center" vertical="center" wrapText="1"/>
    </xf>
    <xf numFmtId="9" fontId="42" fillId="18" borderId="199" xfId="0" applyNumberFormat="1" applyFont="1" applyFill="1" applyBorder="1" applyAlignment="1" applyProtection="1">
      <alignment horizontal="center" vertical="center" wrapText="1"/>
    </xf>
    <xf numFmtId="9" fontId="42" fillId="18" borderId="200" xfId="0" applyNumberFormat="1" applyFont="1" applyFill="1" applyBorder="1" applyAlignment="1" applyProtection="1">
      <alignment horizontal="center" vertical="center" wrapText="1"/>
    </xf>
    <xf numFmtId="9" fontId="42" fillId="18" borderId="106" xfId="0" applyNumberFormat="1" applyFont="1" applyFill="1" applyBorder="1" applyAlignment="1" applyProtection="1">
      <alignment horizontal="center" vertical="center" wrapText="1"/>
    </xf>
    <xf numFmtId="0" fontId="3" fillId="0" borderId="169" xfId="0" applyFont="1" applyBorder="1" applyAlignment="1" applyProtection="1">
      <alignment vertical="center"/>
    </xf>
    <xf numFmtId="0" fontId="3" fillId="6" borderId="198" xfId="0" applyFont="1" applyFill="1" applyBorder="1" applyAlignment="1" applyProtection="1">
      <alignment horizontal="center"/>
    </xf>
    <xf numFmtId="0" fontId="3" fillId="6" borderId="121" xfId="0" applyFont="1" applyFill="1" applyBorder="1" applyAlignment="1" applyProtection="1">
      <alignment horizontal="center"/>
    </xf>
    <xf numFmtId="0" fontId="1" fillId="6" borderId="121" xfId="0" applyFont="1" applyFill="1" applyBorder="1" applyAlignment="1" applyProtection="1">
      <alignment horizontal="center"/>
    </xf>
    <xf numFmtId="0" fontId="1" fillId="6" borderId="117" xfId="0" applyFont="1" applyFill="1" applyBorder="1" applyAlignment="1" applyProtection="1">
      <alignment horizontal="center"/>
    </xf>
    <xf numFmtId="0" fontId="6" fillId="6" borderId="111" xfId="0" applyFont="1" applyFill="1" applyBorder="1" applyAlignment="1" applyProtection="1">
      <alignment horizontal="center"/>
    </xf>
    <xf numFmtId="0" fontId="3" fillId="6" borderId="182" xfId="0" applyFont="1" applyFill="1" applyBorder="1" applyAlignment="1" applyProtection="1">
      <alignment horizontal="center"/>
    </xf>
    <xf numFmtId="0" fontId="3" fillId="6" borderId="183" xfId="0" applyFont="1" applyFill="1" applyBorder="1" applyAlignment="1" applyProtection="1">
      <alignment horizontal="center"/>
    </xf>
    <xf numFmtId="0" fontId="6" fillId="6" borderId="146" xfId="0" applyFont="1" applyFill="1" applyBorder="1" applyAlignment="1" applyProtection="1">
      <alignment horizontal="center"/>
    </xf>
    <xf numFmtId="0" fontId="3" fillId="0" borderId="163" xfId="0" applyFont="1" applyBorder="1" applyProtection="1"/>
    <xf numFmtId="0" fontId="0" fillId="0" borderId="0" xfId="0" applyFill="1" applyProtection="1">
      <protection locked="0"/>
    </xf>
    <xf numFmtId="0" fontId="3" fillId="0" borderId="29" xfId="0" applyFont="1" applyBorder="1" applyAlignment="1" applyProtection="1">
      <alignment vertical="center"/>
    </xf>
    <xf numFmtId="0" fontId="3" fillId="0" borderId="30" xfId="0" applyFont="1" applyBorder="1" applyAlignment="1" applyProtection="1">
      <alignment vertical="center"/>
    </xf>
    <xf numFmtId="0" fontId="3" fillId="0" borderId="0" xfId="0" applyFont="1" applyBorder="1" applyAlignment="1" applyProtection="1">
      <alignment vertical="center"/>
    </xf>
    <xf numFmtId="0" fontId="19" fillId="0" borderId="0" xfId="0" applyFont="1" applyFill="1" applyBorder="1" applyAlignment="1" applyProtection="1"/>
    <xf numFmtId="0" fontId="17" fillId="6" borderId="5" xfId="0" applyNumberFormat="1" applyFont="1" applyFill="1" applyBorder="1" applyAlignment="1" applyProtection="1"/>
    <xf numFmtId="0" fontId="0" fillId="6" borderId="5" xfId="0" applyFill="1" applyBorder="1" applyProtection="1"/>
    <xf numFmtId="0" fontId="2" fillId="0" borderId="0" xfId="0" applyFont="1" applyFill="1" applyBorder="1" applyProtection="1"/>
    <xf numFmtId="0" fontId="3" fillId="0" borderId="32" xfId="0" applyFont="1" applyBorder="1" applyAlignment="1" applyProtection="1">
      <alignment vertical="center" wrapText="1"/>
    </xf>
    <xf numFmtId="0" fontId="3" fillId="0" borderId="31" xfId="0" applyFont="1" applyBorder="1" applyAlignment="1" applyProtection="1">
      <alignment vertical="center"/>
    </xf>
    <xf numFmtId="0" fontId="17" fillId="0" borderId="424" xfId="0" applyFont="1" applyFill="1" applyBorder="1" applyAlignment="1" applyProtection="1">
      <alignment horizontal="center"/>
    </xf>
    <xf numFmtId="0" fontId="22" fillId="18" borderId="113" xfId="0" applyFont="1" applyFill="1" applyBorder="1" applyAlignment="1" applyProtection="1">
      <alignment vertical="center"/>
    </xf>
    <xf numFmtId="0" fontId="3" fillId="0" borderId="33" xfId="0" applyFont="1" applyBorder="1" applyAlignment="1" applyProtection="1">
      <alignment vertical="center"/>
    </xf>
    <xf numFmtId="0" fontId="3" fillId="0" borderId="34" xfId="0" applyFont="1" applyBorder="1" applyAlignment="1" applyProtection="1">
      <alignment vertical="center"/>
    </xf>
    <xf numFmtId="0" fontId="3" fillId="0" borderId="35" xfId="0" applyFont="1" applyBorder="1" applyAlignment="1" applyProtection="1">
      <alignment vertical="center"/>
    </xf>
    <xf numFmtId="0" fontId="1" fillId="0" borderId="0" xfId="0" applyFont="1" applyFill="1" applyProtection="1">
      <protection locked="0"/>
    </xf>
    <xf numFmtId="0" fontId="1" fillId="0" borderId="0" xfId="0" applyFont="1" applyFill="1" applyBorder="1" applyProtection="1">
      <protection locked="0"/>
    </xf>
    <xf numFmtId="0" fontId="17" fillId="0" borderId="0" xfId="0" applyFont="1" applyFill="1" applyBorder="1" applyAlignment="1" applyProtection="1">
      <protection locked="0"/>
    </xf>
    <xf numFmtId="0" fontId="18" fillId="0" borderId="471" xfId="0" applyFont="1" applyFill="1" applyBorder="1" applyProtection="1">
      <protection locked="0"/>
    </xf>
    <xf numFmtId="0" fontId="18" fillId="0" borderId="0" xfId="0" applyFont="1" applyFill="1" applyProtection="1">
      <protection locked="0"/>
    </xf>
    <xf numFmtId="0" fontId="1" fillId="0" borderId="0" xfId="0" applyFont="1" applyFill="1" applyAlignment="1" applyProtection="1">
      <protection locked="0"/>
    </xf>
    <xf numFmtId="0" fontId="1" fillId="0" borderId="0" xfId="0" applyFont="1" applyFill="1" applyAlignment="1" applyProtection="1">
      <alignment vertical="top"/>
      <protection locked="0"/>
    </xf>
    <xf numFmtId="0" fontId="1" fillId="0" borderId="28" xfId="0" applyFont="1" applyFill="1" applyBorder="1" applyProtection="1"/>
    <xf numFmtId="0" fontId="1" fillId="0" borderId="29" xfId="0" applyFont="1" applyFill="1" applyBorder="1" applyProtection="1"/>
    <xf numFmtId="0" fontId="1" fillId="0" borderId="30" xfId="0" applyFont="1" applyFill="1" applyBorder="1" applyProtection="1"/>
    <xf numFmtId="0" fontId="1" fillId="0" borderId="31" xfId="0" applyFont="1" applyFill="1" applyBorder="1" applyProtection="1"/>
    <xf numFmtId="0" fontId="1" fillId="0" borderId="0" xfId="0" applyFont="1" applyFill="1" applyBorder="1" applyProtection="1"/>
    <xf numFmtId="0" fontId="1" fillId="0" borderId="32" xfId="0" applyFont="1" applyFill="1" applyBorder="1" applyProtection="1"/>
    <xf numFmtId="0" fontId="17" fillId="6" borderId="5" xfId="0" applyFont="1" applyFill="1" applyBorder="1" applyAlignment="1" applyProtection="1"/>
    <xf numFmtId="0" fontId="1" fillId="6" borderId="5" xfId="0" applyFont="1" applyFill="1" applyBorder="1" applyProtection="1"/>
    <xf numFmtId="0" fontId="2" fillId="0" borderId="0" xfId="0" applyFont="1" applyFill="1" applyAlignment="1" applyProtection="1">
      <alignment horizontal="right"/>
    </xf>
    <xf numFmtId="0" fontId="1" fillId="6" borderId="251" xfId="0" applyFont="1" applyFill="1" applyBorder="1" applyProtection="1"/>
    <xf numFmtId="0" fontId="17" fillId="0" borderId="0" xfId="0" applyFont="1" applyFill="1" applyBorder="1" applyAlignment="1" applyProtection="1"/>
    <xf numFmtId="0" fontId="17" fillId="0" borderId="32" xfId="0" applyFont="1" applyFill="1" applyBorder="1" applyAlignment="1" applyProtection="1"/>
    <xf numFmtId="14" fontId="1" fillId="0" borderId="0" xfId="0" applyNumberFormat="1" applyFont="1" applyFill="1" applyBorder="1" applyProtection="1"/>
    <xf numFmtId="0" fontId="18" fillId="0" borderId="0" xfId="0" applyFont="1" applyFill="1" applyBorder="1" applyProtection="1"/>
    <xf numFmtId="0" fontId="1" fillId="0" borderId="0" xfId="0" applyFont="1" applyFill="1" applyProtection="1"/>
    <xf numFmtId="0" fontId="18" fillId="0" borderId="32" xfId="0" applyFont="1" applyFill="1" applyBorder="1" applyProtection="1"/>
    <xf numFmtId="0" fontId="18" fillId="0" borderId="472" xfId="0" applyFont="1" applyFill="1" applyBorder="1" applyProtection="1"/>
    <xf numFmtId="0" fontId="85" fillId="0" borderId="0" xfId="0" applyFont="1" applyFill="1" applyBorder="1" applyAlignment="1" applyProtection="1">
      <alignment horizontal="right"/>
    </xf>
    <xf numFmtId="0" fontId="17"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22" fillId="0" borderId="5" xfId="0" applyFont="1" applyFill="1" applyBorder="1" applyAlignment="1" applyProtection="1">
      <alignment horizontal="left"/>
    </xf>
    <xf numFmtId="0" fontId="22" fillId="16" borderId="78" xfId="0" applyFont="1" applyFill="1" applyBorder="1" applyAlignment="1" applyProtection="1">
      <alignment horizontal="center" wrapText="1"/>
    </xf>
    <xf numFmtId="0" fontId="22" fillId="16" borderId="472" xfId="0" applyFont="1" applyFill="1" applyBorder="1" applyAlignment="1" applyProtection="1">
      <alignment horizontal="left" wrapText="1"/>
    </xf>
    <xf numFmtId="0" fontId="22" fillId="16" borderId="472" xfId="0" applyFont="1" applyFill="1" applyBorder="1" applyAlignment="1" applyProtection="1">
      <alignment horizontal="center" wrapText="1"/>
    </xf>
    <xf numFmtId="0" fontId="42" fillId="16" borderId="472" xfId="0" applyFont="1" applyFill="1" applyBorder="1" applyProtection="1"/>
    <xf numFmtId="0" fontId="2" fillId="16" borderId="79" xfId="0" applyFont="1" applyFill="1" applyBorder="1" applyAlignment="1" applyProtection="1">
      <alignment horizontal="left"/>
    </xf>
    <xf numFmtId="0" fontId="1" fillId="0" borderId="506" xfId="0" applyFont="1" applyFill="1" applyBorder="1" applyAlignment="1" applyProtection="1">
      <alignment horizontal="center"/>
    </xf>
    <xf numFmtId="0" fontId="0" fillId="0" borderId="519" xfId="0" applyFill="1" applyBorder="1" applyProtection="1"/>
    <xf numFmtId="0" fontId="1" fillId="0" borderId="507" xfId="0" applyFont="1" applyFill="1" applyBorder="1" applyAlignment="1" applyProtection="1">
      <alignment horizontal="center"/>
    </xf>
    <xf numFmtId="0" fontId="0" fillId="0" borderId="520" xfId="0" applyFill="1" applyBorder="1" applyProtection="1"/>
    <xf numFmtId="0" fontId="1" fillId="8" borderId="78" xfId="0" applyFont="1" applyFill="1" applyBorder="1" applyAlignment="1" applyProtection="1">
      <alignment horizontal="center"/>
    </xf>
    <xf numFmtId="0" fontId="1" fillId="8" borderId="472" xfId="0" applyFont="1" applyFill="1" applyBorder="1" applyProtection="1"/>
    <xf numFmtId="0" fontId="1" fillId="8" borderId="472" xfId="0" applyFont="1" applyFill="1" applyBorder="1" applyAlignment="1" applyProtection="1">
      <alignment horizontal="center"/>
    </xf>
    <xf numFmtId="0" fontId="1" fillId="18" borderId="79" xfId="0" applyFont="1" applyFill="1" applyBorder="1" applyAlignment="1" applyProtection="1">
      <alignment horizontal="right"/>
    </xf>
    <xf numFmtId="0" fontId="1" fillId="6" borderId="471" xfId="0" applyFont="1" applyFill="1" applyBorder="1" applyProtection="1"/>
    <xf numFmtId="0" fontId="1" fillId="0" borderId="17" xfId="0" applyFont="1" applyFill="1" applyBorder="1" applyAlignment="1" applyProtection="1">
      <alignment horizontal="center"/>
    </xf>
    <xf numFmtId="0" fontId="0" fillId="0" borderId="0" xfId="0" applyFill="1" applyBorder="1" applyProtection="1"/>
    <xf numFmtId="0" fontId="1" fillId="0" borderId="17" xfId="0" applyFont="1" applyFill="1" applyBorder="1" applyProtection="1"/>
    <xf numFmtId="0" fontId="22" fillId="0" borderId="0" xfId="0" applyFont="1" applyFill="1" applyBorder="1" applyAlignment="1" applyProtection="1">
      <alignment horizontal="left"/>
    </xf>
    <xf numFmtId="0" fontId="1" fillId="0" borderId="23" xfId="0" applyFont="1" applyFill="1" applyBorder="1" applyAlignment="1" applyProtection="1">
      <alignment horizontal="center"/>
    </xf>
    <xf numFmtId="0" fontId="1" fillId="0" borderId="521" xfId="0" applyFont="1" applyFill="1" applyBorder="1" applyAlignment="1" applyProtection="1">
      <alignment horizontal="center"/>
    </xf>
    <xf numFmtId="0" fontId="0" fillId="0" borderId="523" xfId="0" applyFill="1" applyBorder="1" applyProtection="1"/>
    <xf numFmtId="0" fontId="52" fillId="0" borderId="32" xfId="0" applyFont="1" applyFill="1" applyBorder="1" applyProtection="1"/>
    <xf numFmtId="0" fontId="0" fillId="0" borderId="521" xfId="0" applyFont="1" applyFill="1" applyBorder="1" applyAlignment="1" applyProtection="1">
      <alignment horizontal="center"/>
    </xf>
    <xf numFmtId="0" fontId="1" fillId="0" borderId="31" xfId="0" applyFont="1" applyFill="1" applyBorder="1" applyAlignment="1" applyProtection="1"/>
    <xf numFmtId="0" fontId="1" fillId="0" borderId="32" xfId="0" applyFont="1" applyFill="1" applyBorder="1" applyAlignment="1" applyProtection="1"/>
    <xf numFmtId="0" fontId="1" fillId="0" borderId="521" xfId="0" quotePrefix="1" applyFont="1" applyFill="1" applyBorder="1" applyAlignment="1" applyProtection="1">
      <alignment horizontal="center"/>
    </xf>
    <xf numFmtId="0" fontId="18" fillId="0" borderId="523" xfId="0" applyFont="1" applyFill="1" applyBorder="1" applyProtection="1"/>
    <xf numFmtId="0" fontId="1" fillId="0" borderId="511" xfId="0" applyFont="1" applyFill="1" applyBorder="1" applyAlignment="1" applyProtection="1">
      <alignment horizontal="center"/>
    </xf>
    <xf numFmtId="0" fontId="0" fillId="0" borderId="524" xfId="0" applyFill="1" applyBorder="1" applyProtection="1"/>
    <xf numFmtId="0" fontId="1" fillId="0" borderId="498" xfId="0" applyFont="1" applyFill="1" applyBorder="1" applyAlignment="1" applyProtection="1">
      <alignment horizontal="center"/>
    </xf>
    <xf numFmtId="0" fontId="0" fillId="0" borderId="525" xfId="0" applyFill="1" applyBorder="1" applyProtection="1"/>
    <xf numFmtId="0" fontId="0" fillId="0" borderId="526" xfId="0" applyFill="1" applyBorder="1" applyProtection="1"/>
    <xf numFmtId="0" fontId="2" fillId="0" borderId="31" xfId="0" applyFont="1" applyFill="1" applyBorder="1" applyProtection="1"/>
    <xf numFmtId="0" fontId="1" fillId="0" borderId="0" xfId="0" applyFont="1" applyFill="1" applyBorder="1" applyAlignment="1" applyProtection="1">
      <alignment horizontal="center"/>
    </xf>
    <xf numFmtId="0" fontId="2" fillId="0" borderId="0" xfId="0" applyFont="1" applyFill="1" applyBorder="1" applyAlignment="1" applyProtection="1">
      <alignment horizontal="left"/>
    </xf>
    <xf numFmtId="0" fontId="1" fillId="0" borderId="527" xfId="0" applyFont="1" applyFill="1" applyBorder="1" applyAlignment="1" applyProtection="1">
      <alignment horizontal="center"/>
    </xf>
    <xf numFmtId="0" fontId="0" fillId="0" borderId="528" xfId="0" applyFill="1" applyBorder="1" applyProtection="1"/>
    <xf numFmtId="0" fontId="0" fillId="0" borderId="505" xfId="0" applyFont="1" applyFill="1" applyBorder="1" applyAlignment="1" applyProtection="1">
      <alignment horizontal="center"/>
    </xf>
    <xf numFmtId="0" fontId="0" fillId="0" borderId="497" xfId="0" applyFill="1" applyBorder="1" applyProtection="1"/>
    <xf numFmtId="0" fontId="1" fillId="0" borderId="505" xfId="0" applyFont="1" applyFill="1" applyBorder="1" applyAlignment="1" applyProtection="1">
      <alignment horizontal="center"/>
    </xf>
    <xf numFmtId="0" fontId="18" fillId="0" borderId="497" xfId="0" applyFont="1" applyFill="1" applyBorder="1" applyProtection="1"/>
    <xf numFmtId="0" fontId="1" fillId="0" borderId="503" xfId="0" applyFont="1" applyFill="1" applyBorder="1" applyAlignment="1" applyProtection="1">
      <alignment horizontal="center"/>
    </xf>
    <xf numFmtId="0" fontId="0" fillId="0" borderId="502" xfId="0" applyFill="1" applyBorder="1" applyProtection="1"/>
    <xf numFmtId="0" fontId="1" fillId="0" borderId="33" xfId="0" applyFont="1" applyFill="1" applyBorder="1" applyProtection="1"/>
    <xf numFmtId="0" fontId="1" fillId="0" borderId="34" xfId="0" applyFont="1" applyFill="1" applyBorder="1" applyAlignment="1" applyProtection="1">
      <alignment horizontal="center"/>
    </xf>
    <xf numFmtId="0" fontId="1" fillId="0" borderId="34" xfId="0" applyFont="1" applyFill="1" applyBorder="1" applyProtection="1"/>
    <xf numFmtId="0" fontId="0" fillId="0" borderId="34" xfId="0" applyFill="1" applyBorder="1" applyProtection="1"/>
    <xf numFmtId="0" fontId="1" fillId="0" borderId="35" xfId="0" applyFont="1" applyFill="1" applyBorder="1" applyProtection="1"/>
    <xf numFmtId="0" fontId="2" fillId="0" borderId="29" xfId="0" applyFont="1" applyFill="1" applyBorder="1" applyAlignment="1" applyProtection="1">
      <alignment horizontal="left"/>
    </xf>
    <xf numFmtId="0" fontId="0" fillId="0" borderId="29" xfId="0" applyFill="1" applyBorder="1" applyProtection="1"/>
    <xf numFmtId="0" fontId="1" fillId="0" borderId="31" xfId="0" applyFont="1" applyFill="1" applyBorder="1" applyAlignment="1" applyProtection="1">
      <alignment vertical="top"/>
    </xf>
    <xf numFmtId="0" fontId="1" fillId="0" borderId="505" xfId="0" applyFont="1" applyFill="1" applyBorder="1" applyAlignment="1" applyProtection="1">
      <alignment horizontal="center" vertical="top"/>
    </xf>
    <xf numFmtId="0" fontId="1" fillId="0" borderId="32" xfId="0" applyFont="1" applyFill="1" applyBorder="1" applyAlignment="1" applyProtection="1">
      <alignment vertical="top"/>
    </xf>
    <xf numFmtId="0" fontId="1" fillId="0" borderId="495" xfId="0" applyFont="1" applyFill="1" applyBorder="1" applyAlignment="1" applyProtection="1">
      <alignment horizontal="right"/>
    </xf>
    <xf numFmtId="0" fontId="1" fillId="6" borderId="494" xfId="0" applyFont="1" applyFill="1" applyBorder="1" applyProtection="1"/>
    <xf numFmtId="0" fontId="1" fillId="0" borderId="493" xfId="0" applyFont="1" applyFill="1" applyBorder="1" applyAlignment="1" applyProtection="1">
      <alignment horizontal="right"/>
    </xf>
    <xf numFmtId="0" fontId="1" fillId="6" borderId="492" xfId="0" applyFont="1" applyFill="1" applyBorder="1" applyProtection="1"/>
    <xf numFmtId="0" fontId="1" fillId="0" borderId="491" xfId="0" applyFont="1" applyFill="1" applyBorder="1" applyAlignment="1" applyProtection="1">
      <alignment horizontal="right"/>
    </xf>
    <xf numFmtId="0" fontId="1" fillId="6" borderId="490" xfId="0" applyFont="1" applyFill="1" applyBorder="1" applyProtection="1"/>
    <xf numFmtId="0" fontId="1" fillId="0" borderId="10" xfId="0" applyFont="1" applyFill="1" applyBorder="1" applyAlignment="1" applyProtection="1">
      <alignment horizontal="right"/>
    </xf>
    <xf numFmtId="0" fontId="1" fillId="6" borderId="21" xfId="0" applyFont="1" applyFill="1" applyBorder="1" applyProtection="1"/>
    <xf numFmtId="0" fontId="1" fillId="5" borderId="65" xfId="0" applyFont="1" applyFill="1" applyBorder="1" applyAlignment="1" applyProtection="1">
      <protection locked="0"/>
    </xf>
    <xf numFmtId="0" fontId="3" fillId="0" borderId="103" xfId="0" applyFont="1" applyBorder="1" applyAlignment="1" applyProtection="1">
      <protection locked="0"/>
    </xf>
    <xf numFmtId="0" fontId="1" fillId="5" borderId="66" xfId="0" applyFont="1" applyFill="1" applyBorder="1" applyAlignment="1" applyProtection="1">
      <protection locked="0"/>
    </xf>
    <xf numFmtId="0" fontId="1" fillId="5" borderId="68" xfId="0" applyFont="1" applyFill="1" applyBorder="1" applyAlignment="1" applyProtection="1">
      <protection locked="0"/>
    </xf>
    <xf numFmtId="0" fontId="3" fillId="0" borderId="132" xfId="0" applyFont="1" applyBorder="1" applyAlignment="1" applyProtection="1">
      <protection locked="0"/>
    </xf>
    <xf numFmtId="0" fontId="1" fillId="5" borderId="158" xfId="0" applyFont="1" applyFill="1" applyBorder="1" applyAlignment="1" applyProtection="1">
      <protection locked="0"/>
    </xf>
    <xf numFmtId="0" fontId="3" fillId="0" borderId="38" xfId="0" applyFont="1" applyBorder="1" applyProtection="1"/>
    <xf numFmtId="0" fontId="3" fillId="0" borderId="39" xfId="0" applyFont="1" applyBorder="1" applyProtection="1"/>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6" fillId="0" borderId="0" xfId="0" applyFont="1" applyBorder="1" applyProtection="1"/>
    <xf numFmtId="0" fontId="3" fillId="6" borderId="5" xfId="0" applyFont="1" applyFill="1" applyBorder="1" applyAlignment="1" applyProtection="1"/>
    <xf numFmtId="0" fontId="3" fillId="0" borderId="41" xfId="0" applyFont="1" applyBorder="1" applyAlignment="1" applyProtection="1"/>
    <xf numFmtId="0" fontId="2" fillId="18" borderId="429" xfId="0" applyFont="1" applyFill="1" applyBorder="1" applyAlignment="1" applyProtection="1">
      <alignment horizontal="center" wrapText="1"/>
    </xf>
    <xf numFmtId="0" fontId="2" fillId="18" borderId="427" xfId="0" applyFont="1" applyFill="1" applyBorder="1" applyAlignment="1" applyProtection="1"/>
    <xf numFmtId="0" fontId="2" fillId="18" borderId="428" xfId="0" applyFont="1" applyFill="1" applyBorder="1" applyAlignment="1" applyProtection="1">
      <alignment wrapText="1"/>
    </xf>
    <xf numFmtId="0" fontId="3" fillId="0" borderId="42" xfId="0" applyFont="1" applyBorder="1" applyAlignment="1" applyProtection="1"/>
    <xf numFmtId="0" fontId="24" fillId="0" borderId="0" xfId="0" applyFont="1" applyBorder="1" applyAlignment="1" applyProtection="1">
      <alignment horizontal="right"/>
    </xf>
    <xf numFmtId="0" fontId="1" fillId="0" borderId="0" xfId="0" applyFont="1" applyFill="1" applyBorder="1" applyAlignment="1" applyProtection="1"/>
    <xf numFmtId="0" fontId="3" fillId="0" borderId="43" xfId="0" applyFont="1" applyBorder="1" applyProtection="1"/>
    <xf numFmtId="0" fontId="3" fillId="0" borderId="44" xfId="0" applyFont="1" applyBorder="1" applyProtection="1"/>
    <xf numFmtId="0" fontId="3" fillId="0" borderId="45" xfId="0" applyFont="1" applyBorder="1" applyProtection="1"/>
    <xf numFmtId="0" fontId="3" fillId="6" borderId="146" xfId="0" applyFont="1" applyFill="1" applyBorder="1" applyProtection="1"/>
    <xf numFmtId="0" fontId="3" fillId="0" borderId="28" xfId="0" applyFont="1" applyFill="1" applyBorder="1" applyAlignment="1" applyProtection="1"/>
    <xf numFmtId="0" fontId="3" fillId="0" borderId="29" xfId="0" applyFont="1" applyFill="1" applyBorder="1" applyAlignment="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19" fillId="18" borderId="426" xfId="0" applyFont="1" applyFill="1" applyBorder="1" applyAlignment="1" applyProtection="1">
      <alignment vertical="center"/>
    </xf>
    <xf numFmtId="0" fontId="6" fillId="18" borderId="432" xfId="0" applyFont="1" applyFill="1" applyBorder="1" applyAlignment="1" applyProtection="1">
      <alignment vertical="center"/>
    </xf>
    <xf numFmtId="0" fontId="6" fillId="18" borderId="426" xfId="0" applyFont="1" applyFill="1" applyBorder="1" applyAlignment="1" applyProtection="1">
      <alignment horizontal="center" vertical="center" wrapText="1"/>
    </xf>
    <xf numFmtId="0" fontId="6" fillId="18" borderId="222" xfId="0" applyFont="1" applyFill="1" applyBorder="1" applyAlignment="1" applyProtection="1">
      <alignment horizontal="center" vertical="center" wrapText="1"/>
    </xf>
    <xf numFmtId="0" fontId="6" fillId="18" borderId="433" xfId="0" applyFont="1" applyFill="1" applyBorder="1" applyAlignment="1" applyProtection="1">
      <alignment horizontal="center" vertical="center"/>
    </xf>
    <xf numFmtId="7" fontId="3" fillId="4" borderId="221" xfId="0" applyNumberFormat="1" applyFont="1" applyFill="1" applyBorder="1" applyAlignment="1" applyProtection="1">
      <alignment horizontal="center"/>
    </xf>
    <xf numFmtId="7" fontId="3" fillId="4" borderId="222" xfId="0" applyNumberFormat="1" applyFont="1" applyFill="1" applyBorder="1" applyAlignment="1" applyProtection="1">
      <alignment horizontal="center"/>
    </xf>
    <xf numFmtId="7" fontId="3" fillId="4" borderId="433" xfId="0" applyNumberFormat="1" applyFont="1" applyFill="1" applyBorder="1" applyAlignment="1" applyProtection="1">
      <alignment horizontal="center"/>
    </xf>
    <xf numFmtId="0" fontId="18" fillId="3" borderId="80" xfId="0" applyFont="1" applyFill="1" applyBorder="1" applyAlignment="1" applyProtection="1"/>
    <xf numFmtId="0" fontId="18" fillId="3" borderId="85" xfId="0" applyFont="1" applyFill="1" applyBorder="1" applyAlignment="1" applyProtection="1"/>
    <xf numFmtId="44" fontId="3" fillId="2" borderId="434" xfId="0" applyNumberFormat="1" applyFont="1" applyFill="1" applyBorder="1" applyAlignment="1" applyProtection="1"/>
    <xf numFmtId="44" fontId="3" fillId="2" borderId="397" xfId="0" applyNumberFormat="1" applyFont="1" applyFill="1" applyBorder="1" applyAlignment="1" applyProtection="1"/>
    <xf numFmtId="0" fontId="18" fillId="3" borderId="96" xfId="0" applyFont="1" applyFill="1" applyBorder="1" applyAlignment="1" applyProtection="1"/>
    <xf numFmtId="0" fontId="18" fillId="3" borderId="97" xfId="0" applyFont="1" applyFill="1" applyBorder="1" applyAlignment="1" applyProtection="1"/>
    <xf numFmtId="44" fontId="3" fillId="2" borderId="435" xfId="0" applyNumberFormat="1" applyFont="1" applyFill="1" applyBorder="1" applyAlignment="1" applyProtection="1"/>
    <xf numFmtId="0" fontId="6" fillId="18" borderId="10" xfId="0" applyFont="1" applyFill="1" applyBorder="1" applyAlignment="1" applyProtection="1"/>
    <xf numFmtId="0" fontId="6" fillId="18" borderId="11" xfId="0" applyFont="1" applyFill="1" applyBorder="1" applyAlignment="1" applyProtection="1"/>
    <xf numFmtId="0" fontId="6" fillId="18" borderId="466" xfId="0" applyFont="1" applyFill="1" applyBorder="1" applyAlignment="1" applyProtection="1"/>
    <xf numFmtId="0" fontId="6" fillId="0" borderId="0" xfId="0" applyFont="1" applyFill="1" applyBorder="1" applyAlignment="1" applyProtection="1"/>
    <xf numFmtId="44" fontId="6" fillId="0" borderId="0" xfId="0" applyNumberFormat="1" applyFont="1" applyFill="1" applyBorder="1" applyAlignment="1" applyProtection="1">
      <alignment horizontal="center" vertical="center"/>
    </xf>
    <xf numFmtId="44" fontId="24" fillId="0" borderId="0" xfId="0" applyNumberFormat="1" applyFont="1" applyFill="1" applyBorder="1" applyAlignment="1" applyProtection="1">
      <alignment horizontal="right" vertical="center"/>
    </xf>
    <xf numFmtId="0" fontId="3" fillId="0" borderId="33" xfId="0" applyFont="1" applyFill="1" applyBorder="1" applyAlignment="1" applyProtection="1"/>
    <xf numFmtId="0" fontId="3" fillId="3" borderId="34" xfId="0" applyFont="1" applyFill="1" applyBorder="1" applyAlignment="1" applyProtection="1"/>
    <xf numFmtId="0" fontId="3" fillId="0" borderId="35" xfId="0" applyFont="1" applyFill="1" applyBorder="1" applyAlignment="1" applyProtection="1"/>
    <xf numFmtId="0" fontId="9" fillId="0" borderId="0" xfId="0" applyFont="1" applyFill="1" applyBorder="1" applyAlignment="1" applyProtection="1">
      <alignment horizontal="left" vertical="center"/>
    </xf>
    <xf numFmtId="0" fontId="3" fillId="0" borderId="239" xfId="0" applyFont="1" applyBorder="1" applyAlignment="1" applyProtection="1">
      <alignment vertical="center" wrapText="1"/>
    </xf>
    <xf numFmtId="0" fontId="3" fillId="0" borderId="239" xfId="0" applyFont="1" applyBorder="1" applyAlignment="1" applyProtection="1">
      <alignment vertical="center"/>
    </xf>
    <xf numFmtId="0" fontId="3" fillId="0" borderId="0" xfId="0" applyFont="1" applyProtection="1"/>
    <xf numFmtId="5" fontId="29" fillId="18" borderId="78" xfId="0" applyNumberFormat="1" applyFont="1" applyFill="1" applyBorder="1" applyAlignment="1" applyProtection="1">
      <alignment vertical="center" wrapText="1"/>
    </xf>
    <xf numFmtId="5" fontId="29" fillId="18" borderId="93" xfId="0" applyNumberFormat="1" applyFont="1" applyFill="1" applyBorder="1" applyAlignment="1" applyProtection="1">
      <alignment vertical="center" wrapText="1"/>
    </xf>
    <xf numFmtId="5" fontId="29" fillId="0" borderId="0" xfId="0" applyNumberFormat="1" applyFont="1" applyFill="1" applyBorder="1" applyAlignment="1" applyProtection="1">
      <alignment horizontal="center" vertical="center" wrapText="1"/>
    </xf>
    <xf numFmtId="44" fontId="0" fillId="0" borderId="0" xfId="0" applyNumberFormat="1" applyProtection="1">
      <protection locked="0"/>
    </xf>
    <xf numFmtId="0" fontId="13" fillId="0" borderId="28" xfId="0" applyFont="1" applyBorder="1" applyProtection="1"/>
    <xf numFmtId="0" fontId="13" fillId="0" borderId="29" xfId="0" applyFont="1" applyBorder="1" applyProtection="1"/>
    <xf numFmtId="0" fontId="13" fillId="0" borderId="30" xfId="0" applyFont="1" applyBorder="1" applyProtection="1"/>
    <xf numFmtId="0" fontId="13" fillId="0" borderId="31" xfId="0" applyFont="1" applyBorder="1" applyProtection="1"/>
    <xf numFmtId="0" fontId="13" fillId="0" borderId="32" xfId="0" applyFont="1" applyBorder="1" applyProtection="1"/>
    <xf numFmtId="0" fontId="13" fillId="0" borderId="0" xfId="0" applyFont="1" applyBorder="1" applyProtection="1"/>
    <xf numFmtId="0" fontId="17" fillId="0" borderId="0" xfId="0" applyFont="1" applyBorder="1" applyAlignment="1" applyProtection="1"/>
    <xf numFmtId="0" fontId="17" fillId="6" borderId="5" xfId="0" applyFont="1" applyFill="1" applyBorder="1" applyAlignment="1" applyProtection="1"/>
    <xf numFmtId="0" fontId="17" fillId="0" borderId="0" xfId="0" applyFont="1" applyFill="1" applyBorder="1" applyAlignment="1" applyProtection="1"/>
    <xf numFmtId="0" fontId="13" fillId="0" borderId="31" xfId="0" applyFont="1" applyFill="1" applyBorder="1" applyProtection="1"/>
    <xf numFmtId="0" fontId="13" fillId="0" borderId="0" xfId="0" applyFont="1" applyFill="1" applyBorder="1" applyProtection="1"/>
    <xf numFmtId="0" fontId="13" fillId="0" borderId="0" xfId="0" applyFont="1" applyProtection="1"/>
    <xf numFmtId="0" fontId="13" fillId="0" borderId="33" xfId="0" applyFont="1" applyFill="1" applyBorder="1" applyProtection="1"/>
    <xf numFmtId="0" fontId="13" fillId="0" borderId="34" xfId="0" applyFont="1" applyBorder="1" applyProtection="1"/>
    <xf numFmtId="0" fontId="13" fillId="0" borderId="35" xfId="0" applyFont="1" applyBorder="1" applyProtection="1"/>
    <xf numFmtId="0" fontId="13" fillId="0" borderId="32" xfId="0" applyFont="1" applyBorder="1" applyAlignment="1" applyProtection="1"/>
    <xf numFmtId="0" fontId="13" fillId="0" borderId="32" xfId="0" applyFont="1" applyFill="1" applyBorder="1" applyProtection="1"/>
    <xf numFmtId="0" fontId="13" fillId="0" borderId="0" xfId="0" applyFont="1" applyFill="1" applyProtection="1"/>
    <xf numFmtId="5" fontId="10" fillId="0" borderId="34" xfId="0" applyNumberFormat="1" applyFont="1" applyFill="1" applyBorder="1" applyAlignment="1" applyProtection="1">
      <alignment vertical="center"/>
    </xf>
    <xf numFmtId="0" fontId="3" fillId="0" borderId="28" xfId="0" applyFont="1" applyBorder="1" applyProtection="1"/>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32" xfId="0" applyFont="1" applyBorder="1" applyProtection="1"/>
    <xf numFmtId="3" fontId="27" fillId="0" borderId="2" xfId="0" applyNumberFormat="1" applyFont="1" applyFill="1" applyBorder="1" applyAlignment="1" applyProtection="1"/>
    <xf numFmtId="3" fontId="33" fillId="0" borderId="0" xfId="0" applyNumberFormat="1" applyFont="1" applyFill="1" applyBorder="1" applyAlignment="1" applyProtection="1">
      <alignment horizontal="right" vertical="center"/>
    </xf>
    <xf numFmtId="0" fontId="3" fillId="0" borderId="33" xfId="0" applyFont="1" applyFill="1" applyBorder="1" applyProtection="1"/>
    <xf numFmtId="0" fontId="3" fillId="0" borderId="35" xfId="0" applyFont="1" applyBorder="1" applyProtection="1"/>
    <xf numFmtId="0" fontId="3" fillId="0" borderId="33" xfId="0" applyFont="1" applyBorder="1" applyProtection="1"/>
    <xf numFmtId="0" fontId="3" fillId="0" borderId="34" xfId="0" applyFont="1" applyBorder="1" applyProtection="1"/>
    <xf numFmtId="0" fontId="57" fillId="0" borderId="38" xfId="0" applyFont="1" applyBorder="1" applyProtection="1"/>
    <xf numFmtId="0" fontId="57" fillId="0" borderId="39" xfId="0" applyFont="1" applyBorder="1" applyProtection="1"/>
    <xf numFmtId="0" fontId="57" fillId="0" borderId="39" xfId="0" applyFont="1" applyFill="1" applyBorder="1" applyAlignment="1" applyProtection="1">
      <alignment wrapText="1"/>
    </xf>
    <xf numFmtId="0" fontId="57" fillId="0" borderId="40" xfId="0" applyFont="1" applyFill="1" applyBorder="1" applyAlignment="1" applyProtection="1">
      <alignment wrapText="1"/>
    </xf>
    <xf numFmtId="0" fontId="57" fillId="0" borderId="41" xfId="0" applyFont="1" applyBorder="1" applyProtection="1"/>
    <xf numFmtId="0" fontId="57" fillId="0" borderId="42" xfId="0" applyFont="1" applyFill="1" applyBorder="1" applyAlignment="1" applyProtection="1">
      <alignment wrapText="1"/>
    </xf>
    <xf numFmtId="0" fontId="57" fillId="0" borderId="0" xfId="0" applyFont="1" applyBorder="1" applyProtection="1"/>
    <xf numFmtId="0" fontId="57" fillId="0" borderId="0" xfId="0" applyFont="1" applyFill="1" applyBorder="1" applyAlignment="1" applyProtection="1">
      <alignment wrapText="1"/>
    </xf>
    <xf numFmtId="0" fontId="56" fillId="0" borderId="0" xfId="0" applyFont="1" applyProtection="1"/>
    <xf numFmtId="0" fontId="17" fillId="0" borderId="42" xfId="0" applyFont="1" applyBorder="1" applyAlignment="1" applyProtection="1"/>
    <xf numFmtId="0" fontId="58" fillId="0" borderId="42" xfId="0" applyFont="1" applyBorder="1" applyProtection="1"/>
    <xf numFmtId="0" fontId="0" fillId="0" borderId="0" xfId="0" applyFont="1" applyProtection="1"/>
    <xf numFmtId="0" fontId="0" fillId="0" borderId="27" xfId="0" applyFont="1" applyBorder="1" applyProtection="1"/>
    <xf numFmtId="0" fontId="0" fillId="0" borderId="5" xfId="0" applyFont="1" applyBorder="1" applyProtection="1"/>
    <xf numFmtId="0" fontId="57" fillId="0" borderId="43" xfId="0" applyFont="1" applyBorder="1" applyProtection="1"/>
    <xf numFmtId="0" fontId="57" fillId="0" borderId="44" xfId="0" applyFont="1" applyBorder="1" applyProtection="1"/>
    <xf numFmtId="0" fontId="58" fillId="0" borderId="45" xfId="0" applyFont="1" applyBorder="1" applyProtection="1"/>
    <xf numFmtId="0" fontId="3" fillId="5" borderId="168" xfId="0" applyFont="1" applyFill="1" applyBorder="1" applyProtection="1"/>
    <xf numFmtId="0" fontId="52" fillId="0" borderId="0" xfId="0" applyFont="1" applyFill="1" applyProtection="1">
      <protection locked="0"/>
    </xf>
    <xf numFmtId="0" fontId="18" fillId="0" borderId="28" xfId="0" applyFont="1" applyFill="1" applyBorder="1" applyAlignment="1" applyProtection="1"/>
    <xf numFmtId="0" fontId="18" fillId="0" borderId="29" xfId="0" applyFont="1" applyFill="1" applyBorder="1" applyAlignment="1" applyProtection="1"/>
    <xf numFmtId="0" fontId="18" fillId="0" borderId="29" xfId="0" applyFont="1" applyFill="1" applyBorder="1" applyAlignment="1" applyProtection="1">
      <alignment horizontal="left"/>
    </xf>
    <xf numFmtId="0" fontId="18" fillId="0" borderId="30" xfId="0" applyFont="1" applyFill="1" applyBorder="1" applyAlignment="1" applyProtection="1"/>
    <xf numFmtId="0" fontId="18" fillId="0" borderId="31" xfId="0" applyFont="1" applyFill="1" applyBorder="1" applyAlignment="1" applyProtection="1"/>
    <xf numFmtId="0" fontId="18" fillId="0" borderId="32" xfId="0" applyFont="1" applyFill="1" applyBorder="1" applyAlignment="1" applyProtection="1"/>
    <xf numFmtId="0" fontId="18" fillId="6" borderId="5" xfId="0" applyFont="1" applyFill="1" applyBorder="1" applyAlignment="1" applyProtection="1"/>
    <xf numFmtId="0" fontId="17" fillId="6" borderId="5" xfId="0" applyFont="1" applyFill="1" applyBorder="1" applyAlignment="1" applyProtection="1">
      <alignment horizontal="left"/>
    </xf>
    <xf numFmtId="0" fontId="17" fillId="0" borderId="0" xfId="0" applyFont="1" applyFill="1" applyBorder="1" applyAlignment="1" applyProtection="1">
      <alignment horizontal="left"/>
    </xf>
    <xf numFmtId="0" fontId="17" fillId="0" borderId="32" xfId="0" applyFont="1" applyFill="1" applyBorder="1" applyAlignment="1" applyProtection="1"/>
    <xf numFmtId="0" fontId="22" fillId="0" borderId="31" xfId="0" applyFont="1" applyFill="1" applyBorder="1" applyAlignment="1" applyProtection="1">
      <alignment horizontal="center"/>
    </xf>
    <xf numFmtId="0" fontId="22" fillId="18" borderId="248" xfId="0" applyFont="1" applyFill="1" applyBorder="1" applyAlignment="1" applyProtection="1"/>
    <xf numFmtId="0" fontId="22" fillId="18" borderId="248" xfId="0" applyFont="1" applyFill="1" applyBorder="1" applyAlignment="1" applyProtection="1">
      <alignment wrapText="1"/>
    </xf>
    <xf numFmtId="0" fontId="22" fillId="18" borderId="248" xfId="0" applyFont="1" applyFill="1" applyBorder="1" applyAlignment="1" applyProtection="1">
      <alignment horizontal="center" wrapText="1"/>
    </xf>
    <xf numFmtId="0" fontId="46" fillId="18" borderId="248" xfId="0" applyFont="1" applyFill="1" applyBorder="1" applyAlignment="1" applyProtection="1">
      <alignment horizontal="center" wrapText="1"/>
    </xf>
    <xf numFmtId="0" fontId="46" fillId="0" borderId="0" xfId="0" applyFont="1" applyFill="1" applyBorder="1" applyAlignment="1" applyProtection="1">
      <alignment horizontal="center"/>
    </xf>
    <xf numFmtId="0" fontId="46" fillId="0" borderId="32" xfId="0" applyFont="1" applyFill="1" applyBorder="1" applyAlignment="1" applyProtection="1">
      <alignment horizontal="center"/>
    </xf>
    <xf numFmtId="44" fontId="18" fillId="6" borderId="451" xfId="0" applyNumberFormat="1" applyFont="1" applyFill="1" applyBorder="1" applyAlignment="1" applyProtection="1"/>
    <xf numFmtId="0" fontId="18" fillId="0" borderId="0" xfId="0" applyFont="1" applyFill="1" applyProtection="1"/>
    <xf numFmtId="0" fontId="22" fillId="0" borderId="0" xfId="0" applyFont="1" applyFill="1" applyBorder="1" applyAlignment="1" applyProtection="1"/>
    <xf numFmtId="0" fontId="22" fillId="18" borderId="249" xfId="0" applyFont="1" applyFill="1" applyBorder="1" applyAlignment="1" applyProtection="1">
      <alignment wrapText="1"/>
    </xf>
    <xf numFmtId="166" fontId="18" fillId="0" borderId="258" xfId="0" applyNumberFormat="1" applyFont="1" applyFill="1" applyBorder="1" applyAlignment="1" applyProtection="1">
      <alignment horizontal="left"/>
    </xf>
    <xf numFmtId="166" fontId="18" fillId="0" borderId="72" xfId="0" applyNumberFormat="1" applyFont="1" applyFill="1" applyBorder="1" applyAlignment="1" applyProtection="1"/>
    <xf numFmtId="0" fontId="46" fillId="0" borderId="32" xfId="0" applyFont="1" applyFill="1" applyBorder="1" applyAlignment="1" applyProtection="1"/>
    <xf numFmtId="166" fontId="18" fillId="0" borderId="0" xfId="0" applyNumberFormat="1" applyFont="1" applyFill="1" applyBorder="1" applyAlignment="1" applyProtection="1"/>
    <xf numFmtId="5" fontId="18" fillId="0" borderId="0" xfId="0" applyNumberFormat="1" applyFont="1" applyFill="1" applyBorder="1" applyAlignment="1" applyProtection="1">
      <alignment horizontal="left"/>
    </xf>
    <xf numFmtId="0" fontId="46" fillId="18" borderId="248" xfId="0" applyFont="1" applyFill="1" applyBorder="1" applyAlignment="1" applyProtection="1">
      <alignment wrapText="1"/>
    </xf>
    <xf numFmtId="0" fontId="46" fillId="0" borderId="2" xfId="0" applyFont="1" applyFill="1" applyBorder="1" applyAlignment="1" applyProtection="1"/>
    <xf numFmtId="166" fontId="67" fillId="0" borderId="0" xfId="0" applyNumberFormat="1" applyFont="1" applyFill="1" applyBorder="1" applyAlignment="1" applyProtection="1"/>
    <xf numFmtId="5" fontId="21" fillId="0" borderId="33" xfId="0" applyNumberFormat="1" applyFont="1" applyFill="1" applyBorder="1" applyAlignment="1" applyProtection="1"/>
    <xf numFmtId="5" fontId="18" fillId="0" borderId="34" xfId="0" applyNumberFormat="1" applyFont="1" applyFill="1" applyBorder="1" applyAlignment="1" applyProtection="1"/>
    <xf numFmtId="0" fontId="18" fillId="0" borderId="34" xfId="0" applyFont="1" applyFill="1" applyBorder="1" applyAlignment="1" applyProtection="1"/>
    <xf numFmtId="5" fontId="18" fillId="0" borderId="34" xfId="0" applyNumberFormat="1" applyFont="1" applyFill="1" applyBorder="1" applyAlignment="1" applyProtection="1">
      <alignment horizontal="left"/>
    </xf>
    <xf numFmtId="164" fontId="18" fillId="0" borderId="34" xfId="0" applyNumberFormat="1" applyFont="1" applyFill="1" applyBorder="1" applyAlignment="1" applyProtection="1">
      <alignment horizontal="left"/>
    </xf>
    <xf numFmtId="5" fontId="43" fillId="0" borderId="34" xfId="0" applyNumberFormat="1" applyFont="1" applyFill="1" applyBorder="1" applyAlignment="1" applyProtection="1"/>
    <xf numFmtId="5" fontId="43" fillId="0" borderId="35" xfId="0" applyNumberFormat="1" applyFont="1" applyFill="1" applyBorder="1" applyAlignment="1" applyProtection="1"/>
    <xf numFmtId="0" fontId="18" fillId="0" borderId="542" xfId="0" applyFont="1" applyFill="1" applyBorder="1" applyAlignment="1" applyProtection="1">
      <protection locked="0"/>
    </xf>
    <xf numFmtId="0" fontId="18" fillId="0" borderId="545" xfId="0" applyFont="1" applyFill="1" applyBorder="1" applyAlignment="1" applyProtection="1">
      <protection locked="0"/>
    </xf>
    <xf numFmtId="0" fontId="18" fillId="0" borderId="112" xfId="0" applyFont="1" applyFill="1" applyBorder="1" applyAlignment="1" applyProtection="1">
      <protection locked="0"/>
    </xf>
    <xf numFmtId="0" fontId="16" fillId="0" borderId="165" xfId="0" applyFont="1" applyFill="1" applyBorder="1" applyAlignment="1" applyProtection="1">
      <alignment horizontal="left"/>
    </xf>
    <xf numFmtId="0" fontId="3" fillId="0" borderId="166" xfId="0" applyFont="1" applyFill="1" applyBorder="1" applyAlignment="1" applyProtection="1"/>
    <xf numFmtId="0" fontId="3" fillId="0" borderId="167" xfId="0" applyFont="1" applyBorder="1" applyAlignment="1" applyProtection="1"/>
    <xf numFmtId="0" fontId="16" fillId="0" borderId="168" xfId="0" applyFont="1" applyFill="1" applyBorder="1" applyAlignment="1" applyProtection="1">
      <alignment horizontal="left"/>
    </xf>
    <xf numFmtId="0" fontId="3" fillId="0" borderId="169" xfId="0" applyFont="1" applyBorder="1" applyAlignment="1" applyProtection="1"/>
    <xf numFmtId="0" fontId="3" fillId="0" borderId="168" xfId="0" applyFont="1" applyFill="1" applyBorder="1" applyAlignment="1" applyProtection="1"/>
    <xf numFmtId="0" fontId="19" fillId="0" borderId="0" xfId="0" applyFont="1" applyBorder="1" applyAlignment="1" applyProtection="1">
      <alignment vertical="center"/>
    </xf>
    <xf numFmtId="0" fontId="47" fillId="6" borderId="5" xfId="0" applyFont="1" applyFill="1" applyBorder="1" applyAlignment="1" applyProtection="1">
      <alignment vertical="top"/>
    </xf>
    <xf numFmtId="0" fontId="47" fillId="0" borderId="0" xfId="0" applyFont="1" applyFill="1" applyBorder="1" applyAlignment="1" applyProtection="1">
      <alignment vertical="top"/>
    </xf>
    <xf numFmtId="0" fontId="22" fillId="0" borderId="0" xfId="0" applyFont="1" applyBorder="1" applyAlignment="1" applyProtection="1">
      <alignment vertical="center"/>
    </xf>
    <xf numFmtId="0" fontId="18" fillId="0" borderId="0" xfId="0" applyFont="1" applyFill="1" applyBorder="1" applyAlignment="1" applyProtection="1">
      <alignment vertical="top"/>
    </xf>
    <xf numFmtId="0" fontId="21" fillId="0" borderId="0" xfId="0" applyFont="1" applyBorder="1" applyAlignment="1" applyProtection="1">
      <alignment vertical="center"/>
    </xf>
    <xf numFmtId="0" fontId="21" fillId="0" borderId="0" xfId="0" applyFont="1" applyBorder="1" applyProtection="1"/>
    <xf numFmtId="0" fontId="22" fillId="0" borderId="0" xfId="0" applyFont="1" applyBorder="1" applyAlignment="1" applyProtection="1">
      <alignment horizontal="right" vertical="center"/>
    </xf>
    <xf numFmtId="14" fontId="18" fillId="0" borderId="0" xfId="0" applyNumberFormat="1" applyFont="1" applyBorder="1" applyProtection="1"/>
    <xf numFmtId="0" fontId="18" fillId="0" borderId="0" xfId="0" applyNumberFormat="1" applyFont="1" applyBorder="1" applyProtection="1"/>
    <xf numFmtId="5" fontId="48" fillId="0" borderId="95" xfId="0" applyNumberFormat="1" applyFont="1" applyFill="1" applyBorder="1" applyProtection="1"/>
    <xf numFmtId="5" fontId="48" fillId="6" borderId="85" xfId="0" applyNumberFormat="1" applyFont="1" applyFill="1" applyBorder="1" applyProtection="1"/>
    <xf numFmtId="5" fontId="49" fillId="6" borderId="95" xfId="0" applyNumberFormat="1" applyFont="1" applyFill="1" applyBorder="1" applyProtection="1"/>
    <xf numFmtId="5" fontId="49" fillId="6" borderId="85" xfId="0" applyNumberFormat="1" applyFont="1" applyFill="1" applyBorder="1" applyProtection="1"/>
    <xf numFmtId="0" fontId="49" fillId="6" borderId="85" xfId="0" applyFont="1" applyFill="1" applyBorder="1" applyAlignment="1" applyProtection="1"/>
    <xf numFmtId="0" fontId="38" fillId="0" borderId="168" xfId="0" applyFont="1" applyFill="1" applyBorder="1" applyAlignment="1" applyProtection="1"/>
    <xf numFmtId="0" fontId="15" fillId="0" borderId="168" xfId="0" applyFont="1" applyFill="1" applyBorder="1" applyAlignment="1" applyProtection="1"/>
    <xf numFmtId="5" fontId="18" fillId="0" borderId="0" xfId="0" applyNumberFormat="1" applyFont="1" applyBorder="1" applyProtection="1"/>
    <xf numFmtId="0" fontId="3" fillId="0" borderId="162" xfId="0" applyFont="1" applyFill="1" applyBorder="1" applyAlignment="1" applyProtection="1"/>
    <xf numFmtId="0" fontId="18" fillId="0" borderId="163" xfId="0" applyFont="1" applyBorder="1" applyAlignment="1" applyProtection="1"/>
    <xf numFmtId="0" fontId="3" fillId="0" borderId="164" xfId="0" applyFont="1" applyBorder="1" applyAlignment="1" applyProtection="1"/>
    <xf numFmtId="3" fontId="18" fillId="0" borderId="0" xfId="0" applyNumberFormat="1" applyFont="1" applyBorder="1" applyProtection="1"/>
    <xf numFmtId="5" fontId="46" fillId="0" borderId="0" xfId="0" applyNumberFormat="1" applyFont="1" applyFill="1" applyBorder="1" applyAlignment="1" applyProtection="1">
      <alignment horizontal="center"/>
    </xf>
    <xf numFmtId="0" fontId="3" fillId="0" borderId="163" xfId="0" applyFont="1" applyBorder="1" applyAlignment="1" applyProtection="1"/>
    <xf numFmtId="6" fontId="18" fillId="0" borderId="271" xfId="0" applyNumberFormat="1" applyFont="1" applyFill="1" applyBorder="1" applyAlignment="1" applyProtection="1">
      <protection locked="0"/>
    </xf>
    <xf numFmtId="0" fontId="18" fillId="0" borderId="273" xfId="0" applyFont="1" applyFill="1" applyBorder="1" applyAlignment="1" applyProtection="1">
      <protection locked="0"/>
    </xf>
    <xf numFmtId="6" fontId="18" fillId="0" borderId="120" xfId="0" applyNumberFormat="1" applyFont="1" applyFill="1" applyBorder="1" applyAlignment="1" applyProtection="1">
      <protection locked="0"/>
    </xf>
    <xf numFmtId="0" fontId="18" fillId="0" borderId="119" xfId="0" applyFont="1" applyFill="1" applyBorder="1" applyAlignment="1" applyProtection="1">
      <protection locked="0"/>
    </xf>
    <xf numFmtId="6" fontId="18" fillId="0" borderId="134" xfId="0" applyNumberFormat="1" applyFont="1" applyFill="1" applyBorder="1" applyAlignment="1" applyProtection="1">
      <protection locked="0"/>
    </xf>
    <xf numFmtId="0" fontId="18" fillId="0" borderId="148" xfId="0" applyFont="1" applyFill="1" applyBorder="1" applyAlignment="1" applyProtection="1">
      <protection locked="0"/>
    </xf>
    <xf numFmtId="5" fontId="18" fillId="0" borderId="271" xfId="0" applyNumberFormat="1" applyFont="1" applyFill="1" applyBorder="1" applyAlignment="1" applyProtection="1">
      <protection locked="0"/>
    </xf>
    <xf numFmtId="5" fontId="18" fillId="0" borderId="120" xfId="0" applyNumberFormat="1" applyFont="1" applyFill="1" applyBorder="1" applyAlignment="1" applyProtection="1">
      <protection locked="0"/>
    </xf>
    <xf numFmtId="5" fontId="18" fillId="0" borderId="134" xfId="0" applyNumberFormat="1" applyFont="1" applyFill="1" applyBorder="1" applyAlignment="1" applyProtection="1">
      <protection locked="0"/>
    </xf>
    <xf numFmtId="42" fontId="43" fillId="0" borderId="83" xfId="0" applyNumberFormat="1" applyFont="1" applyFill="1" applyBorder="1" applyAlignment="1" applyProtection="1">
      <protection locked="0"/>
    </xf>
    <xf numFmtId="42" fontId="43" fillId="0" borderId="149" xfId="0" applyNumberFormat="1" applyFont="1" applyFill="1" applyBorder="1" applyAlignment="1" applyProtection="1">
      <protection locked="0"/>
    </xf>
    <xf numFmtId="0" fontId="23" fillId="0" borderId="165" xfId="0" applyFont="1" applyFill="1" applyBorder="1" applyAlignment="1" applyProtection="1">
      <alignment horizontal="left"/>
    </xf>
    <xf numFmtId="0" fontId="18" fillId="0" borderId="166" xfId="0" applyFont="1" applyFill="1" applyBorder="1" applyAlignment="1" applyProtection="1"/>
    <xf numFmtId="0" fontId="18" fillId="0" borderId="188" xfId="0" applyFont="1" applyFill="1" applyBorder="1" applyAlignment="1" applyProtection="1"/>
    <xf numFmtId="0" fontId="23" fillId="0" borderId="168" xfId="0" applyFont="1" applyFill="1" applyBorder="1" applyAlignment="1" applyProtection="1">
      <alignment horizontal="left"/>
    </xf>
    <xf numFmtId="0" fontId="19" fillId="0" borderId="0" xfId="0" applyFont="1" applyFill="1" applyBorder="1" applyAlignment="1" applyProtection="1">
      <alignment vertical="center"/>
    </xf>
    <xf numFmtId="0" fontId="18" fillId="6" borderId="5" xfId="0" applyFont="1" applyFill="1" applyBorder="1" applyAlignment="1" applyProtection="1">
      <alignment vertical="center"/>
    </xf>
    <xf numFmtId="0" fontId="0" fillId="6" borderId="5" xfId="0" applyFont="1" applyFill="1" applyBorder="1" applyProtection="1"/>
    <xf numFmtId="0" fontId="22" fillId="0" borderId="0" xfId="0" applyFont="1" applyFill="1" applyBorder="1" applyAlignment="1" applyProtection="1">
      <alignment vertical="center"/>
    </xf>
    <xf numFmtId="0" fontId="19" fillId="0" borderId="0" xfId="0" applyFont="1" applyFill="1" applyBorder="1" applyAlignment="1" applyProtection="1">
      <alignment horizontal="right"/>
    </xf>
    <xf numFmtId="0" fontId="3" fillId="6" borderId="5" xfId="0" applyFont="1" applyFill="1" applyBorder="1" applyProtection="1"/>
    <xf numFmtId="0" fontId="20" fillId="18" borderId="281" xfId="0" applyFont="1" applyFill="1" applyBorder="1" applyAlignment="1" applyProtection="1"/>
    <xf numFmtId="0" fontId="20" fillId="18" borderId="446" xfId="0" applyFont="1" applyFill="1" applyBorder="1" applyAlignment="1" applyProtection="1"/>
    <xf numFmtId="0" fontId="20" fillId="18" borderId="422" xfId="0" applyFont="1" applyFill="1" applyBorder="1" applyAlignment="1" applyProtection="1"/>
    <xf numFmtId="0" fontId="18" fillId="18" borderId="476" xfId="0" applyFont="1" applyFill="1" applyBorder="1" applyAlignment="1" applyProtection="1">
      <alignment wrapText="1"/>
    </xf>
    <xf numFmtId="166" fontId="18" fillId="18" borderId="476" xfId="0" applyNumberFormat="1" applyFont="1" applyFill="1" applyBorder="1" applyAlignment="1" applyProtection="1">
      <alignment wrapText="1"/>
    </xf>
    <xf numFmtId="9" fontId="18" fillId="18" borderId="476" xfId="0" applyNumberFormat="1" applyFont="1" applyFill="1" applyBorder="1" applyAlignment="1" applyProtection="1">
      <alignment wrapText="1"/>
    </xf>
    <xf numFmtId="166" fontId="18" fillId="18" borderId="477" xfId="0" applyNumberFormat="1" applyFont="1" applyFill="1" applyBorder="1" applyAlignment="1" applyProtection="1">
      <alignment wrapText="1"/>
    </xf>
    <xf numFmtId="0" fontId="18" fillId="0" borderId="11" xfId="0" applyFont="1" applyFill="1" applyBorder="1" applyProtection="1"/>
    <xf numFmtId="166" fontId="18" fillId="0" borderId="0" xfId="0" applyNumberFormat="1" applyFont="1" applyFill="1" applyBorder="1" applyAlignment="1" applyProtection="1">
      <alignment horizontal="right" wrapText="1"/>
    </xf>
    <xf numFmtId="9" fontId="18" fillId="0" borderId="0" xfId="0" applyNumberFormat="1" applyFont="1" applyFill="1" applyBorder="1" applyAlignment="1" applyProtection="1">
      <alignment horizontal="right" wrapText="1"/>
    </xf>
    <xf numFmtId="166" fontId="18" fillId="0" borderId="32" xfId="0" applyNumberFormat="1" applyFont="1" applyFill="1" applyBorder="1" applyAlignment="1" applyProtection="1">
      <alignment horizontal="right" wrapText="1"/>
    </xf>
    <xf numFmtId="3" fontId="50" fillId="0" borderId="11" xfId="0" applyNumberFormat="1" applyFont="1" applyFill="1" applyBorder="1" applyAlignment="1" applyProtection="1">
      <alignment wrapText="1"/>
    </xf>
    <xf numFmtId="0" fontId="18" fillId="0" borderId="33" xfId="0" applyFont="1" applyFill="1" applyBorder="1" applyProtection="1"/>
    <xf numFmtId="0" fontId="18" fillId="0" borderId="34" xfId="0" applyFont="1" applyFill="1" applyBorder="1" applyAlignment="1" applyProtection="1">
      <alignment horizontal="left" wrapText="1"/>
    </xf>
    <xf numFmtId="0" fontId="46" fillId="6" borderId="205" xfId="0" applyNumberFormat="1" applyFont="1" applyFill="1" applyBorder="1" applyAlignment="1" applyProtection="1">
      <alignment horizontal="center" vertical="center" wrapText="1"/>
    </xf>
    <xf numFmtId="0" fontId="46" fillId="6" borderId="479" xfId="0" applyNumberFormat="1" applyFont="1" applyFill="1" applyBorder="1" applyAlignment="1" applyProtection="1">
      <alignment horizontal="center" vertical="center" wrapText="1"/>
    </xf>
    <xf numFmtId="0" fontId="0" fillId="0" borderId="0" xfId="0" applyFont="1" applyFill="1" applyBorder="1" applyProtection="1"/>
    <xf numFmtId="3" fontId="19" fillId="0" borderId="0" xfId="0" applyNumberFormat="1" applyFont="1" applyFill="1" applyProtection="1"/>
    <xf numFmtId="0" fontId="18" fillId="0" borderId="34" xfId="0" applyFont="1" applyFill="1" applyBorder="1" applyAlignment="1" applyProtection="1">
      <alignment horizontal="center"/>
    </xf>
    <xf numFmtId="166" fontId="18" fillId="0" borderId="34" xfId="0" applyNumberFormat="1" applyFont="1" applyFill="1" applyBorder="1" applyProtection="1"/>
    <xf numFmtId="9" fontId="18" fillId="0" borderId="34" xfId="0" applyNumberFormat="1" applyFont="1" applyFill="1" applyBorder="1" applyAlignment="1" applyProtection="1">
      <alignment horizontal="center"/>
    </xf>
    <xf numFmtId="166" fontId="18" fillId="0" borderId="34" xfId="0" applyNumberFormat="1" applyFont="1" applyFill="1" applyBorder="1" applyAlignment="1" applyProtection="1">
      <alignment horizontal="center"/>
    </xf>
    <xf numFmtId="3" fontId="18" fillId="0" borderId="34" xfId="0" applyNumberFormat="1" applyFont="1" applyFill="1" applyBorder="1" applyProtection="1"/>
    <xf numFmtId="166" fontId="19" fillId="6" borderId="146" xfId="0" applyNumberFormat="1" applyFont="1" applyFill="1" applyBorder="1" applyAlignment="1" applyProtection="1"/>
    <xf numFmtId="166" fontId="19" fillId="6" borderId="252" xfId="0" applyNumberFormat="1" applyFont="1" applyFill="1" applyBorder="1" applyAlignment="1" applyProtection="1">
      <alignment horizontal="right"/>
    </xf>
    <xf numFmtId="166" fontId="19" fillId="6" borderId="248" xfId="0" applyNumberFormat="1" applyFont="1" applyFill="1" applyBorder="1" applyAlignment="1" applyProtection="1">
      <alignment horizontal="right"/>
    </xf>
    <xf numFmtId="166" fontId="19" fillId="6" borderId="249" xfId="0" applyNumberFormat="1" applyFont="1" applyFill="1" applyBorder="1" applyAlignment="1" applyProtection="1">
      <alignment horizontal="right"/>
    </xf>
    <xf numFmtId="166" fontId="19" fillId="6" borderId="22" xfId="0" applyNumberFormat="1" applyFont="1" applyFill="1" applyBorder="1" applyProtection="1"/>
    <xf numFmtId="166" fontId="19" fillId="6" borderId="15" xfId="0" applyNumberFormat="1" applyFont="1" applyFill="1" applyBorder="1" applyProtection="1"/>
    <xf numFmtId="166" fontId="19" fillId="6" borderId="21" xfId="0" applyNumberFormat="1" applyFont="1" applyFill="1" applyBorder="1" applyProtection="1"/>
    <xf numFmtId="0" fontId="17" fillId="0" borderId="471" xfId="0" applyFont="1" applyFill="1" applyBorder="1" applyAlignment="1" applyProtection="1">
      <alignment horizontal="center"/>
      <protection locked="0"/>
    </xf>
    <xf numFmtId="0" fontId="18" fillId="0" borderId="328" xfId="0" applyFont="1" applyFill="1" applyBorder="1" applyProtection="1"/>
    <xf numFmtId="0" fontId="18" fillId="0" borderId="329" xfId="0" applyFont="1" applyFill="1" applyBorder="1" applyProtection="1"/>
    <xf numFmtId="0" fontId="18" fillId="0" borderId="359" xfId="0" applyFont="1" applyFill="1" applyBorder="1" applyProtection="1"/>
    <xf numFmtId="0" fontId="18" fillId="0" borderId="326" xfId="0" applyFont="1" applyFill="1" applyBorder="1" applyProtection="1"/>
    <xf numFmtId="0" fontId="18" fillId="0" borderId="324" xfId="0" applyFont="1" applyFill="1" applyBorder="1" applyProtection="1"/>
    <xf numFmtId="0" fontId="18" fillId="0" borderId="351" xfId="0" applyFont="1" applyFill="1" applyBorder="1" applyProtection="1"/>
    <xf numFmtId="0" fontId="18" fillId="0" borderId="388" xfId="0" applyFont="1" applyFill="1" applyBorder="1" applyProtection="1"/>
    <xf numFmtId="165" fontId="18" fillId="0" borderId="245" xfId="0" applyNumberFormat="1" applyFont="1" applyFill="1" applyBorder="1" applyProtection="1"/>
    <xf numFmtId="9" fontId="18" fillId="0" borderId="0" xfId="0" applyNumberFormat="1" applyFont="1" applyFill="1" applyBorder="1" applyProtection="1"/>
    <xf numFmtId="0" fontId="18" fillId="0" borderId="297" xfId="0" applyFont="1" applyFill="1" applyBorder="1" applyProtection="1"/>
    <xf numFmtId="9" fontId="18" fillId="0" borderId="297" xfId="0" applyNumberFormat="1" applyFont="1" applyFill="1" applyBorder="1" applyProtection="1"/>
    <xf numFmtId="0" fontId="18" fillId="0" borderId="346" xfId="0" applyFont="1" applyFill="1" applyBorder="1" applyProtection="1"/>
    <xf numFmtId="5" fontId="69" fillId="6" borderId="365" xfId="0" applyNumberFormat="1" applyFont="1" applyFill="1" applyBorder="1" applyAlignment="1" applyProtection="1">
      <alignment vertical="center"/>
    </xf>
    <xf numFmtId="5" fontId="69" fillId="6" borderId="366" xfId="0" applyNumberFormat="1" applyFont="1" applyFill="1" applyBorder="1" applyAlignment="1" applyProtection="1">
      <alignment vertical="center"/>
    </xf>
    <xf numFmtId="5" fontId="69" fillId="6" borderId="367" xfId="0" applyNumberFormat="1" applyFont="1" applyFill="1" applyBorder="1" applyAlignment="1" applyProtection="1">
      <alignment vertical="center"/>
    </xf>
    <xf numFmtId="0" fontId="18" fillId="0" borderId="357" xfId="0" applyFont="1" applyFill="1" applyBorder="1" applyProtection="1"/>
    <xf numFmtId="5" fontId="69" fillId="6" borderId="368" xfId="0" applyNumberFormat="1" applyFont="1" applyFill="1" applyBorder="1" applyAlignment="1" applyProtection="1">
      <alignment vertical="center"/>
    </xf>
    <xf numFmtId="5" fontId="69" fillId="6" borderId="369" xfId="0" applyNumberFormat="1" applyFont="1" applyFill="1" applyBorder="1" applyAlignment="1" applyProtection="1">
      <alignment vertical="center"/>
    </xf>
    <xf numFmtId="5" fontId="69" fillId="6" borderId="370" xfId="0" applyNumberFormat="1" applyFont="1" applyFill="1" applyBorder="1" applyAlignment="1" applyProtection="1">
      <alignment vertical="center"/>
    </xf>
    <xf numFmtId="165" fontId="18" fillId="0" borderId="415" xfId="0" applyNumberFormat="1" applyFont="1" applyFill="1" applyBorder="1" applyProtection="1"/>
    <xf numFmtId="6" fontId="43" fillId="6" borderId="371" xfId="0" applyNumberFormat="1" applyFont="1" applyFill="1" applyBorder="1" applyAlignment="1" applyProtection="1">
      <alignment vertical="center"/>
    </xf>
    <xf numFmtId="165" fontId="43" fillId="0" borderId="59" xfId="0" applyNumberFormat="1" applyFont="1" applyFill="1" applyBorder="1" applyAlignment="1" applyProtection="1">
      <alignment vertical="center"/>
    </xf>
    <xf numFmtId="6" fontId="43" fillId="6" borderId="374" xfId="0" applyNumberFormat="1" applyFont="1" applyFill="1" applyBorder="1" applyAlignment="1" applyProtection="1">
      <alignment vertical="center"/>
    </xf>
    <xf numFmtId="165" fontId="43" fillId="0" borderId="415" xfId="0" applyNumberFormat="1" applyFont="1" applyFill="1" applyBorder="1" applyAlignment="1" applyProtection="1">
      <alignment vertical="center"/>
    </xf>
    <xf numFmtId="165" fontId="43" fillId="0" borderId="1" xfId="0" applyNumberFormat="1" applyFont="1" applyFill="1" applyBorder="1" applyAlignment="1" applyProtection="1">
      <alignment vertical="center"/>
    </xf>
    <xf numFmtId="165" fontId="43" fillId="0" borderId="297" xfId="0" applyNumberFormat="1" applyFont="1" applyFill="1" applyBorder="1" applyAlignment="1" applyProtection="1">
      <alignment vertical="center"/>
    </xf>
    <xf numFmtId="0" fontId="18" fillId="23" borderId="0" xfId="0" applyFont="1" applyFill="1" applyProtection="1"/>
    <xf numFmtId="49" fontId="43" fillId="0" borderId="0" xfId="0" applyNumberFormat="1" applyFont="1" applyFill="1" applyBorder="1" applyAlignment="1" applyProtection="1">
      <alignment horizontal="left" vertical="center"/>
    </xf>
    <xf numFmtId="44" fontId="43" fillId="0" borderId="0" xfId="0" applyNumberFormat="1" applyFont="1" applyFill="1" applyBorder="1" applyAlignment="1" applyProtection="1">
      <alignment horizontal="right" vertical="center"/>
    </xf>
    <xf numFmtId="44" fontId="40" fillId="0" borderId="0" xfId="0" applyNumberFormat="1" applyFont="1" applyFill="1" applyBorder="1" applyAlignment="1" applyProtection="1">
      <alignment horizontal="right" vertical="center"/>
    </xf>
    <xf numFmtId="6" fontId="43" fillId="0" borderId="0" xfId="0" applyNumberFormat="1" applyFont="1" applyFill="1" applyBorder="1" applyAlignment="1" applyProtection="1">
      <alignment horizontal="right" vertical="center"/>
    </xf>
    <xf numFmtId="6" fontId="43" fillId="6" borderId="67" xfId="0" applyNumberFormat="1" applyFont="1" applyFill="1" applyBorder="1" applyProtection="1"/>
    <xf numFmtId="6" fontId="43" fillId="6" borderId="68" xfId="0" applyNumberFormat="1" applyFont="1" applyFill="1" applyBorder="1" applyProtection="1"/>
    <xf numFmtId="166" fontId="43" fillId="6" borderId="68" xfId="0" applyNumberFormat="1" applyFont="1" applyFill="1" applyBorder="1" applyProtection="1"/>
    <xf numFmtId="166" fontId="43" fillId="6" borderId="69" xfId="0" applyNumberFormat="1" applyFont="1" applyFill="1" applyBorder="1" applyProtection="1"/>
    <xf numFmtId="6" fontId="69" fillId="6" borderId="365" xfId="0" applyNumberFormat="1" applyFont="1" applyFill="1" applyBorder="1" applyAlignment="1" applyProtection="1">
      <alignment vertical="center"/>
    </xf>
    <xf numFmtId="6" fontId="69" fillId="6" borderId="366" xfId="0" applyNumberFormat="1" applyFont="1" applyFill="1" applyBorder="1" applyAlignment="1" applyProtection="1">
      <alignment vertical="center"/>
    </xf>
    <xf numFmtId="6" fontId="69" fillId="6" borderId="367" xfId="0" applyNumberFormat="1" applyFont="1" applyFill="1" applyBorder="1" applyAlignment="1" applyProtection="1">
      <alignment vertical="center"/>
    </xf>
    <xf numFmtId="6" fontId="69" fillId="6" borderId="368" xfId="0" applyNumberFormat="1" applyFont="1" applyFill="1" applyBorder="1" applyAlignment="1" applyProtection="1">
      <alignment vertical="center"/>
    </xf>
    <xf numFmtId="6" fontId="69" fillId="6" borderId="369" xfId="0" applyNumberFormat="1" applyFont="1" applyFill="1" applyBorder="1" applyAlignment="1" applyProtection="1">
      <alignment vertical="center"/>
    </xf>
    <xf numFmtId="6" fontId="69" fillId="6" borderId="370" xfId="0" applyNumberFormat="1" applyFont="1" applyFill="1" applyBorder="1" applyAlignment="1" applyProtection="1">
      <alignment vertical="center"/>
    </xf>
    <xf numFmtId="0" fontId="18" fillId="0" borderId="332" xfId="0" applyFont="1" applyFill="1" applyBorder="1" applyProtection="1"/>
    <xf numFmtId="0" fontId="18" fillId="0" borderId="162" xfId="0" applyFont="1" applyFill="1" applyBorder="1" applyProtection="1"/>
    <xf numFmtId="0" fontId="18" fillId="0" borderId="164" xfId="0" applyFont="1" applyFill="1" applyBorder="1" applyProtection="1"/>
    <xf numFmtId="14" fontId="59" fillId="0" borderId="77" xfId="0" applyNumberFormat="1" applyFont="1" applyFill="1" applyBorder="1" applyAlignment="1" applyProtection="1">
      <alignment horizontal="left" vertical="center"/>
      <protection locked="0"/>
    </xf>
    <xf numFmtId="14" fontId="59" fillId="6" borderId="77" xfId="0" applyNumberFormat="1" applyFont="1" applyFill="1" applyBorder="1" applyAlignment="1" applyProtection="1">
      <alignment horizontal="left" vertical="center"/>
    </xf>
    <xf numFmtId="165" fontId="18" fillId="8" borderId="351" xfId="0" applyNumberFormat="1" applyFont="1" applyFill="1" applyBorder="1" applyProtection="1"/>
    <xf numFmtId="5" fontId="43" fillId="8" borderId="310" xfId="0" applyNumberFormat="1" applyFont="1" applyFill="1" applyBorder="1" applyAlignment="1" applyProtection="1">
      <alignment horizontal="right" vertical="center"/>
    </xf>
    <xf numFmtId="5" fontId="43" fillId="8" borderId="311" xfId="0" applyNumberFormat="1" applyFont="1" applyFill="1" applyBorder="1" applyAlignment="1" applyProtection="1">
      <alignment horizontal="right" vertical="center"/>
    </xf>
    <xf numFmtId="6" fontId="43" fillId="8" borderId="309" xfId="0" applyNumberFormat="1" applyFont="1" applyFill="1" applyBorder="1" applyAlignment="1" applyProtection="1">
      <alignment horizontal="right" vertical="center"/>
    </xf>
    <xf numFmtId="6" fontId="43" fillId="8" borderId="310" xfId="0" applyNumberFormat="1" applyFont="1" applyFill="1" applyBorder="1" applyAlignment="1" applyProtection="1">
      <alignment horizontal="right" vertical="center"/>
    </xf>
    <xf numFmtId="6" fontId="43" fillId="8" borderId="311" xfId="0" applyNumberFormat="1" applyFont="1" applyFill="1" applyBorder="1" applyAlignment="1" applyProtection="1">
      <alignment horizontal="right" vertical="center"/>
    </xf>
    <xf numFmtId="0" fontId="46" fillId="6" borderId="251" xfId="0" applyNumberFormat="1" applyFont="1" applyFill="1" applyBorder="1" applyAlignment="1" applyProtection="1">
      <alignment vertical="center"/>
    </xf>
    <xf numFmtId="0" fontId="18" fillId="0" borderId="291" xfId="0" applyFont="1" applyFill="1" applyBorder="1" applyAlignment="1" applyProtection="1"/>
    <xf numFmtId="0" fontId="18" fillId="0" borderId="292" xfId="0" applyFont="1" applyBorder="1" applyAlignment="1" applyProtection="1"/>
    <xf numFmtId="166" fontId="22" fillId="0" borderId="292" xfId="0" applyNumberFormat="1" applyFont="1" applyBorder="1" applyProtection="1"/>
    <xf numFmtId="0" fontId="22" fillId="0" borderId="293" xfId="0" applyFont="1" applyBorder="1" applyProtection="1"/>
    <xf numFmtId="0" fontId="18" fillId="0" borderId="288" xfId="0" applyFont="1" applyFill="1" applyBorder="1" applyAlignment="1" applyProtection="1"/>
    <xf numFmtId="0" fontId="22" fillId="0" borderId="290" xfId="0" applyFont="1" applyBorder="1" applyProtection="1"/>
    <xf numFmtId="0" fontId="17" fillId="0" borderId="0" xfId="0" applyFont="1" applyFill="1" applyBorder="1" applyAlignment="1" applyProtection="1">
      <alignment horizontal="right"/>
    </xf>
    <xf numFmtId="0" fontId="71" fillId="0" borderId="0" xfId="0" applyFont="1" applyFill="1" applyBorder="1" applyProtection="1"/>
    <xf numFmtId="166" fontId="22" fillId="0" borderId="0" xfId="0" applyNumberFormat="1" applyFont="1" applyBorder="1" applyProtection="1"/>
    <xf numFmtId="0" fontId="22" fillId="0" borderId="290" xfId="0" applyFont="1" applyFill="1" applyBorder="1" applyProtection="1"/>
    <xf numFmtId="0" fontId="21" fillId="0" borderId="0" xfId="0" applyFont="1" applyFill="1" applyBorder="1" applyProtection="1"/>
    <xf numFmtId="0" fontId="18" fillId="0" borderId="289" xfId="0" applyFont="1" applyFill="1" applyBorder="1" applyAlignment="1" applyProtection="1"/>
    <xf numFmtId="0" fontId="59" fillId="0" borderId="294" xfId="0" applyFont="1" applyFill="1" applyBorder="1" applyAlignment="1" applyProtection="1"/>
    <xf numFmtId="0" fontId="18" fillId="0" borderId="294" xfId="0" applyFont="1" applyFill="1" applyBorder="1" applyAlignment="1" applyProtection="1">
      <alignment vertical="top"/>
    </xf>
    <xf numFmtId="0" fontId="22" fillId="0" borderId="295" xfId="0" applyFont="1" applyFill="1" applyBorder="1" applyProtection="1"/>
    <xf numFmtId="0" fontId="18" fillId="0" borderId="165" xfId="0" applyFont="1" applyFill="1" applyBorder="1" applyProtection="1"/>
    <xf numFmtId="0" fontId="18" fillId="0" borderId="166" xfId="0" applyFont="1" applyFill="1" applyBorder="1" applyProtection="1"/>
    <xf numFmtId="0" fontId="18" fillId="0" borderId="167" xfId="0" applyFont="1" applyFill="1" applyBorder="1" applyProtection="1"/>
    <xf numFmtId="0" fontId="18" fillId="0" borderId="168" xfId="0" applyFont="1" applyFill="1" applyBorder="1" applyProtection="1"/>
    <xf numFmtId="0" fontId="18" fillId="0" borderId="169" xfId="0" applyFont="1" applyFill="1" applyBorder="1" applyProtection="1"/>
    <xf numFmtId="0" fontId="18" fillId="0" borderId="168" xfId="0" applyFont="1" applyFill="1" applyBorder="1" applyAlignment="1" applyProtection="1"/>
    <xf numFmtId="5" fontId="25" fillId="0" borderId="169" xfId="0" applyNumberFormat="1" applyFont="1" applyFill="1" applyBorder="1" applyAlignment="1" applyProtection="1"/>
    <xf numFmtId="0" fontId="18" fillId="3" borderId="168" xfId="0" applyFont="1" applyFill="1" applyBorder="1" applyProtection="1"/>
    <xf numFmtId="0" fontId="18" fillId="3" borderId="169" xfId="0" applyFont="1" applyFill="1" applyBorder="1" applyProtection="1"/>
    <xf numFmtId="0" fontId="23" fillId="0" borderId="32" xfId="0" applyFont="1" applyFill="1" applyBorder="1" applyAlignment="1" applyProtection="1">
      <alignment horizontal="center"/>
    </xf>
    <xf numFmtId="0" fontId="23" fillId="0" borderId="0" xfId="0" applyFont="1" applyFill="1" applyBorder="1" applyAlignment="1" applyProtection="1">
      <alignment horizontal="center" wrapText="1"/>
    </xf>
    <xf numFmtId="0" fontId="23" fillId="0" borderId="0" xfId="0" applyFont="1" applyFill="1" applyBorder="1" applyAlignment="1" applyProtection="1">
      <alignment horizontal="center"/>
    </xf>
    <xf numFmtId="0" fontId="18" fillId="5" borderId="14" xfId="0" applyFont="1" applyFill="1" applyBorder="1" applyAlignment="1" applyProtection="1">
      <alignment vertical="top"/>
    </xf>
    <xf numFmtId="0" fontId="18" fillId="0" borderId="0" xfId="0" applyFont="1" applyBorder="1" applyAlignment="1" applyProtection="1">
      <alignment wrapText="1"/>
      <protection locked="0"/>
    </xf>
    <xf numFmtId="0" fontId="18" fillId="0" borderId="0" xfId="0" applyFont="1" applyProtection="1">
      <protection locked="0"/>
    </xf>
    <xf numFmtId="0" fontId="18" fillId="0" borderId="0" xfId="0" applyFont="1" applyProtection="1"/>
    <xf numFmtId="0" fontId="22" fillId="0" borderId="0" xfId="0" applyFont="1" applyBorder="1" applyAlignment="1" applyProtection="1">
      <alignment horizontal="center" wrapText="1"/>
    </xf>
    <xf numFmtId="49" fontId="18" fillId="0" borderId="0" xfId="0" applyNumberFormat="1" applyFont="1" applyFill="1" applyBorder="1" applyAlignment="1" applyProtection="1">
      <alignment horizontal="center" wrapText="1"/>
    </xf>
    <xf numFmtId="0" fontId="0" fillId="0" borderId="485" xfId="0" applyFont="1" applyBorder="1" applyProtection="1">
      <protection locked="0"/>
    </xf>
    <xf numFmtId="0" fontId="0" fillId="0" borderId="486" xfId="0" applyFont="1" applyBorder="1" applyProtection="1">
      <protection locked="0"/>
    </xf>
    <xf numFmtId="0" fontId="0" fillId="0" borderId="487" xfId="0" applyFont="1" applyBorder="1" applyProtection="1">
      <protection locked="0"/>
    </xf>
    <xf numFmtId="0" fontId="18" fillId="6" borderId="5" xfId="0" applyFont="1" applyFill="1" applyBorder="1" applyProtection="1"/>
    <xf numFmtId="0" fontId="19" fillId="0" borderId="77" xfId="0" applyFont="1" applyFill="1" applyBorder="1" applyProtection="1">
      <protection locked="0"/>
    </xf>
    <xf numFmtId="0" fontId="2" fillId="0" borderId="0" xfId="0" applyFont="1" applyFill="1" applyProtection="1">
      <protection locked="0"/>
    </xf>
    <xf numFmtId="0" fontId="19" fillId="0" borderId="471" xfId="0" applyFont="1" applyFill="1" applyBorder="1" applyProtection="1">
      <protection locked="0"/>
    </xf>
    <xf numFmtId="0" fontId="57" fillId="0" borderId="165" xfId="0" applyFont="1" applyFill="1" applyBorder="1" applyProtection="1"/>
    <xf numFmtId="0" fontId="57" fillId="0" borderId="166" xfId="0" applyFont="1" applyFill="1" applyBorder="1" applyAlignment="1" applyProtection="1">
      <alignment wrapText="1"/>
    </xf>
    <xf numFmtId="0" fontId="57" fillId="0" borderId="167" xfId="0" applyFont="1" applyFill="1" applyBorder="1" applyProtection="1"/>
    <xf numFmtId="0" fontId="57" fillId="0" borderId="168" xfId="0" applyFont="1" applyFill="1" applyBorder="1" applyProtection="1"/>
    <xf numFmtId="0" fontId="57" fillId="0" borderId="169" xfId="0" applyFont="1" applyFill="1" applyBorder="1" applyProtection="1"/>
    <xf numFmtId="0" fontId="22" fillId="0" borderId="0" xfId="0" applyFont="1" applyFill="1" applyBorder="1" applyAlignment="1" applyProtection="1">
      <alignment horizontal="center" wrapText="1"/>
    </xf>
    <xf numFmtId="0" fontId="75" fillId="0" borderId="0" xfId="0" applyFont="1" applyFill="1" applyBorder="1" applyAlignment="1" applyProtection="1">
      <alignment horizontal="center" wrapText="1"/>
    </xf>
    <xf numFmtId="0" fontId="19" fillId="0" borderId="5" xfId="0" applyFont="1" applyFill="1" applyBorder="1" applyAlignment="1" applyProtection="1"/>
    <xf numFmtId="0" fontId="57" fillId="0" borderId="5" xfId="0" applyFont="1" applyFill="1" applyBorder="1" applyProtection="1"/>
    <xf numFmtId="0" fontId="19" fillId="0" borderId="5" xfId="0" applyFont="1" applyFill="1" applyBorder="1" applyProtection="1"/>
    <xf numFmtId="0" fontId="19" fillId="0" borderId="5" xfId="0" applyFont="1" applyFill="1" applyBorder="1" applyAlignment="1" applyProtection="1">
      <alignment horizontal="center"/>
    </xf>
    <xf numFmtId="0" fontId="57" fillId="0" borderId="0" xfId="0" applyFont="1" applyFill="1" applyBorder="1" applyAlignment="1" applyProtection="1"/>
    <xf numFmtId="0" fontId="57" fillId="0" borderId="0" xfId="0" applyFont="1" applyFill="1" applyBorder="1" applyAlignment="1" applyProtection="1">
      <alignment horizontal="left" indent="2"/>
    </xf>
    <xf numFmtId="0" fontId="0" fillId="0" borderId="168" xfId="0" applyFont="1" applyFill="1" applyBorder="1" applyProtection="1"/>
    <xf numFmtId="0" fontId="0" fillId="8" borderId="0" xfId="0" applyFont="1" applyFill="1" applyBorder="1" applyProtection="1"/>
    <xf numFmtId="0" fontId="0" fillId="0" borderId="169" xfId="0" applyFont="1" applyFill="1" applyBorder="1" applyProtection="1"/>
    <xf numFmtId="0" fontId="57" fillId="0" borderId="0" xfId="0" applyFont="1" applyFill="1" applyBorder="1" applyProtection="1"/>
    <xf numFmtId="0" fontId="22" fillId="0" borderId="0" xfId="0" applyFont="1" applyFill="1" applyBorder="1" applyAlignment="1" applyProtection="1">
      <alignment horizontal="center"/>
    </xf>
    <xf numFmtId="0" fontId="57" fillId="0" borderId="0" xfId="0" quotePrefix="1" applyFont="1" applyFill="1" applyBorder="1" applyAlignment="1" applyProtection="1">
      <alignment horizontal="center"/>
    </xf>
    <xf numFmtId="0" fontId="57" fillId="0" borderId="0" xfId="0" applyFont="1" applyFill="1" applyBorder="1" applyAlignment="1" applyProtection="1">
      <alignment horizontal="center"/>
    </xf>
    <xf numFmtId="0" fontId="56" fillId="0" borderId="168" xfId="0" applyFont="1" applyFill="1" applyBorder="1" applyProtection="1"/>
    <xf numFmtId="0" fontId="56" fillId="0" borderId="5" xfId="0" applyFont="1" applyFill="1" applyBorder="1" applyProtection="1"/>
    <xf numFmtId="0" fontId="56" fillId="0" borderId="169" xfId="0" applyFont="1" applyFill="1" applyBorder="1" applyProtection="1"/>
    <xf numFmtId="0" fontId="22" fillId="0" borderId="0" xfId="0" applyFont="1" applyFill="1" applyBorder="1" applyAlignment="1" applyProtection="1">
      <alignment wrapText="1"/>
    </xf>
    <xf numFmtId="0" fontId="22" fillId="0" borderId="169" xfId="0" applyFont="1" applyFill="1" applyBorder="1" applyAlignment="1" applyProtection="1">
      <alignment wrapText="1"/>
    </xf>
    <xf numFmtId="0" fontId="57" fillId="0" borderId="0" xfId="0" applyFont="1" applyFill="1" applyBorder="1" applyAlignment="1" applyProtection="1">
      <alignment horizontal="left"/>
    </xf>
    <xf numFmtId="0" fontId="47" fillId="0" borderId="0" xfId="0" applyFont="1" applyFill="1" applyBorder="1" applyProtection="1"/>
    <xf numFmtId="0" fontId="47" fillId="0" borderId="0" xfId="0" applyFont="1" applyFill="1" applyBorder="1" applyAlignment="1" applyProtection="1"/>
    <xf numFmtId="1" fontId="57" fillId="0" borderId="0" xfId="0" applyNumberFormat="1" applyFont="1" applyFill="1" applyBorder="1" applyAlignment="1" applyProtection="1">
      <alignment horizontal="right"/>
    </xf>
    <xf numFmtId="0" fontId="75" fillId="0" borderId="0" xfId="0" applyFont="1" applyFill="1" applyBorder="1" applyProtection="1"/>
    <xf numFmtId="44" fontId="47" fillId="0" borderId="0" xfId="0" applyNumberFormat="1" applyFont="1" applyFill="1" applyBorder="1" applyAlignment="1" applyProtection="1">
      <alignment horizontal="left"/>
    </xf>
    <xf numFmtId="44" fontId="57" fillId="0" borderId="0" xfId="0" applyNumberFormat="1" applyFont="1" applyFill="1" applyBorder="1" applyAlignment="1" applyProtection="1">
      <alignment horizontal="left"/>
    </xf>
    <xf numFmtId="169" fontId="57" fillId="0" borderId="0" xfId="0" applyNumberFormat="1" applyFont="1" applyFill="1" applyBorder="1" applyAlignment="1" applyProtection="1">
      <alignment horizontal="left"/>
    </xf>
    <xf numFmtId="0" fontId="57" fillId="0" borderId="162" xfId="0" applyFont="1" applyFill="1" applyBorder="1" applyProtection="1"/>
    <xf numFmtId="0" fontId="57" fillId="0" borderId="163" xfId="0" applyFont="1" applyFill="1" applyBorder="1" applyProtection="1"/>
    <xf numFmtId="44" fontId="47" fillId="0" borderId="163" xfId="0" applyNumberFormat="1" applyFont="1" applyFill="1" applyBorder="1" applyAlignment="1" applyProtection="1">
      <alignment horizontal="left"/>
    </xf>
    <xf numFmtId="169" fontId="57" fillId="0" borderId="163" xfId="0" applyNumberFormat="1" applyFont="1" applyFill="1" applyBorder="1" applyAlignment="1" applyProtection="1">
      <alignment horizontal="left"/>
    </xf>
    <xf numFmtId="0" fontId="57" fillId="0" borderId="44" xfId="0" applyFont="1" applyFill="1" applyBorder="1" applyProtection="1"/>
    <xf numFmtId="0" fontId="57" fillId="0" borderId="164" xfId="0" applyFont="1" applyFill="1" applyBorder="1" applyProtection="1"/>
    <xf numFmtId="0" fontId="59" fillId="0" borderId="0" xfId="0" applyFont="1" applyFill="1" applyBorder="1" applyProtection="1"/>
    <xf numFmtId="165" fontId="47" fillId="0" borderId="0" xfId="0" applyNumberFormat="1" applyFont="1" applyFill="1" applyBorder="1" applyAlignment="1" applyProtection="1">
      <alignment horizontal="right"/>
    </xf>
    <xf numFmtId="0" fontId="19" fillId="0" borderId="0" xfId="0" applyFont="1" applyFill="1" applyBorder="1" applyAlignment="1" applyProtection="1">
      <alignment horizontal="center"/>
    </xf>
    <xf numFmtId="0" fontId="22" fillId="0" borderId="163" xfId="0" applyFont="1" applyFill="1" applyBorder="1" applyAlignment="1" applyProtection="1">
      <alignment wrapText="1"/>
    </xf>
    <xf numFmtId="0" fontId="22" fillId="0" borderId="44" xfId="0" applyFont="1" applyFill="1" applyBorder="1" applyAlignment="1" applyProtection="1">
      <alignment wrapText="1"/>
    </xf>
    <xf numFmtId="0" fontId="22" fillId="0" borderId="0" xfId="0" applyFont="1" applyFill="1" applyBorder="1" applyAlignment="1" applyProtection="1">
      <alignment horizontal="left"/>
    </xf>
    <xf numFmtId="0" fontId="20" fillId="26" borderId="281" xfId="0" applyFont="1" applyFill="1" applyBorder="1" applyAlignment="1" applyProtection="1">
      <alignment horizontal="left"/>
    </xf>
    <xf numFmtId="0" fontId="57" fillId="26" borderId="446" xfId="0" applyFont="1" applyFill="1" applyBorder="1" applyProtection="1"/>
    <xf numFmtId="0" fontId="57" fillId="26" borderId="446" xfId="0" applyFont="1" applyFill="1" applyBorder="1" applyAlignment="1" applyProtection="1"/>
    <xf numFmtId="0" fontId="57" fillId="26" borderId="464" xfId="0" applyFont="1" applyFill="1" applyBorder="1" applyProtection="1"/>
    <xf numFmtId="0" fontId="19" fillId="6" borderId="146" xfId="0" applyFont="1" applyFill="1" applyBorder="1" applyAlignment="1" applyProtection="1">
      <alignment horizontal="right"/>
    </xf>
    <xf numFmtId="0" fontId="57" fillId="0" borderId="0" xfId="0" applyFont="1" applyFill="1" applyBorder="1" applyAlignment="1" applyProtection="1">
      <alignment vertical="center" wrapText="1"/>
    </xf>
    <xf numFmtId="1" fontId="57" fillId="0" borderId="0" xfId="0" applyNumberFormat="1" applyFont="1" applyFill="1" applyBorder="1" applyProtection="1"/>
    <xf numFmtId="0" fontId="76" fillId="0" borderId="0" xfId="0" applyFont="1" applyFill="1" applyBorder="1" applyAlignment="1" applyProtection="1">
      <alignment horizontal="left"/>
    </xf>
    <xf numFmtId="0" fontId="75" fillId="0" borderId="0" xfId="0" applyFont="1" applyFill="1" applyBorder="1" applyAlignment="1" applyProtection="1">
      <alignment horizontal="left"/>
    </xf>
    <xf numFmtId="0" fontId="57" fillId="0" borderId="0" xfId="0" applyFont="1" applyFill="1" applyBorder="1" applyAlignment="1" applyProtection="1">
      <alignment horizontal="left" vertical="top"/>
    </xf>
    <xf numFmtId="37" fontId="47" fillId="0" borderId="0" xfId="0" applyNumberFormat="1" applyFont="1" applyFill="1" applyBorder="1" applyAlignment="1" applyProtection="1">
      <alignment horizontal="right"/>
    </xf>
    <xf numFmtId="37" fontId="47" fillId="0" borderId="0" xfId="0" applyNumberFormat="1" applyFont="1" applyFill="1" applyBorder="1" applyAlignment="1" applyProtection="1"/>
    <xf numFmtId="0" fontId="47" fillId="0" borderId="391" xfId="0" applyFont="1" applyFill="1" applyBorder="1" applyProtection="1"/>
    <xf numFmtId="44" fontId="57" fillId="0" borderId="391" xfId="0" applyNumberFormat="1" applyFont="1" applyFill="1" applyBorder="1" applyAlignment="1" applyProtection="1">
      <alignment horizontal="left"/>
    </xf>
    <xf numFmtId="44" fontId="47" fillId="0" borderId="391" xfId="0" applyNumberFormat="1" applyFont="1" applyFill="1" applyBorder="1" applyAlignment="1" applyProtection="1">
      <alignment horizontal="left"/>
    </xf>
    <xf numFmtId="165" fontId="47" fillId="0" borderId="0" xfId="0" applyNumberFormat="1" applyFont="1" applyFill="1" applyBorder="1" applyAlignment="1" applyProtection="1"/>
    <xf numFmtId="169" fontId="47" fillId="0" borderId="0" xfId="0" applyNumberFormat="1" applyFont="1" applyFill="1" applyBorder="1" applyAlignment="1" applyProtection="1">
      <alignment horizontal="left"/>
    </xf>
    <xf numFmtId="44" fontId="57" fillId="0" borderId="163" xfId="0" applyNumberFormat="1" applyFont="1" applyFill="1" applyBorder="1" applyAlignment="1" applyProtection="1">
      <alignment horizontal="left"/>
    </xf>
    <xf numFmtId="165" fontId="47" fillId="0" borderId="163" xfId="0" applyNumberFormat="1" applyFont="1" applyFill="1" applyBorder="1" applyAlignment="1" applyProtection="1">
      <alignment horizontal="right"/>
    </xf>
    <xf numFmtId="0" fontId="57" fillId="0" borderId="391" xfId="0" applyFont="1" applyFill="1" applyBorder="1" applyProtection="1"/>
    <xf numFmtId="0" fontId="47" fillId="0" borderId="0" xfId="0" applyNumberFormat="1" applyFont="1" applyFill="1" applyBorder="1" applyAlignment="1" applyProtection="1">
      <alignment horizontal="right"/>
    </xf>
    <xf numFmtId="42" fontId="47" fillId="0" borderId="0" xfId="0" applyNumberFormat="1" applyFont="1" applyFill="1" applyBorder="1" applyAlignment="1" applyProtection="1">
      <alignment horizontal="right"/>
    </xf>
    <xf numFmtId="0" fontId="57" fillId="0" borderId="163" xfId="0" applyFont="1" applyFill="1" applyBorder="1" applyAlignment="1" applyProtection="1">
      <alignment wrapText="1"/>
    </xf>
    <xf numFmtId="0" fontId="75" fillId="0" borderId="0" xfId="0" applyFont="1" applyFill="1" applyBorder="1" applyAlignment="1" applyProtection="1">
      <alignment horizontal="left" vertical="top"/>
    </xf>
    <xf numFmtId="0" fontId="57" fillId="0" borderId="0" xfId="0" applyFont="1" applyFill="1" applyBorder="1" applyAlignment="1" applyProtection="1">
      <alignment vertical="center"/>
    </xf>
    <xf numFmtId="0" fontId="19" fillId="6" borderId="146" xfId="0" applyFont="1" applyFill="1" applyBorder="1" applyAlignment="1" applyProtection="1">
      <alignment horizontal="right" vertical="center"/>
    </xf>
    <xf numFmtId="9" fontId="7" fillId="0" borderId="257" xfId="0" applyNumberFormat="1" applyFont="1" applyFill="1" applyBorder="1" applyAlignment="1" applyProtection="1">
      <alignment vertical="center"/>
      <protection locked="0"/>
    </xf>
    <xf numFmtId="1" fontId="9" fillId="0" borderId="270" xfId="0" applyNumberFormat="1" applyFont="1" applyFill="1" applyBorder="1" applyAlignment="1" applyProtection="1">
      <protection locked="0"/>
    </xf>
    <xf numFmtId="1" fontId="9" fillId="0" borderId="474" xfId="0" applyNumberFormat="1" applyFont="1" applyFill="1" applyBorder="1" applyAlignment="1" applyProtection="1">
      <protection locked="0"/>
    </xf>
    <xf numFmtId="42" fontId="9" fillId="0" borderId="270" xfId="0" applyNumberFormat="1" applyFont="1" applyFill="1" applyBorder="1" applyAlignment="1" applyProtection="1">
      <protection locked="0"/>
    </xf>
    <xf numFmtId="9" fontId="7" fillId="0" borderId="80" xfId="0" applyNumberFormat="1" applyFont="1" applyFill="1" applyBorder="1" applyAlignment="1" applyProtection="1">
      <alignment vertical="center"/>
      <protection locked="0"/>
    </xf>
    <xf numFmtId="1" fontId="9" fillId="0" borderId="103" xfId="0" applyNumberFormat="1" applyFont="1" applyFill="1" applyBorder="1" applyAlignment="1" applyProtection="1">
      <protection locked="0"/>
    </xf>
    <xf numFmtId="42" fontId="9" fillId="0" borderId="103" xfId="0" applyNumberFormat="1" applyFont="1" applyFill="1" applyBorder="1" applyAlignment="1" applyProtection="1">
      <protection locked="0"/>
    </xf>
    <xf numFmtId="1" fontId="9" fillId="0" borderId="104" xfId="0" applyNumberFormat="1" applyFont="1" applyFill="1" applyBorder="1" applyAlignment="1" applyProtection="1">
      <protection locked="0"/>
    </xf>
    <xf numFmtId="1" fontId="9" fillId="0" borderId="207" xfId="0" applyNumberFormat="1" applyFont="1" applyFill="1" applyBorder="1" applyAlignment="1" applyProtection="1">
      <protection locked="0"/>
    </xf>
    <xf numFmtId="1" fontId="9" fillId="0" borderId="132" xfId="0" applyNumberFormat="1" applyFont="1" applyFill="1" applyBorder="1" applyAlignment="1" applyProtection="1">
      <protection locked="0"/>
    </xf>
    <xf numFmtId="1" fontId="9" fillId="0" borderId="68" xfId="0" applyNumberFormat="1" applyFont="1" applyFill="1" applyBorder="1" applyAlignment="1" applyProtection="1">
      <protection locked="0"/>
    </xf>
    <xf numFmtId="42" fontId="9" fillId="0" borderId="132" xfId="0" applyNumberFormat="1" applyFont="1" applyFill="1" applyBorder="1" applyAlignment="1" applyProtection="1">
      <protection locked="0"/>
    </xf>
    <xf numFmtId="0" fontId="3" fillId="0" borderId="29" xfId="0" applyFont="1" applyFill="1" applyBorder="1" applyAlignment="1" applyProtection="1">
      <alignment vertical="center"/>
    </xf>
    <xf numFmtId="0" fontId="3" fillId="0" borderId="29" xfId="0" applyFont="1" applyFill="1" applyBorder="1" applyProtection="1"/>
    <xf numFmtId="0" fontId="3" fillId="0" borderId="30" xfId="0" applyFont="1" applyFill="1" applyBorder="1" applyAlignment="1" applyProtection="1">
      <alignment vertical="center"/>
    </xf>
    <xf numFmtId="0" fontId="3" fillId="0" borderId="32" xfId="0" applyFont="1" applyFill="1" applyBorder="1" applyAlignment="1" applyProtection="1">
      <alignment vertical="center"/>
    </xf>
    <xf numFmtId="0" fontId="8" fillId="18" borderId="450" xfId="0" applyFont="1" applyFill="1" applyBorder="1" applyAlignment="1" applyProtection="1">
      <alignment horizontal="center" vertical="center" wrapText="1"/>
    </xf>
    <xf numFmtId="0" fontId="8" fillId="18" borderId="439" xfId="0" applyFont="1" applyFill="1" applyBorder="1" applyAlignment="1" applyProtection="1">
      <alignment horizontal="center" vertical="center" wrapText="1"/>
    </xf>
    <xf numFmtId="0" fontId="8" fillId="18" borderId="265" xfId="0" applyFont="1" applyFill="1" applyBorder="1" applyAlignment="1" applyProtection="1">
      <alignment horizontal="center" vertical="center" wrapText="1"/>
    </xf>
    <xf numFmtId="0" fontId="10" fillId="18" borderId="439" xfId="0" applyFont="1" applyFill="1" applyBorder="1" applyAlignment="1" applyProtection="1">
      <alignment horizontal="center" vertical="center" wrapText="1"/>
    </xf>
    <xf numFmtId="0" fontId="8" fillId="18" borderId="440" xfId="0" applyFont="1" applyFill="1" applyBorder="1" applyAlignment="1" applyProtection="1">
      <alignment horizontal="center" vertical="center" wrapText="1"/>
    </xf>
    <xf numFmtId="42" fontId="6" fillId="6" borderId="270" xfId="0" applyNumberFormat="1" applyFont="1" applyFill="1" applyBorder="1" applyAlignment="1" applyProtection="1">
      <alignment wrapText="1"/>
    </xf>
    <xf numFmtId="42" fontId="6" fillId="6" borderId="269" xfId="0" applyNumberFormat="1" applyFont="1" applyFill="1" applyBorder="1" applyAlignment="1" applyProtection="1">
      <alignment wrapText="1"/>
    </xf>
    <xf numFmtId="42" fontId="6" fillId="6" borderId="103" xfId="0" applyNumberFormat="1" applyFont="1" applyFill="1" applyBorder="1" applyAlignment="1" applyProtection="1">
      <alignment wrapText="1"/>
    </xf>
    <xf numFmtId="42" fontId="6" fillId="6" borderId="66" xfId="0" applyNumberFormat="1" applyFont="1" applyFill="1" applyBorder="1" applyAlignment="1" applyProtection="1">
      <alignment wrapText="1"/>
    </xf>
    <xf numFmtId="10" fontId="9" fillId="18" borderId="107" xfId="0" applyNumberFormat="1" applyFont="1" applyFill="1" applyBorder="1" applyAlignment="1" applyProtection="1">
      <alignment horizontal="center" vertical="center" wrapText="1"/>
    </xf>
    <xf numFmtId="42" fontId="9" fillId="13" borderId="104" xfId="0" applyNumberFormat="1" applyFont="1" applyFill="1" applyBorder="1" applyAlignment="1" applyProtection="1"/>
    <xf numFmtId="42" fontId="9" fillId="13" borderId="97" xfId="0" applyNumberFormat="1" applyFont="1" applyFill="1" applyBorder="1" applyAlignment="1" applyProtection="1"/>
    <xf numFmtId="42" fontId="9" fillId="13" borderId="98" xfId="0" applyNumberFormat="1" applyFont="1" applyFill="1" applyBorder="1" applyAlignment="1" applyProtection="1"/>
    <xf numFmtId="10" fontId="9" fillId="18" borderId="87" xfId="0" applyNumberFormat="1" applyFont="1" applyFill="1" applyBorder="1" applyAlignment="1" applyProtection="1">
      <alignment horizontal="center" vertical="center" wrapText="1"/>
    </xf>
    <xf numFmtId="42" fontId="6" fillId="6" borderId="132" xfId="0" applyNumberFormat="1" applyFont="1" applyFill="1" applyBorder="1" applyAlignment="1" applyProtection="1">
      <alignment wrapText="1"/>
    </xf>
    <xf numFmtId="42" fontId="6" fillId="6" borderId="145" xfId="0" applyNumberFormat="1" applyFont="1" applyFill="1" applyBorder="1" applyAlignment="1" applyProtection="1">
      <alignment wrapText="1"/>
    </xf>
    <xf numFmtId="0" fontId="6" fillId="0" borderId="10" xfId="0" applyFont="1" applyFill="1" applyBorder="1" applyAlignment="1" applyProtection="1">
      <alignment horizontal="center" vertical="center" wrapText="1"/>
    </xf>
    <xf numFmtId="37" fontId="6" fillId="0" borderId="25" xfId="0" applyNumberFormat="1" applyFont="1" applyFill="1" applyBorder="1" applyAlignment="1" applyProtection="1">
      <alignment wrapText="1"/>
    </xf>
    <xf numFmtId="42" fontId="6" fillId="25" borderId="116" xfId="0" applyNumberFormat="1" applyFont="1" applyFill="1" applyBorder="1" applyAlignment="1" applyProtection="1">
      <alignment vertical="center"/>
    </xf>
    <xf numFmtId="42" fontId="6" fillId="25" borderId="455" xfId="0" applyNumberFormat="1" applyFont="1" applyFill="1" applyBorder="1" applyAlignment="1" applyProtection="1">
      <alignment vertical="center"/>
    </xf>
    <xf numFmtId="42" fontId="6" fillId="25" borderId="245" xfId="0" applyNumberFormat="1" applyFont="1" applyFill="1" applyBorder="1" applyAlignment="1" applyProtection="1">
      <alignment vertical="center"/>
    </xf>
    <xf numFmtId="42" fontId="6" fillId="25" borderId="126" xfId="0" applyNumberFormat="1" applyFont="1" applyFill="1" applyBorder="1" applyAlignment="1" applyProtection="1">
      <alignment vertical="center"/>
    </xf>
    <xf numFmtId="42" fontId="6" fillId="6" borderId="245" xfId="0" applyNumberFormat="1" applyFont="1" applyFill="1" applyBorder="1" applyAlignment="1" applyProtection="1">
      <alignment wrapText="1"/>
    </xf>
    <xf numFmtId="42" fontId="6" fillId="6" borderId="250" xfId="0" applyNumberFormat="1" applyFont="1" applyFill="1" applyBorder="1" applyAlignment="1" applyProtection="1">
      <alignment wrapText="1"/>
    </xf>
    <xf numFmtId="42" fontId="6" fillId="6" borderId="146" xfId="0" applyNumberFormat="1" applyFont="1" applyFill="1" applyBorder="1" applyAlignment="1" applyProtection="1">
      <alignment wrapText="1"/>
    </xf>
    <xf numFmtId="0" fontId="6" fillId="0" borderId="0" xfId="0" applyFont="1" applyFill="1" applyBorder="1" applyAlignment="1" applyProtection="1">
      <alignment horizontal="center" vertical="center" wrapText="1"/>
    </xf>
    <xf numFmtId="37" fontId="6" fillId="0" borderId="0" xfId="0" applyNumberFormat="1" applyFont="1" applyFill="1" applyBorder="1" applyAlignment="1" applyProtection="1">
      <alignment wrapText="1"/>
    </xf>
    <xf numFmtId="42" fontId="6" fillId="0" borderId="0" xfId="0" applyNumberFormat="1" applyFont="1" applyFill="1" applyBorder="1" applyAlignment="1" applyProtection="1">
      <alignment vertical="center"/>
    </xf>
    <xf numFmtId="42" fontId="6" fillId="0" borderId="0" xfId="0" applyNumberFormat="1" applyFont="1" applyFill="1" applyBorder="1" applyAlignment="1" applyProtection="1">
      <alignment wrapText="1"/>
    </xf>
    <xf numFmtId="42" fontId="24" fillId="0" borderId="0" xfId="0" applyNumberFormat="1" applyFont="1" applyFill="1" applyBorder="1" applyAlignment="1" applyProtection="1">
      <alignment horizontal="right"/>
    </xf>
    <xf numFmtId="0" fontId="3" fillId="0" borderId="34" xfId="0" applyFont="1" applyFill="1" applyBorder="1" applyProtection="1"/>
    <xf numFmtId="0" fontId="24" fillId="0" borderId="34" xfId="0" applyFont="1" applyFill="1" applyBorder="1" applyAlignment="1" applyProtection="1">
      <alignment horizontal="right" vertical="center"/>
    </xf>
    <xf numFmtId="0" fontId="18" fillId="0" borderId="9" xfId="0" applyFont="1" applyFill="1" applyBorder="1" applyAlignment="1" applyProtection="1">
      <alignment horizontal="right" vertical="top"/>
      <protection locked="0"/>
    </xf>
    <xf numFmtId="9" fontId="42" fillId="0" borderId="80" xfId="0" applyNumberFormat="1" applyFont="1" applyFill="1" applyBorder="1" applyAlignment="1" applyProtection="1">
      <alignment horizontal="center" vertical="center" wrapText="1"/>
    </xf>
    <xf numFmtId="0" fontId="17" fillId="0" borderId="109" xfId="0" applyFont="1" applyFill="1" applyBorder="1" applyAlignment="1" applyProtection="1">
      <alignment horizontal="center"/>
      <protection locked="0"/>
    </xf>
    <xf numFmtId="0" fontId="18" fillId="0" borderId="109" xfId="0" applyFont="1" applyFill="1" applyBorder="1" applyAlignment="1" applyProtection="1">
      <alignment horizontal="center"/>
      <protection locked="0"/>
    </xf>
    <xf numFmtId="0" fontId="18" fillId="0" borderId="65" xfId="0" applyFont="1" applyFill="1" applyBorder="1" applyAlignment="1" applyProtection="1">
      <alignment horizontal="center"/>
      <protection locked="0"/>
    </xf>
    <xf numFmtId="0" fontId="0" fillId="18" borderId="237" xfId="0" applyFont="1" applyFill="1" applyBorder="1" applyProtection="1"/>
    <xf numFmtId="0" fontId="0" fillId="0" borderId="105" xfId="0" applyFont="1" applyFill="1" applyBorder="1" applyAlignment="1" applyProtection="1">
      <alignment horizontal="center"/>
      <protection locked="0"/>
    </xf>
    <xf numFmtId="0" fontId="0" fillId="0" borderId="103" xfId="0" applyFont="1" applyFill="1" applyBorder="1" applyAlignment="1" applyProtection="1">
      <alignment horizontal="center"/>
      <protection locked="0"/>
    </xf>
    <xf numFmtId="0" fontId="18" fillId="0" borderId="103" xfId="0" applyFont="1" applyFill="1" applyBorder="1" applyAlignment="1" applyProtection="1">
      <alignment horizontal="center"/>
      <protection locked="0"/>
    </xf>
    <xf numFmtId="0" fontId="0" fillId="6" borderId="550" xfId="0" applyFont="1" applyFill="1" applyBorder="1" applyAlignment="1" applyProtection="1">
      <alignment horizontal="center"/>
    </xf>
    <xf numFmtId="0" fontId="0" fillId="0" borderId="104" xfId="0" applyFont="1" applyFill="1" applyBorder="1" applyAlignment="1" applyProtection="1">
      <alignment horizontal="center"/>
      <protection locked="0"/>
    </xf>
    <xf numFmtId="0" fontId="2" fillId="6" borderId="477" xfId="0" applyFont="1" applyFill="1" applyBorder="1" applyProtection="1"/>
    <xf numFmtId="0" fontId="18" fillId="6" borderId="273" xfId="0" applyFont="1" applyFill="1" applyBorder="1" applyAlignment="1" applyProtection="1">
      <alignment horizontal="center"/>
    </xf>
    <xf numFmtId="0" fontId="18" fillId="6" borderId="119" xfId="0" applyFont="1" applyFill="1" applyBorder="1" applyAlignment="1" applyProtection="1">
      <alignment horizontal="center"/>
    </xf>
    <xf numFmtId="0" fontId="18" fillId="6" borderId="215" xfId="0" applyFont="1" applyFill="1" applyBorder="1" applyAlignment="1" applyProtection="1">
      <alignment horizontal="center"/>
    </xf>
    <xf numFmtId="0" fontId="18" fillId="6" borderId="551" xfId="0" applyFont="1" applyFill="1" applyBorder="1" applyAlignment="1" applyProtection="1">
      <alignment horizontal="center"/>
    </xf>
    <xf numFmtId="0" fontId="22" fillId="22" borderId="456" xfId="0" applyFont="1" applyFill="1" applyBorder="1" applyAlignment="1" applyProtection="1">
      <alignment horizontal="center"/>
    </xf>
    <xf numFmtId="0" fontId="22" fillId="6" borderId="146" xfId="0" applyFont="1" applyFill="1" applyBorder="1" applyAlignment="1" applyProtection="1">
      <alignment horizontal="center"/>
    </xf>
    <xf numFmtId="0" fontId="43" fillId="0" borderId="104" xfId="0" applyFont="1" applyFill="1" applyBorder="1" applyAlignment="1" applyProtection="1">
      <protection locked="0"/>
    </xf>
    <xf numFmtId="0" fontId="44" fillId="0" borderId="74" xfId="0" applyFont="1" applyFill="1" applyBorder="1" applyAlignment="1" applyProtection="1">
      <alignment horizontal="center"/>
      <protection locked="0"/>
    </xf>
    <xf numFmtId="0" fontId="3" fillId="0" borderId="74" xfId="0" applyFont="1" applyFill="1" applyBorder="1" applyAlignment="1" applyProtection="1">
      <alignment horizontal="center"/>
      <protection locked="0"/>
    </xf>
    <xf numFmtId="0" fontId="3" fillId="0" borderId="101" xfId="0" applyFont="1" applyFill="1" applyBorder="1" applyAlignment="1" applyProtection="1">
      <alignment horizontal="center"/>
      <protection locked="0"/>
    </xf>
    <xf numFmtId="0" fontId="3" fillId="0" borderId="86" xfId="0" applyFont="1" applyFill="1" applyBorder="1" applyAlignment="1" applyProtection="1">
      <alignment horizontal="center"/>
      <protection locked="0"/>
    </xf>
    <xf numFmtId="0" fontId="17" fillId="0" borderId="195" xfId="0" applyFont="1" applyFill="1" applyBorder="1" applyAlignment="1" applyProtection="1">
      <alignment horizontal="center"/>
    </xf>
    <xf numFmtId="0" fontId="0" fillId="7" borderId="6" xfId="0" applyFont="1" applyFill="1" applyBorder="1" applyAlignment="1" applyProtection="1"/>
    <xf numFmtId="0" fontId="0" fillId="7" borderId="245" xfId="0" applyFont="1" applyFill="1" applyBorder="1" applyAlignment="1" applyProtection="1"/>
    <xf numFmtId="0" fontId="0" fillId="29" borderId="265" xfId="0" applyFont="1" applyFill="1" applyBorder="1" applyAlignment="1" applyProtection="1"/>
    <xf numFmtId="0" fontId="18" fillId="18" borderId="251" xfId="0" applyFont="1" applyFill="1" applyBorder="1" applyAlignment="1" applyProtection="1">
      <alignment horizontal="center"/>
    </xf>
    <xf numFmtId="0" fontId="0" fillId="29" borderId="128" xfId="0" applyFont="1" applyFill="1" applyBorder="1" applyAlignment="1" applyProtection="1">
      <alignment horizontal="center"/>
    </xf>
    <xf numFmtId="0" fontId="0" fillId="0" borderId="424" xfId="0" applyFont="1" applyFill="1" applyBorder="1" applyAlignment="1" applyProtection="1">
      <alignment horizontal="center"/>
    </xf>
    <xf numFmtId="0" fontId="0" fillId="0" borderId="425" xfId="0" applyFont="1" applyFill="1" applyBorder="1" applyAlignment="1" applyProtection="1">
      <alignment horizontal="center"/>
    </xf>
    <xf numFmtId="3" fontId="18" fillId="28" borderId="11" xfId="0" applyNumberFormat="1" applyFont="1" applyFill="1" applyBorder="1" applyAlignment="1" applyProtection="1">
      <alignment vertical="center" wrapText="1"/>
    </xf>
    <xf numFmtId="3" fontId="22" fillId="6" borderId="11" xfId="0" applyNumberFormat="1" applyFont="1" applyFill="1" applyBorder="1" applyAlignment="1" applyProtection="1">
      <alignment vertical="center"/>
    </xf>
    <xf numFmtId="3" fontId="22" fillId="6" borderId="455" xfId="0" applyNumberFormat="1" applyFont="1" applyFill="1" applyBorder="1" applyAlignment="1" applyProtection="1">
      <alignment vertical="center"/>
    </xf>
    <xf numFmtId="3" fontId="22" fillId="29" borderId="15" xfId="0" applyNumberFormat="1" applyFont="1" applyFill="1" applyBorder="1" applyAlignment="1" applyProtection="1">
      <alignment vertical="center"/>
    </xf>
    <xf numFmtId="3" fontId="18" fillId="28" borderId="455" xfId="0" applyNumberFormat="1" applyFont="1" applyFill="1" applyBorder="1" applyAlignment="1" applyProtection="1">
      <alignment vertical="center" wrapText="1"/>
    </xf>
    <xf numFmtId="0" fontId="19" fillId="18" borderId="421" xfId="0" applyFont="1" applyFill="1" applyBorder="1" applyAlignment="1" applyProtection="1">
      <alignment horizontal="center" wrapText="1"/>
    </xf>
    <xf numFmtId="0" fontId="17" fillId="29" borderId="128" xfId="0" applyFont="1" applyFill="1" applyBorder="1" applyAlignment="1" applyProtection="1">
      <alignment horizontal="center" vertical="center" wrapText="1"/>
    </xf>
    <xf numFmtId="3" fontId="19" fillId="0" borderId="552" xfId="0" applyNumberFormat="1" applyFont="1" applyFill="1" applyBorder="1" applyAlignment="1" applyProtection="1">
      <alignment vertical="center"/>
      <protection locked="0"/>
    </xf>
    <xf numFmtId="3" fontId="19" fillId="0" borderId="554" xfId="0" applyNumberFormat="1" applyFont="1" applyFill="1" applyBorder="1" applyAlignment="1" applyProtection="1">
      <alignment vertical="center"/>
      <protection locked="0"/>
    </xf>
    <xf numFmtId="3" fontId="19" fillId="0" borderId="141" xfId="0" applyNumberFormat="1" applyFont="1" applyFill="1" applyBorder="1" applyAlignment="1" applyProtection="1">
      <alignment vertical="center"/>
      <protection locked="0"/>
    </xf>
    <xf numFmtId="3" fontId="17" fillId="29" borderId="128" xfId="0" applyNumberFormat="1" applyFont="1" applyFill="1" applyBorder="1" applyAlignment="1" applyProtection="1">
      <alignment vertical="center"/>
    </xf>
    <xf numFmtId="3" fontId="17" fillId="0" borderId="142" xfId="0" applyNumberFormat="1" applyFont="1" applyFill="1" applyBorder="1" applyAlignment="1" applyProtection="1">
      <alignment vertical="center"/>
      <protection locked="0"/>
    </xf>
    <xf numFmtId="3" fontId="17" fillId="0" borderId="131" xfId="0" applyNumberFormat="1" applyFont="1" applyFill="1" applyBorder="1" applyAlignment="1" applyProtection="1">
      <alignment vertical="center"/>
      <protection locked="0"/>
    </xf>
    <xf numFmtId="3" fontId="17" fillId="0" borderId="85" xfId="0" applyNumberFormat="1" applyFont="1" applyFill="1" applyBorder="1" applyAlignment="1" applyProtection="1">
      <alignment vertical="center" wrapText="1"/>
      <protection locked="0"/>
    </xf>
    <xf numFmtId="3" fontId="17" fillId="0" borderId="109" xfId="0" applyNumberFormat="1" applyFont="1" applyFill="1" applyBorder="1" applyAlignment="1" applyProtection="1">
      <alignment vertical="center" wrapText="1"/>
      <protection locked="0"/>
    </xf>
    <xf numFmtId="3" fontId="17" fillId="0" borderId="65" xfId="0" applyNumberFormat="1" applyFont="1" applyFill="1" applyBorder="1" applyAlignment="1" applyProtection="1">
      <alignment vertical="center" wrapText="1"/>
      <protection locked="0"/>
    </xf>
    <xf numFmtId="3" fontId="17" fillId="29" borderId="128" xfId="0" applyNumberFormat="1" applyFont="1" applyFill="1" applyBorder="1" applyAlignment="1" applyProtection="1">
      <alignment vertical="center" wrapText="1"/>
    </xf>
    <xf numFmtId="3" fontId="17" fillId="0" borderId="81" xfId="0" applyNumberFormat="1" applyFont="1" applyFill="1" applyBorder="1" applyAlignment="1" applyProtection="1">
      <alignment vertical="center"/>
      <protection locked="0"/>
    </xf>
    <xf numFmtId="3" fontId="17" fillId="0" borderId="103" xfId="0" applyNumberFormat="1" applyFont="1" applyFill="1" applyBorder="1" applyAlignment="1" applyProtection="1">
      <alignment vertical="center"/>
      <protection locked="0"/>
    </xf>
    <xf numFmtId="3" fontId="17" fillId="0" borderId="85" xfId="0" applyNumberFormat="1" applyFont="1" applyFill="1" applyBorder="1" applyAlignment="1" applyProtection="1">
      <alignment vertical="center"/>
      <protection locked="0"/>
    </xf>
    <xf numFmtId="3" fontId="17" fillId="0" borderId="109" xfId="0" applyNumberFormat="1" applyFont="1" applyFill="1" applyBorder="1" applyAlignment="1" applyProtection="1">
      <alignment vertical="center"/>
      <protection locked="0"/>
    </xf>
    <xf numFmtId="3" fontId="17" fillId="0" borderId="65" xfId="0" applyNumberFormat="1" applyFont="1" applyFill="1" applyBorder="1" applyAlignment="1" applyProtection="1">
      <alignment vertical="center"/>
      <protection locked="0"/>
    </xf>
    <xf numFmtId="3" fontId="17" fillId="0" borderId="553" xfId="0" applyNumberFormat="1" applyFont="1" applyFill="1" applyBorder="1" applyAlignment="1" applyProtection="1">
      <alignment vertical="center" wrapText="1"/>
      <protection locked="0"/>
    </xf>
    <xf numFmtId="3" fontId="17" fillId="0" borderId="555" xfId="0" applyNumberFormat="1" applyFont="1" applyFill="1" applyBorder="1" applyAlignment="1" applyProtection="1">
      <alignment vertical="center" wrapText="1"/>
      <protection locked="0"/>
    </xf>
    <xf numFmtId="3" fontId="17" fillId="0" borderId="159" xfId="0" applyNumberFormat="1" applyFont="1" applyFill="1" applyBorder="1" applyAlignment="1" applyProtection="1">
      <alignment vertical="center" wrapText="1"/>
      <protection locked="0"/>
    </xf>
    <xf numFmtId="3" fontId="17" fillId="0" borderId="423" xfId="0" applyNumberFormat="1" applyFont="1" applyFill="1" applyBorder="1" applyAlignment="1" applyProtection="1">
      <alignment vertical="center"/>
      <protection locked="0"/>
    </xf>
    <xf numFmtId="3" fontId="17" fillId="0" borderId="207" xfId="0" applyNumberFormat="1" applyFont="1" applyFill="1" applyBorder="1" applyAlignment="1" applyProtection="1">
      <alignment vertical="center"/>
      <protection locked="0"/>
    </xf>
    <xf numFmtId="3" fontId="17" fillId="6" borderId="279" xfId="0" applyNumberFormat="1" applyFont="1" applyFill="1" applyBorder="1" applyAlignment="1" applyProtection="1">
      <alignment vertical="center"/>
    </xf>
    <xf numFmtId="3" fontId="17" fillId="6" borderId="161" xfId="0" applyNumberFormat="1" applyFont="1" applyFill="1" applyBorder="1" applyAlignment="1" applyProtection="1">
      <alignment vertical="center"/>
    </xf>
    <xf numFmtId="3" fontId="17" fillId="6" borderId="130" xfId="0" applyNumberFormat="1" applyFont="1" applyFill="1" applyBorder="1" applyAlignment="1" applyProtection="1">
      <alignment vertical="center"/>
    </xf>
    <xf numFmtId="3" fontId="22" fillId="6" borderId="479" xfId="0" applyNumberFormat="1" applyFont="1" applyFill="1" applyBorder="1" applyAlignment="1" applyProtection="1">
      <alignment vertical="center"/>
    </xf>
    <xf numFmtId="0" fontId="2" fillId="7" borderId="176" xfId="0" applyFont="1" applyFill="1" applyBorder="1" applyAlignment="1" applyProtection="1"/>
    <xf numFmtId="3" fontId="17" fillId="0" borderId="103" xfId="0" applyNumberFormat="1" applyFont="1" applyFill="1" applyBorder="1" applyAlignment="1" applyProtection="1">
      <alignment vertical="center" wrapText="1"/>
      <protection locked="0"/>
    </xf>
    <xf numFmtId="3" fontId="17" fillId="0" borderId="207" xfId="0" applyNumberFormat="1" applyFont="1" applyFill="1" applyBorder="1" applyAlignment="1" applyProtection="1">
      <alignment vertical="center" wrapText="1"/>
      <protection locked="0"/>
    </xf>
    <xf numFmtId="3" fontId="17" fillId="6" borderId="556" xfId="0" applyNumberFormat="1" applyFont="1" applyFill="1" applyBorder="1" applyAlignment="1" applyProtection="1">
      <alignment vertical="center"/>
    </xf>
    <xf numFmtId="3" fontId="17" fillId="6" borderId="121" xfId="0" applyNumberFormat="1" applyFont="1" applyFill="1" applyBorder="1" applyAlignment="1" applyProtection="1">
      <alignment vertical="center" wrapText="1"/>
    </xf>
    <xf numFmtId="3" fontId="17" fillId="6" borderId="557" xfId="0" applyNumberFormat="1" applyFont="1" applyFill="1" applyBorder="1" applyAlignment="1" applyProtection="1">
      <alignment vertical="center" wrapText="1"/>
    </xf>
    <xf numFmtId="3" fontId="22" fillId="6" borderId="15" xfId="0" applyNumberFormat="1" applyFont="1" applyFill="1" applyBorder="1" applyAlignment="1" applyProtection="1">
      <alignment vertical="center"/>
    </xf>
    <xf numFmtId="0" fontId="22" fillId="18" borderId="78" xfId="0" applyFont="1" applyFill="1" applyBorder="1" applyAlignment="1" applyProtection="1">
      <alignment horizontal="center" wrapText="1"/>
    </xf>
    <xf numFmtId="0" fontId="22" fillId="18" borderId="472" xfId="0" applyFont="1" applyFill="1" applyBorder="1" applyAlignment="1" applyProtection="1">
      <alignment horizontal="left" wrapText="1"/>
    </xf>
    <xf numFmtId="0" fontId="22" fillId="18" borderId="472" xfId="0" applyFont="1" applyFill="1" applyBorder="1" applyAlignment="1" applyProtection="1">
      <alignment horizontal="center" wrapText="1"/>
    </xf>
    <xf numFmtId="0" fontId="42" fillId="18" borderId="472" xfId="0" applyFont="1" applyFill="1" applyBorder="1" applyProtection="1"/>
    <xf numFmtId="0" fontId="2" fillId="18" borderId="79" xfId="0" applyFont="1" applyFill="1" applyBorder="1" applyAlignment="1" applyProtection="1">
      <alignment horizontal="left"/>
    </xf>
    <xf numFmtId="6" fontId="58" fillId="0" borderId="471" xfId="0" applyNumberFormat="1" applyFont="1" applyFill="1" applyBorder="1" applyAlignment="1" applyProtection="1">
      <alignment horizontal="center"/>
      <protection locked="0"/>
    </xf>
    <xf numFmtId="0" fontId="23" fillId="18" borderId="0" xfId="0" applyFont="1" applyFill="1" applyBorder="1" applyAlignment="1" applyProtection="1"/>
    <xf numFmtId="0" fontId="3" fillId="18" borderId="0" xfId="0" applyFont="1" applyFill="1" applyBorder="1" applyAlignment="1" applyProtection="1"/>
    <xf numFmtId="17" fontId="43" fillId="0" borderId="22" xfId="0" applyNumberFormat="1" applyFont="1" applyFill="1" applyBorder="1" applyAlignment="1" applyProtection="1">
      <alignment horizontal="center"/>
      <protection locked="0"/>
    </xf>
    <xf numFmtId="17" fontId="43" fillId="0" borderId="15" xfId="0" applyNumberFormat="1" applyFont="1" applyFill="1" applyBorder="1" applyAlignment="1" applyProtection="1">
      <alignment horizontal="center"/>
      <protection locked="0"/>
    </xf>
    <xf numFmtId="17" fontId="43" fillId="0" borderId="21" xfId="0" applyNumberFormat="1" applyFont="1" applyFill="1" applyBorder="1" applyAlignment="1" applyProtection="1">
      <alignment horizontal="center"/>
      <protection locked="0"/>
    </xf>
    <xf numFmtId="0" fontId="22" fillId="18" borderId="10" xfId="0" applyFont="1" applyFill="1" applyBorder="1" applyAlignment="1" applyProtection="1">
      <alignment horizontal="center" wrapText="1"/>
    </xf>
    <xf numFmtId="166" fontId="46" fillId="18" borderId="252" xfId="0" applyNumberFormat="1" applyFont="1" applyFill="1" applyBorder="1" applyAlignment="1" applyProtection="1">
      <alignment horizontal="center" vertical="center" wrapText="1"/>
    </xf>
    <xf numFmtId="3" fontId="20" fillId="18" borderId="422" xfId="0" applyNumberFormat="1" applyFont="1" applyFill="1" applyBorder="1" applyAlignment="1" applyProtection="1"/>
    <xf numFmtId="0" fontId="0" fillId="18" borderId="464" xfId="0" applyFont="1" applyFill="1" applyBorder="1" applyProtection="1"/>
    <xf numFmtId="0" fontId="43" fillId="18" borderId="0" xfId="0" applyFont="1" applyFill="1" applyBorder="1" applyAlignment="1" applyProtection="1">
      <alignment vertical="center"/>
    </xf>
    <xf numFmtId="165" fontId="18" fillId="0" borderId="350" xfId="0" applyNumberFormat="1" applyFont="1" applyFill="1" applyBorder="1" applyProtection="1">
      <protection locked="0"/>
    </xf>
    <xf numFmtId="165" fontId="18" fillId="0" borderId="351" xfId="0" applyNumberFormat="1" applyFont="1" applyFill="1" applyBorder="1" applyProtection="1">
      <protection locked="0"/>
    </xf>
    <xf numFmtId="165" fontId="18" fillId="0" borderId="352" xfId="0" applyNumberFormat="1" applyFont="1" applyFill="1" applyBorder="1" applyProtection="1">
      <protection locked="0"/>
    </xf>
    <xf numFmtId="5" fontId="43" fillId="0" borderId="36" xfId="0" applyNumberFormat="1" applyFont="1" applyFill="1" applyBorder="1" applyAlignment="1" applyProtection="1">
      <alignment horizontal="right" vertical="center"/>
      <protection locked="0"/>
    </xf>
    <xf numFmtId="5" fontId="43" fillId="0" borderId="317" xfId="0" applyNumberFormat="1" applyFont="1" applyFill="1" applyBorder="1" applyAlignment="1" applyProtection="1">
      <alignment horizontal="right" vertical="center"/>
      <protection locked="0"/>
    </xf>
    <xf numFmtId="5" fontId="43" fillId="0" borderId="315" xfId="0" applyNumberFormat="1" applyFont="1" applyFill="1" applyBorder="1" applyAlignment="1" applyProtection="1">
      <alignment vertical="center"/>
      <protection locked="0"/>
    </xf>
    <xf numFmtId="5" fontId="43" fillId="0" borderId="316" xfId="0" applyNumberFormat="1" applyFont="1" applyFill="1" applyBorder="1" applyAlignment="1" applyProtection="1">
      <alignment vertical="center"/>
      <protection locked="0"/>
    </xf>
    <xf numFmtId="5" fontId="43" fillId="0" borderId="323" xfId="0" applyNumberFormat="1" applyFont="1" applyFill="1" applyBorder="1" applyAlignment="1" applyProtection="1">
      <alignment vertical="center"/>
      <protection locked="0"/>
    </xf>
    <xf numFmtId="5" fontId="43" fillId="0" borderId="312" xfId="0" applyNumberFormat="1" applyFont="1" applyFill="1" applyBorder="1" applyAlignment="1" applyProtection="1">
      <alignment vertical="center"/>
      <protection locked="0"/>
    </xf>
    <xf numFmtId="5" fontId="43" fillId="0" borderId="313" xfId="0" applyNumberFormat="1" applyFont="1" applyFill="1" applyBorder="1" applyAlignment="1" applyProtection="1">
      <alignment vertical="center"/>
      <protection locked="0"/>
    </xf>
    <xf numFmtId="165" fontId="18" fillId="0" borderId="353" xfId="0" applyNumberFormat="1" applyFont="1" applyFill="1" applyBorder="1" applyProtection="1">
      <protection locked="0"/>
    </xf>
    <xf numFmtId="165" fontId="43" fillId="0" borderId="354" xfId="0" applyNumberFormat="1" applyFont="1" applyFill="1" applyBorder="1" applyAlignment="1" applyProtection="1">
      <alignment vertical="center"/>
      <protection locked="0"/>
    </xf>
    <xf numFmtId="165" fontId="43" fillId="0" borderId="4" xfId="0" applyNumberFormat="1" applyFont="1" applyFill="1" applyBorder="1" applyAlignment="1" applyProtection="1">
      <alignment vertical="center"/>
      <protection locked="0"/>
    </xf>
    <xf numFmtId="165" fontId="43" fillId="0" borderId="355" xfId="0" applyNumberFormat="1" applyFont="1" applyFill="1" applyBorder="1" applyAlignment="1" applyProtection="1">
      <alignment vertical="center"/>
      <protection locked="0"/>
    </xf>
    <xf numFmtId="165" fontId="43" fillId="0" borderId="251" xfId="0" applyNumberFormat="1" applyFont="1" applyFill="1" applyBorder="1" applyAlignment="1" applyProtection="1">
      <alignment vertical="center"/>
      <protection locked="0"/>
    </xf>
    <xf numFmtId="165" fontId="43" fillId="0" borderId="356" xfId="0" applyNumberFormat="1" applyFont="1" applyFill="1" applyBorder="1" applyAlignment="1" applyProtection="1">
      <alignment vertical="center"/>
      <protection locked="0"/>
    </xf>
    <xf numFmtId="6" fontId="43" fillId="0" borderId="323" xfId="0" applyNumberFormat="1" applyFont="1" applyFill="1" applyBorder="1" applyAlignment="1" applyProtection="1">
      <alignment horizontal="right" vertical="center"/>
      <protection locked="0"/>
    </xf>
    <xf numFmtId="6" fontId="43" fillId="0" borderId="312" xfId="0" applyNumberFormat="1" applyFont="1" applyFill="1" applyBorder="1" applyAlignment="1" applyProtection="1">
      <alignment horizontal="right" vertical="center"/>
      <protection locked="0"/>
    </xf>
    <xf numFmtId="6" fontId="43" fillId="0" borderId="313" xfId="0" applyNumberFormat="1" applyFont="1" applyFill="1" applyBorder="1" applyAlignment="1" applyProtection="1">
      <alignment horizontal="right" vertical="center"/>
      <protection locked="0"/>
    </xf>
    <xf numFmtId="6" fontId="43" fillId="0" borderId="380" xfId="0" applyNumberFormat="1" applyFont="1" applyFill="1" applyBorder="1" applyAlignment="1" applyProtection="1">
      <alignment horizontal="right" vertical="center"/>
      <protection locked="0"/>
    </xf>
    <xf numFmtId="6" fontId="43" fillId="0" borderId="381" xfId="0" applyNumberFormat="1" applyFont="1" applyFill="1" applyBorder="1" applyAlignment="1" applyProtection="1">
      <alignment horizontal="right" vertical="center"/>
      <protection locked="0"/>
    </xf>
    <xf numFmtId="6" fontId="43" fillId="0" borderId="382" xfId="0" applyNumberFormat="1" applyFont="1" applyFill="1" applyBorder="1" applyAlignment="1" applyProtection="1">
      <alignment horizontal="right" vertical="center"/>
      <protection locked="0"/>
    </xf>
    <xf numFmtId="6" fontId="43" fillId="0" borderId="335" xfId="0" applyNumberFormat="1" applyFont="1" applyFill="1" applyBorder="1" applyAlignment="1" applyProtection="1">
      <alignment horizontal="right" vertical="center"/>
      <protection locked="0"/>
    </xf>
    <xf numFmtId="6" fontId="43" fillId="0" borderId="73" xfId="0" applyNumberFormat="1" applyFont="1" applyFill="1" applyBorder="1" applyAlignment="1" applyProtection="1">
      <alignment horizontal="right" vertical="center"/>
      <protection locked="0"/>
    </xf>
    <xf numFmtId="6" fontId="43" fillId="0" borderId="336" xfId="0" applyNumberFormat="1" applyFont="1" applyFill="1" applyBorder="1" applyAlignment="1" applyProtection="1">
      <alignment horizontal="right" vertical="center"/>
      <protection locked="0"/>
    </xf>
    <xf numFmtId="6" fontId="43" fillId="0" borderId="393" xfId="0" applyNumberFormat="1" applyFont="1" applyFill="1" applyBorder="1" applyAlignment="1" applyProtection="1">
      <alignment horizontal="right" vertical="center"/>
      <protection locked="0"/>
    </xf>
    <xf numFmtId="6" fontId="43" fillId="0" borderId="385" xfId="0" applyNumberFormat="1" applyFont="1" applyFill="1" applyBorder="1" applyAlignment="1" applyProtection="1">
      <alignment horizontal="right" vertical="center"/>
      <protection locked="0"/>
    </xf>
    <xf numFmtId="6" fontId="43" fillId="0" borderId="394" xfId="0" applyNumberFormat="1" applyFont="1" applyFill="1" applyBorder="1" applyAlignment="1" applyProtection="1">
      <alignment horizontal="right" vertical="center"/>
      <protection locked="0"/>
    </xf>
    <xf numFmtId="6" fontId="43" fillId="0" borderId="337" xfId="0" applyNumberFormat="1" applyFont="1" applyFill="1" applyBorder="1" applyAlignment="1" applyProtection="1">
      <alignment horizontal="right" vertical="center"/>
      <protection locked="0"/>
    </xf>
    <xf numFmtId="6" fontId="43" fillId="0" borderId="338" xfId="0" applyNumberFormat="1" applyFont="1" applyFill="1" applyBorder="1" applyAlignment="1" applyProtection="1">
      <alignment horizontal="right" vertical="center"/>
      <protection locked="0"/>
    </xf>
    <xf numFmtId="6" fontId="43" fillId="0" borderId="331" xfId="0" applyNumberFormat="1" applyFont="1" applyFill="1" applyBorder="1" applyAlignment="1" applyProtection="1">
      <alignment horizontal="right" vertical="center"/>
      <protection locked="0"/>
    </xf>
    <xf numFmtId="6" fontId="43" fillId="0" borderId="339" xfId="0" applyNumberFormat="1" applyFont="1" applyFill="1" applyBorder="1" applyAlignment="1" applyProtection="1">
      <alignment horizontal="right" vertical="center"/>
      <protection locked="0"/>
    </xf>
    <xf numFmtId="6" fontId="43" fillId="0" borderId="340" xfId="0" applyNumberFormat="1" applyFont="1" applyFill="1" applyBorder="1" applyAlignment="1" applyProtection="1">
      <alignment horizontal="right" vertical="center"/>
      <protection locked="0"/>
    </xf>
    <xf numFmtId="6" fontId="43" fillId="0" borderId="341" xfId="0" applyNumberFormat="1" applyFont="1" applyFill="1" applyBorder="1" applyAlignment="1" applyProtection="1">
      <alignment horizontal="right" vertical="center"/>
      <protection locked="0"/>
    </xf>
    <xf numFmtId="6" fontId="43" fillId="0" borderId="314" xfId="0" applyNumberFormat="1" applyFont="1" applyFill="1" applyBorder="1" applyAlignment="1" applyProtection="1">
      <alignment vertical="center"/>
      <protection locked="0"/>
    </xf>
    <xf numFmtId="6" fontId="43" fillId="0" borderId="315" xfId="0" applyNumberFormat="1" applyFont="1" applyFill="1" applyBorder="1" applyAlignment="1" applyProtection="1">
      <alignment vertical="center"/>
      <protection locked="0"/>
    </xf>
    <xf numFmtId="6" fontId="43" fillId="0" borderId="316" xfId="0" applyNumberFormat="1" applyFont="1" applyFill="1" applyBorder="1" applyAlignment="1" applyProtection="1">
      <alignment vertical="center"/>
      <protection locked="0"/>
    </xf>
    <xf numFmtId="6" fontId="43" fillId="0" borderId="323" xfId="0" quotePrefix="1" applyNumberFormat="1" applyFont="1" applyFill="1" applyBorder="1" applyAlignment="1" applyProtection="1">
      <alignment horizontal="right" vertical="center"/>
      <protection locked="0"/>
    </xf>
    <xf numFmtId="6" fontId="43" fillId="0" borderId="312" xfId="0" applyNumberFormat="1" applyFont="1" applyFill="1" applyBorder="1" applyAlignment="1" applyProtection="1">
      <alignment vertical="center"/>
      <protection locked="0"/>
    </xf>
    <xf numFmtId="6" fontId="43" fillId="0" borderId="313" xfId="0" applyNumberFormat="1" applyFont="1" applyFill="1" applyBorder="1" applyAlignment="1" applyProtection="1">
      <alignment vertical="center"/>
      <protection locked="0"/>
    </xf>
    <xf numFmtId="6" fontId="43" fillId="0" borderId="254" xfId="0" applyNumberFormat="1" applyFont="1" applyFill="1" applyBorder="1" applyAlignment="1" applyProtection="1">
      <alignment vertical="center"/>
      <protection locked="0"/>
    </xf>
    <xf numFmtId="6" fontId="43" fillId="0" borderId="306" xfId="0" applyNumberFormat="1" applyFont="1" applyFill="1" applyBorder="1" applyAlignment="1" applyProtection="1">
      <alignment vertical="center"/>
      <protection locked="0"/>
    </xf>
    <xf numFmtId="6" fontId="43" fillId="0" borderId="46" xfId="0" applyNumberFormat="1" applyFont="1" applyFill="1" applyBorder="1" applyAlignment="1" applyProtection="1">
      <alignment vertical="center"/>
      <protection locked="0"/>
    </xf>
    <xf numFmtId="6" fontId="43" fillId="0" borderId="37" xfId="0" applyNumberFormat="1" applyFont="1" applyFill="1" applyBorder="1" applyAlignment="1" applyProtection="1">
      <alignment vertical="center"/>
      <protection locked="0"/>
    </xf>
    <xf numFmtId="6" fontId="43" fillId="0" borderId="50" xfId="0" applyNumberFormat="1" applyFont="1" applyFill="1" applyBorder="1" applyAlignment="1" applyProtection="1">
      <alignment vertical="center"/>
      <protection locked="0"/>
    </xf>
    <xf numFmtId="6" fontId="43" fillId="0" borderId="52" xfId="0" applyNumberFormat="1" applyFont="1" applyFill="1" applyBorder="1" applyAlignment="1" applyProtection="1">
      <alignment vertical="center"/>
      <protection locked="0"/>
    </xf>
    <xf numFmtId="6" fontId="43" fillId="0" borderId="267" xfId="0" applyNumberFormat="1" applyFont="1" applyFill="1" applyBorder="1" applyAlignment="1" applyProtection="1">
      <alignment horizontal="right" vertical="center"/>
      <protection locked="0"/>
    </xf>
    <xf numFmtId="6" fontId="43" fillId="0" borderId="268" xfId="0" applyNumberFormat="1" applyFont="1" applyFill="1" applyBorder="1" applyAlignment="1" applyProtection="1">
      <alignment vertical="center"/>
      <protection locked="0"/>
    </xf>
    <xf numFmtId="6" fontId="43" fillId="0" borderId="269" xfId="0" applyNumberFormat="1" applyFont="1" applyFill="1" applyBorder="1" applyAlignment="1" applyProtection="1">
      <alignment vertical="center"/>
      <protection locked="0"/>
    </xf>
    <xf numFmtId="6" fontId="43" fillId="0" borderId="64" xfId="0" applyNumberFormat="1" applyFont="1" applyFill="1" applyBorder="1" applyAlignment="1" applyProtection="1">
      <alignment horizontal="right" vertical="center"/>
      <protection locked="0"/>
    </xf>
    <xf numFmtId="6" fontId="43" fillId="0" borderId="65" xfId="0" applyNumberFormat="1" applyFont="1" applyFill="1" applyBorder="1" applyAlignment="1" applyProtection="1">
      <alignment vertical="center"/>
      <protection locked="0"/>
    </xf>
    <xf numFmtId="6" fontId="43" fillId="0" borderId="66" xfId="0" applyNumberFormat="1" applyFont="1" applyFill="1" applyBorder="1" applyAlignment="1" applyProtection="1">
      <alignment vertical="center"/>
      <protection locked="0"/>
    </xf>
    <xf numFmtId="6" fontId="43" fillId="0" borderId="398" xfId="0" applyNumberFormat="1" applyFont="1" applyFill="1" applyBorder="1" applyAlignment="1" applyProtection="1">
      <alignment horizontal="right" vertical="center"/>
      <protection locked="0"/>
    </xf>
    <xf numFmtId="6" fontId="43" fillId="0" borderId="159" xfId="0" applyNumberFormat="1" applyFont="1" applyFill="1" applyBorder="1" applyAlignment="1" applyProtection="1">
      <alignment vertical="center"/>
      <protection locked="0"/>
    </xf>
    <xf numFmtId="6" fontId="43" fillId="0" borderId="145" xfId="0" applyNumberFormat="1" applyFont="1" applyFill="1" applyBorder="1" applyAlignment="1" applyProtection="1">
      <alignment vertical="center"/>
      <protection locked="0"/>
    </xf>
    <xf numFmtId="5" fontId="46" fillId="6" borderId="298" xfId="0" applyNumberFormat="1" applyFont="1" applyFill="1" applyBorder="1" applyAlignment="1" applyProtection="1">
      <alignment vertical="center"/>
    </xf>
    <xf numFmtId="5" fontId="46" fillId="6" borderId="299" xfId="0" applyNumberFormat="1" applyFont="1" applyFill="1" applyBorder="1" applyAlignment="1" applyProtection="1">
      <alignment vertical="center"/>
    </xf>
    <xf numFmtId="5" fontId="46" fillId="6" borderId="300" xfId="0" applyNumberFormat="1" applyFont="1" applyFill="1" applyBorder="1" applyAlignment="1" applyProtection="1">
      <alignment vertical="center"/>
    </xf>
    <xf numFmtId="0" fontId="18" fillId="0" borderId="13" xfId="0" applyFont="1" applyFill="1" applyBorder="1" applyAlignment="1" applyProtection="1">
      <alignment textRotation="90" wrapText="1"/>
    </xf>
    <xf numFmtId="0" fontId="18" fillId="0" borderId="18" xfId="0" applyFont="1" applyFill="1" applyBorder="1" applyAlignment="1" applyProtection="1">
      <alignment horizontal="center" vertical="center" wrapText="1"/>
      <protection locked="0"/>
    </xf>
    <xf numFmtId="0" fontId="18" fillId="0" borderId="304" xfId="0" applyFont="1" applyFill="1" applyBorder="1" applyAlignment="1" applyProtection="1">
      <alignment horizontal="center" vertical="center" wrapText="1"/>
      <protection locked="0"/>
    </xf>
    <xf numFmtId="0" fontId="18" fillId="0" borderId="558" xfId="0" applyFont="1" applyFill="1" applyBorder="1" applyAlignment="1" applyProtection="1">
      <alignment vertical="top"/>
    </xf>
    <xf numFmtId="0" fontId="18" fillId="0" borderId="559" xfId="0" applyFont="1" applyFill="1" applyBorder="1" applyAlignment="1" applyProtection="1">
      <alignment vertical="top" wrapText="1"/>
    </xf>
    <xf numFmtId="0" fontId="18" fillId="0" borderId="120" xfId="0" applyFont="1" applyFill="1" applyBorder="1" applyAlignment="1" applyProtection="1">
      <alignment vertical="top"/>
    </xf>
    <xf numFmtId="0" fontId="18" fillId="0" borderId="560" xfId="0" applyFont="1" applyFill="1" applyBorder="1" applyAlignment="1" applyProtection="1">
      <alignment vertical="top" wrapText="1"/>
    </xf>
    <xf numFmtId="0" fontId="18" fillId="0" borderId="118" xfId="0" applyFont="1" applyFill="1" applyBorder="1" applyAlignment="1" applyProtection="1">
      <alignment vertical="top"/>
    </xf>
    <xf numFmtId="0" fontId="18" fillId="0" borderId="561" xfId="0" applyFont="1" applyFill="1" applyBorder="1" applyAlignment="1" applyProtection="1">
      <alignment vertical="top" wrapText="1"/>
    </xf>
    <xf numFmtId="0" fontId="18" fillId="0" borderId="77" xfId="0" applyFont="1" applyFill="1" applyBorder="1" applyAlignment="1" applyProtection="1">
      <alignment vertical="top" wrapText="1"/>
      <protection locked="0"/>
    </xf>
    <xf numFmtId="0" fontId="23" fillId="18" borderId="0" xfId="0" applyFont="1" applyFill="1" applyBorder="1" applyAlignment="1" applyProtection="1">
      <alignment horizontal="center" wrapText="1"/>
    </xf>
    <xf numFmtId="0" fontId="23" fillId="18" borderId="0" xfId="0" applyFont="1" applyFill="1" applyBorder="1" applyAlignment="1" applyProtection="1">
      <alignment horizontal="center"/>
    </xf>
    <xf numFmtId="0" fontId="18" fillId="18" borderId="0" xfId="0" applyFont="1" applyFill="1" applyBorder="1" applyAlignment="1" applyProtection="1">
      <alignment wrapText="1"/>
    </xf>
    <xf numFmtId="0" fontId="57" fillId="18" borderId="0" xfId="0" applyFont="1" applyFill="1" applyBorder="1" applyAlignment="1" applyProtection="1">
      <alignment wrapText="1"/>
    </xf>
    <xf numFmtId="169" fontId="57" fillId="0" borderId="471" xfId="0" applyNumberFormat="1" applyFont="1" applyFill="1" applyBorder="1" applyAlignment="1" applyProtection="1">
      <alignment horizontal="left"/>
      <protection locked="0"/>
    </xf>
    <xf numFmtId="0" fontId="75" fillId="0" borderId="471" xfId="0" applyFont="1" applyFill="1" applyBorder="1" applyAlignment="1" applyProtection="1">
      <alignment horizontal="center" vertical="top"/>
      <protection locked="0"/>
    </xf>
    <xf numFmtId="37" fontId="47" fillId="0" borderId="471" xfId="0" applyNumberFormat="1" applyFont="1" applyFill="1" applyBorder="1" applyAlignment="1" applyProtection="1">
      <alignment horizontal="right"/>
      <protection locked="0"/>
    </xf>
    <xf numFmtId="37" fontId="47" fillId="6" borderId="471" xfId="0" applyNumberFormat="1" applyFont="1" applyFill="1" applyBorder="1" applyAlignment="1" applyProtection="1">
      <alignment horizontal="right"/>
    </xf>
    <xf numFmtId="9" fontId="47" fillId="6" borderId="471" xfId="0" applyNumberFormat="1" applyFont="1" applyFill="1" applyBorder="1" applyAlignment="1" applyProtection="1">
      <alignment horizontal="right"/>
    </xf>
    <xf numFmtId="0" fontId="47" fillId="0" borderId="5" xfId="0" applyFont="1" applyFill="1" applyBorder="1" applyProtection="1"/>
    <xf numFmtId="44" fontId="57" fillId="0" borderId="5" xfId="0" applyNumberFormat="1" applyFont="1" applyFill="1" applyBorder="1" applyAlignment="1" applyProtection="1">
      <alignment horizontal="left"/>
    </xf>
    <xf numFmtId="44" fontId="47" fillId="0" borderId="5" xfId="0" applyNumberFormat="1" applyFont="1" applyFill="1" applyBorder="1" applyAlignment="1" applyProtection="1">
      <alignment horizontal="left"/>
    </xf>
    <xf numFmtId="0" fontId="57" fillId="0" borderId="20" xfId="0" applyFont="1" applyFill="1" applyBorder="1" applyProtection="1"/>
    <xf numFmtId="0" fontId="17" fillId="0" borderId="471" xfId="0" applyFont="1" applyFill="1" applyBorder="1" applyAlignment="1" applyProtection="1">
      <alignment horizontal="center"/>
      <protection locked="0"/>
    </xf>
    <xf numFmtId="0" fontId="18" fillId="0" borderId="471" xfId="0" applyFont="1" applyFill="1" applyBorder="1" applyAlignment="1" applyProtection="1">
      <alignment horizontal="center"/>
      <protection locked="0"/>
    </xf>
    <xf numFmtId="3" fontId="0" fillId="0" borderId="0" xfId="0" applyNumberFormat="1"/>
    <xf numFmtId="0" fontId="0" fillId="0" borderId="0" xfId="0"/>
    <xf numFmtId="0" fontId="2" fillId="6" borderId="0" xfId="0" applyFont="1" applyFill="1"/>
    <xf numFmtId="0" fontId="2" fillId="6" borderId="0" xfId="0" applyNumberFormat="1" applyFont="1" applyFill="1"/>
    <xf numFmtId="44" fontId="2" fillId="6" borderId="0" xfId="0" applyNumberFormat="1" applyFont="1" applyFill="1"/>
    <xf numFmtId="0" fontId="2" fillId="6" borderId="0" xfId="0" applyNumberFormat="1" applyFont="1" applyFill="1"/>
    <xf numFmtId="44" fontId="0" fillId="0" borderId="0" xfId="0" applyNumberFormat="1"/>
    <xf numFmtId="9" fontId="2" fillId="6" borderId="0" xfId="0" quotePrefix="1" applyNumberFormat="1" applyFont="1" applyFill="1" applyAlignment="1">
      <alignment horizontal="center"/>
    </xf>
    <xf numFmtId="9" fontId="2" fillId="6" borderId="0" xfId="0" applyNumberFormat="1" applyFont="1" applyFill="1" applyAlignment="1">
      <alignment horizontal="center"/>
    </xf>
    <xf numFmtId="2" fontId="0" fillId="0" borderId="0" xfId="0" applyNumberFormat="1"/>
    <xf numFmtId="2" fontId="2" fillId="6" borderId="0" xfId="0" applyNumberFormat="1" applyFont="1" applyFill="1"/>
    <xf numFmtId="0" fontId="0" fillId="30" borderId="0" xfId="0" applyFill="1"/>
    <xf numFmtId="169" fontId="2" fillId="6" borderId="0" xfId="0" applyNumberFormat="1" applyFont="1" applyFill="1"/>
    <xf numFmtId="49" fontId="2" fillId="6" borderId="0" xfId="0" applyNumberFormat="1" applyFont="1" applyFill="1"/>
    <xf numFmtId="44" fontId="2" fillId="6" borderId="0" xfId="0" applyNumberFormat="1" applyFont="1" applyFill="1" applyAlignment="1">
      <alignment wrapText="1"/>
    </xf>
    <xf numFmtId="43" fontId="2" fillId="6" borderId="0" xfId="0" applyNumberFormat="1" applyFont="1" applyFill="1"/>
    <xf numFmtId="42" fontId="0" fillId="0" borderId="0" xfId="0" applyNumberFormat="1"/>
    <xf numFmtId="5" fontId="0" fillId="0" borderId="0" xfId="0" applyNumberFormat="1"/>
    <xf numFmtId="6" fontId="0" fillId="0" borderId="0" xfId="0" applyNumberFormat="1"/>
    <xf numFmtId="6" fontId="18" fillId="0" borderId="273" xfId="0" applyNumberFormat="1" applyFont="1" applyFill="1" applyBorder="1" applyAlignment="1" applyProtection="1">
      <protection locked="0"/>
    </xf>
    <xf numFmtId="6" fontId="18" fillId="0" borderId="119" xfId="0" applyNumberFormat="1" applyFont="1" applyFill="1" applyBorder="1" applyAlignment="1" applyProtection="1">
      <protection locked="0"/>
    </xf>
    <xf numFmtId="6" fontId="18" fillId="0" borderId="148" xfId="0" applyNumberFormat="1" applyFont="1" applyFill="1" applyBorder="1" applyAlignment="1" applyProtection="1">
      <protection locked="0"/>
    </xf>
    <xf numFmtId="6" fontId="18" fillId="27" borderId="489" xfId="0" applyNumberFormat="1" applyFont="1" applyFill="1" applyBorder="1" applyAlignment="1" applyProtection="1"/>
    <xf numFmtId="0" fontId="17" fillId="0" borderId="174" xfId="0" applyFont="1" applyFill="1" applyBorder="1" applyAlignment="1" applyProtection="1">
      <alignment horizontal="center"/>
      <protection locked="0"/>
    </xf>
    <xf numFmtId="0" fontId="17" fillId="0" borderId="64" xfId="0" applyFont="1" applyFill="1" applyBorder="1" applyAlignment="1" applyProtection="1">
      <alignment horizontal="center"/>
      <protection locked="0"/>
    </xf>
    <xf numFmtId="0" fontId="1" fillId="0" borderId="64" xfId="0" applyFont="1" applyFill="1" applyBorder="1" applyAlignment="1" applyProtection="1">
      <alignment horizontal="center"/>
      <protection locked="0"/>
    </xf>
    <xf numFmtId="0" fontId="1" fillId="0" borderId="107" xfId="0" applyFont="1" applyFill="1" applyBorder="1" applyAlignment="1" applyProtection="1">
      <alignment horizontal="center"/>
      <protection locked="0"/>
    </xf>
    <xf numFmtId="0" fontId="3" fillId="0" borderId="162" xfId="0" applyFont="1" applyBorder="1" applyProtection="1">
      <protection locked="0"/>
    </xf>
    <xf numFmtId="0" fontId="0" fillId="0" borderId="163" xfId="0" applyBorder="1" applyProtection="1">
      <protection locked="0"/>
    </xf>
    <xf numFmtId="0" fontId="3" fillId="0" borderId="164" xfId="0" applyFont="1" applyBorder="1" applyProtection="1">
      <protection locked="0"/>
    </xf>
    <xf numFmtId="0" fontId="42" fillId="18" borderId="284" xfId="0" applyFont="1" applyFill="1" applyBorder="1" applyAlignment="1" applyProtection="1">
      <alignment vertical="center"/>
      <protection locked="0"/>
    </xf>
    <xf numFmtId="0" fontId="43" fillId="0" borderId="178" xfId="0" applyFont="1" applyFill="1" applyBorder="1" applyAlignment="1" applyProtection="1">
      <alignment horizontal="left"/>
      <protection locked="0"/>
    </xf>
    <xf numFmtId="0" fontId="44" fillId="0" borderId="131" xfId="0" applyFont="1" applyBorder="1" applyAlignment="1" applyProtection="1">
      <protection locked="0"/>
    </xf>
    <xf numFmtId="0" fontId="18" fillId="0" borderId="178" xfId="0" applyFont="1" applyFill="1" applyBorder="1" applyAlignment="1" applyProtection="1">
      <alignment horizontal="center"/>
      <protection locked="0"/>
    </xf>
    <xf numFmtId="0" fontId="18" fillId="0" borderId="105" xfId="0" applyFont="1" applyFill="1" applyBorder="1" applyAlignment="1" applyProtection="1">
      <alignment horizontal="center"/>
      <protection locked="0"/>
    </xf>
    <xf numFmtId="0" fontId="0" fillId="0" borderId="103" xfId="0" applyFont="1" applyBorder="1" applyAlignment="1" applyProtection="1">
      <protection locked="0"/>
    </xf>
    <xf numFmtId="0" fontId="0" fillId="0" borderId="155" xfId="0" applyFont="1" applyFill="1" applyBorder="1" applyAlignment="1" applyProtection="1">
      <alignment horizontal="center"/>
      <protection locked="0"/>
    </xf>
    <xf numFmtId="0" fontId="0" fillId="0" borderId="123" xfId="0" applyFont="1" applyFill="1" applyBorder="1" applyAlignment="1" applyProtection="1">
      <alignment horizontal="center"/>
      <protection locked="0"/>
    </xf>
    <xf numFmtId="14" fontId="3" fillId="0" borderId="86" xfId="0" applyNumberFormat="1" applyFont="1" applyFill="1" applyBorder="1" applyAlignment="1" applyProtection="1">
      <alignment horizontal="center"/>
      <protection locked="0"/>
    </xf>
    <xf numFmtId="14" fontId="3" fillId="0" borderId="65" xfId="0" applyNumberFormat="1" applyFont="1" applyFill="1" applyBorder="1" applyAlignment="1" applyProtection="1">
      <alignment horizontal="center"/>
      <protection locked="0"/>
    </xf>
    <xf numFmtId="0" fontId="3" fillId="0" borderId="98" xfId="0" applyFont="1" applyFill="1" applyBorder="1" applyAlignment="1" applyProtection="1">
      <alignment horizontal="center"/>
      <protection locked="0"/>
    </xf>
    <xf numFmtId="3" fontId="3" fillId="28" borderId="563" xfId="0" applyNumberFormat="1" applyFont="1" applyFill="1" applyBorder="1" applyAlignment="1" applyProtection="1">
      <alignment vertical="center" wrapText="1"/>
    </xf>
    <xf numFmtId="3" fontId="3" fillId="28" borderId="83" xfId="0" applyNumberFormat="1" applyFont="1" applyFill="1" applyBorder="1" applyAlignment="1" applyProtection="1">
      <alignment vertical="center" wrapText="1"/>
    </xf>
    <xf numFmtId="0" fontId="2" fillId="18" borderId="84" xfId="0" applyFont="1" applyFill="1" applyBorder="1" applyAlignment="1" applyProtection="1"/>
    <xf numFmtId="0" fontId="0" fillId="0" borderId="104" xfId="0" applyFont="1" applyBorder="1" applyAlignment="1" applyProtection="1">
      <protection locked="0"/>
    </xf>
    <xf numFmtId="3" fontId="3" fillId="28" borderId="113" xfId="0" applyNumberFormat="1" applyFont="1" applyFill="1" applyBorder="1" applyAlignment="1" applyProtection="1">
      <alignment vertical="center" wrapText="1"/>
    </xf>
    <xf numFmtId="3" fontId="3" fillId="28" borderId="84" xfId="0" applyNumberFormat="1" applyFont="1" applyFill="1" applyBorder="1" applyAlignment="1" applyProtection="1">
      <alignment vertical="center" wrapText="1"/>
    </xf>
    <xf numFmtId="3" fontId="3" fillId="28" borderId="181" xfId="0" applyNumberFormat="1" applyFont="1" applyFill="1" applyBorder="1" applyAlignment="1" applyProtection="1">
      <alignment vertical="center" wrapText="1"/>
    </xf>
    <xf numFmtId="0" fontId="18" fillId="0" borderId="564" xfId="0" applyFont="1" applyFill="1" applyBorder="1" applyAlignment="1" applyProtection="1">
      <protection locked="0"/>
    </xf>
    <xf numFmtId="9" fontId="18" fillId="0" borderId="565" xfId="0" applyNumberFormat="1" applyFont="1" applyFill="1" applyBorder="1" applyAlignment="1" applyProtection="1">
      <protection locked="0"/>
    </xf>
    <xf numFmtId="0" fontId="18" fillId="0" borderId="566" xfId="0" applyFont="1" applyFill="1" applyBorder="1" applyAlignment="1" applyProtection="1">
      <protection locked="0"/>
    </xf>
    <xf numFmtId="9" fontId="18" fillId="0" borderId="567" xfId="0" applyNumberFormat="1" applyFont="1" applyFill="1" applyBorder="1" applyAlignment="1" applyProtection="1">
      <protection locked="0"/>
    </xf>
    <xf numFmtId="0" fontId="18" fillId="0" borderId="568" xfId="0" applyFont="1" applyFill="1" applyBorder="1" applyAlignment="1" applyProtection="1">
      <protection locked="0"/>
    </xf>
    <xf numFmtId="9" fontId="18" fillId="0" borderId="569" xfId="0" applyNumberFormat="1" applyFont="1" applyFill="1" applyBorder="1" applyAlignment="1" applyProtection="1">
      <protection locked="0"/>
    </xf>
    <xf numFmtId="0" fontId="18" fillId="0" borderId="570" xfId="0" applyFont="1" applyFill="1" applyBorder="1" applyAlignment="1" applyProtection="1">
      <protection locked="0"/>
    </xf>
    <xf numFmtId="0" fontId="18" fillId="0" borderId="571" xfId="0" applyFont="1" applyFill="1" applyBorder="1" applyAlignment="1" applyProtection="1">
      <protection locked="0"/>
    </xf>
    <xf numFmtId="0" fontId="3" fillId="27" borderId="165" xfId="0" applyFont="1" applyFill="1" applyBorder="1" applyProtection="1"/>
    <xf numFmtId="0" fontId="18" fillId="27" borderId="166" xfId="0" applyFont="1" applyFill="1" applyBorder="1" applyProtection="1"/>
    <xf numFmtId="0" fontId="3" fillId="27" borderId="167" xfId="0" applyFont="1" applyFill="1" applyBorder="1" applyProtection="1"/>
    <xf numFmtId="0" fontId="3" fillId="27" borderId="168" xfId="0" applyFont="1" applyFill="1" applyBorder="1" applyProtection="1"/>
    <xf numFmtId="0" fontId="3" fillId="27" borderId="169" xfId="0" applyFont="1" applyFill="1" applyBorder="1" applyProtection="1"/>
    <xf numFmtId="0" fontId="18" fillId="27" borderId="0" xfId="0" applyFont="1" applyFill="1" applyBorder="1" applyProtection="1"/>
    <xf numFmtId="0" fontId="0" fillId="27" borderId="0" xfId="0" applyFont="1" applyFill="1" applyProtection="1"/>
    <xf numFmtId="0" fontId="19" fillId="27" borderId="0" xfId="0" applyFont="1" applyFill="1" applyBorder="1" applyProtection="1"/>
    <xf numFmtId="0" fontId="17" fillId="27" borderId="5" xfId="0" applyFont="1" applyFill="1" applyBorder="1" applyAlignment="1" applyProtection="1"/>
    <xf numFmtId="0" fontId="18" fillId="27" borderId="5" xfId="0" applyFont="1" applyFill="1" applyBorder="1" applyAlignment="1" applyProtection="1"/>
    <xf numFmtId="0" fontId="30" fillId="27" borderId="0" xfId="0" applyFont="1" applyFill="1" applyBorder="1" applyProtection="1"/>
    <xf numFmtId="0" fontId="25" fillId="27" borderId="0" xfId="0" applyFont="1" applyFill="1" applyBorder="1" applyProtection="1"/>
    <xf numFmtId="0" fontId="17" fillId="27" borderId="281" xfId="0" applyFont="1" applyFill="1" applyBorder="1" applyAlignment="1" applyProtection="1">
      <alignment horizontal="center"/>
    </xf>
    <xf numFmtId="0" fontId="17" fillId="27" borderId="250" xfId="0" applyFont="1" applyFill="1" applyBorder="1" applyAlignment="1" applyProtection="1">
      <alignment horizontal="center"/>
    </xf>
    <xf numFmtId="0" fontId="17" fillId="27" borderId="249" xfId="0" applyFont="1" applyFill="1" applyBorder="1" applyProtection="1"/>
    <xf numFmtId="0" fontId="18" fillId="27" borderId="169" xfId="0" applyFont="1" applyFill="1" applyBorder="1" applyProtection="1"/>
    <xf numFmtId="0" fontId="32" fillId="27" borderId="126" xfId="0" applyFont="1" applyFill="1" applyBorder="1" applyProtection="1"/>
    <xf numFmtId="0" fontId="3" fillId="27" borderId="0" xfId="0" applyFont="1" applyFill="1" applyBorder="1" applyProtection="1"/>
    <xf numFmtId="0" fontId="27" fillId="27" borderId="0" xfId="0" applyFont="1" applyFill="1" applyBorder="1" applyProtection="1"/>
    <xf numFmtId="0" fontId="18" fillId="27" borderId="286" xfId="0" applyFont="1" applyFill="1" applyBorder="1" applyProtection="1">
      <protection locked="0"/>
    </xf>
    <xf numFmtId="0" fontId="18" fillId="27" borderId="282" xfId="0" applyFont="1" applyFill="1" applyBorder="1" applyProtection="1">
      <protection locked="0"/>
    </xf>
    <xf numFmtId="44" fontId="18" fillId="27" borderId="284" xfId="0" applyNumberFormat="1" applyFont="1" applyFill="1" applyBorder="1" applyProtection="1"/>
    <xf numFmtId="0" fontId="18" fillId="27" borderId="285" xfId="0" applyFont="1" applyFill="1" applyBorder="1" applyProtection="1">
      <protection locked="0"/>
    </xf>
    <xf numFmtId="0" fontId="3" fillId="27" borderId="259" xfId="0" applyFont="1" applyFill="1" applyBorder="1" applyProtection="1"/>
    <xf numFmtId="0" fontId="3" fillId="27" borderId="260" xfId="0" applyFont="1" applyFill="1" applyBorder="1" applyProtection="1"/>
    <xf numFmtId="44" fontId="18" fillId="27" borderId="205" xfId="0" applyNumberFormat="1" applyFont="1" applyFill="1" applyBorder="1" applyProtection="1"/>
    <xf numFmtId="0" fontId="18" fillId="27" borderId="202" xfId="0" applyFont="1" applyFill="1" applyBorder="1" applyProtection="1">
      <protection locked="0"/>
    </xf>
    <xf numFmtId="0" fontId="18" fillId="27" borderId="267" xfId="0" applyFont="1" applyFill="1" applyBorder="1" applyProtection="1">
      <protection locked="0"/>
    </xf>
    <xf numFmtId="0" fontId="18" fillId="27" borderId="268" xfId="0" applyFont="1" applyFill="1" applyBorder="1" applyProtection="1">
      <protection locked="0"/>
    </xf>
    <xf numFmtId="44" fontId="18" fillId="27" borderId="270" xfId="0" applyNumberFormat="1" applyFont="1" applyFill="1" applyBorder="1" applyProtection="1"/>
    <xf numFmtId="0" fontId="18" fillId="27" borderId="273" xfId="0" applyFont="1" applyFill="1" applyBorder="1" applyProtection="1">
      <protection locked="0"/>
    </xf>
    <xf numFmtId="0" fontId="18" fillId="27" borderId="64" xfId="0" applyFont="1" applyFill="1" applyBorder="1" applyProtection="1">
      <protection locked="0"/>
    </xf>
    <xf numFmtId="0" fontId="18" fillId="27" borderId="65" xfId="0" applyFont="1" applyFill="1" applyBorder="1" applyProtection="1">
      <protection locked="0"/>
    </xf>
    <xf numFmtId="44" fontId="18" fillId="27" borderId="105" xfId="0" applyNumberFormat="1" applyFont="1" applyFill="1" applyBorder="1" applyProtection="1"/>
    <xf numFmtId="0" fontId="18" fillId="27" borderId="119" xfId="0" applyFont="1" applyFill="1" applyBorder="1" applyProtection="1">
      <protection locked="0"/>
    </xf>
    <xf numFmtId="0" fontId="18" fillId="27" borderId="156" xfId="0" applyFont="1" applyFill="1" applyBorder="1" applyProtection="1">
      <protection locked="0"/>
    </xf>
    <xf numFmtId="0" fontId="18" fillId="27" borderId="155" xfId="0" applyFont="1" applyFill="1" applyBorder="1" applyProtection="1">
      <protection locked="0"/>
    </xf>
    <xf numFmtId="44" fontId="18" fillId="27" borderId="123" xfId="0" applyNumberFormat="1" applyFont="1" applyFill="1" applyBorder="1" applyProtection="1"/>
    <xf numFmtId="0" fontId="18" fillId="27" borderId="148" xfId="0" applyFont="1" applyFill="1" applyBorder="1" applyProtection="1">
      <protection locked="0"/>
    </xf>
    <xf numFmtId="0" fontId="29" fillId="27" borderId="260" xfId="0" applyFont="1" applyFill="1" applyBorder="1" applyAlignment="1" applyProtection="1">
      <alignment horizontal="right"/>
    </xf>
    <xf numFmtId="44" fontId="18" fillId="27" borderId="113" xfId="0" applyNumberFormat="1" applyFont="1" applyFill="1" applyBorder="1" applyProtection="1"/>
    <xf numFmtId="0" fontId="18" fillId="27" borderId="21" xfId="0" applyFont="1" applyFill="1" applyBorder="1" applyProtection="1">
      <protection locked="0"/>
    </xf>
    <xf numFmtId="0" fontId="18" fillId="27" borderId="174" xfId="0" applyFont="1" applyFill="1" applyBorder="1" applyProtection="1">
      <protection locked="0"/>
    </xf>
    <xf numFmtId="0" fontId="18" fillId="27" borderId="178" xfId="0" applyFont="1" applyFill="1" applyBorder="1" applyProtection="1">
      <protection locked="0"/>
    </xf>
    <xf numFmtId="0" fontId="18" fillId="27" borderId="215" xfId="0" applyFont="1" applyFill="1" applyBorder="1" applyProtection="1">
      <protection locked="0"/>
    </xf>
    <xf numFmtId="0" fontId="18" fillId="27" borderId="107" xfId="0" applyFont="1" applyFill="1" applyBorder="1" applyProtection="1">
      <protection locked="0"/>
    </xf>
    <xf numFmtId="0" fontId="18" fillId="27" borderId="74" xfId="0" applyFont="1" applyFill="1" applyBorder="1" applyProtection="1">
      <protection locked="0"/>
    </xf>
    <xf numFmtId="42" fontId="18" fillId="31" borderId="216" xfId="0" applyNumberFormat="1" applyFont="1" applyFill="1" applyBorder="1" applyAlignment="1" applyProtection="1">
      <alignment vertical="center"/>
    </xf>
    <xf numFmtId="42" fontId="18" fillId="31" borderId="120" xfId="0" applyNumberFormat="1" applyFont="1" applyFill="1" applyBorder="1" applyAlignment="1" applyProtection="1">
      <alignment vertical="center"/>
    </xf>
    <xf numFmtId="42" fontId="18" fillId="27" borderId="119" xfId="0" applyNumberFormat="1" applyFont="1" applyFill="1" applyBorder="1" applyAlignment="1" applyProtection="1">
      <alignment vertical="center"/>
      <protection locked="0"/>
    </xf>
    <xf numFmtId="0" fontId="3" fillId="27" borderId="126" xfId="0" applyFont="1" applyFill="1" applyBorder="1" applyProtection="1"/>
    <xf numFmtId="44" fontId="18" fillId="27" borderId="126" xfId="0" applyNumberFormat="1" applyFont="1" applyFill="1" applyBorder="1" applyProtection="1"/>
    <xf numFmtId="0" fontId="18" fillId="27" borderId="126" xfId="0" applyFont="1" applyFill="1" applyBorder="1" applyProtection="1"/>
    <xf numFmtId="0" fontId="3" fillId="27" borderId="214" xfId="0" applyFont="1" applyFill="1" applyBorder="1" applyProtection="1">
      <protection locked="0"/>
    </xf>
    <xf numFmtId="0" fontId="3" fillId="27" borderId="177" xfId="0" applyFont="1" applyFill="1" applyBorder="1" applyProtection="1">
      <protection locked="0"/>
    </xf>
    <xf numFmtId="44" fontId="18" fillId="27" borderId="91" xfId="0" applyNumberFormat="1" applyFont="1" applyFill="1" applyBorder="1" applyProtection="1"/>
    <xf numFmtId="42" fontId="22" fillId="27" borderId="281" xfId="0" applyNumberFormat="1" applyFont="1" applyFill="1" applyBorder="1" applyAlignment="1" applyProtection="1">
      <alignment vertical="center"/>
    </xf>
    <xf numFmtId="0" fontId="34" fillId="27" borderId="245" xfId="0" applyFont="1" applyFill="1" applyBorder="1" applyProtection="1"/>
    <xf numFmtId="0" fontId="27" fillId="27" borderId="245" xfId="0" applyFont="1" applyFill="1" applyBorder="1" applyProtection="1"/>
    <xf numFmtId="0" fontId="3" fillId="27" borderId="245" xfId="0" applyFont="1" applyFill="1" applyBorder="1" applyProtection="1"/>
    <xf numFmtId="0" fontId="3" fillId="27" borderId="246" xfId="0" applyFont="1" applyFill="1" applyBorder="1" applyProtection="1"/>
    <xf numFmtId="44" fontId="3" fillId="27" borderId="251" xfId="0" applyNumberFormat="1" applyFont="1" applyFill="1" applyBorder="1" applyProtection="1"/>
    <xf numFmtId="0" fontId="24" fillId="27" borderId="0" xfId="0" applyFont="1" applyFill="1" applyBorder="1" applyProtection="1"/>
    <xf numFmtId="0" fontId="3" fillId="27" borderId="162" xfId="0" applyFont="1" applyFill="1" applyBorder="1" applyProtection="1"/>
    <xf numFmtId="0" fontId="3" fillId="27" borderId="163" xfId="0" applyFont="1" applyFill="1" applyBorder="1" applyProtection="1"/>
    <xf numFmtId="0" fontId="24" fillId="27" borderId="163" xfId="0" applyFont="1" applyFill="1" applyBorder="1" applyProtection="1"/>
    <xf numFmtId="0" fontId="3" fillId="27" borderId="164" xfId="0" applyFont="1" applyFill="1" applyBorder="1" applyProtection="1"/>
    <xf numFmtId="0" fontId="3" fillId="5" borderId="169" xfId="0" applyFont="1" applyFill="1" applyBorder="1" applyProtection="1"/>
    <xf numFmtId="0" fontId="0" fillId="5" borderId="0" xfId="0" applyFill="1" applyProtection="1">
      <protection locked="0"/>
    </xf>
    <xf numFmtId="0" fontId="18" fillId="0" borderId="0" xfId="0" applyFont="1" applyFill="1" applyBorder="1" applyAlignment="1" applyProtection="1"/>
    <xf numFmtId="0" fontId="17" fillId="6" borderId="5" xfId="0" applyFont="1" applyFill="1" applyBorder="1" applyAlignment="1" applyProtection="1"/>
    <xf numFmtId="0" fontId="46" fillId="0" borderId="0" xfId="0" applyFont="1" applyFill="1" applyBorder="1" applyAlignment="1" applyProtection="1"/>
    <xf numFmtId="42" fontId="18" fillId="20" borderId="433" xfId="0" applyNumberFormat="1" applyFont="1" applyFill="1" applyBorder="1" applyAlignment="1" applyProtection="1">
      <alignment vertical="center"/>
    </xf>
    <xf numFmtId="6" fontId="59" fillId="18" borderId="251" xfId="0" applyNumberFormat="1" applyFont="1" applyFill="1" applyBorder="1" applyAlignment="1" applyProtection="1">
      <alignment horizontal="center" wrapText="1"/>
    </xf>
    <xf numFmtId="0" fontId="2" fillId="18" borderId="281" xfId="0" applyFont="1" applyFill="1" applyBorder="1" applyAlignment="1" applyProtection="1">
      <alignment horizontal="center" wrapText="1"/>
    </xf>
    <xf numFmtId="0" fontId="17" fillId="18" borderId="278" xfId="0" applyFont="1" applyFill="1" applyBorder="1" applyProtection="1"/>
    <xf numFmtId="0" fontId="0" fillId="18" borderId="278" xfId="0" applyFont="1" applyFill="1" applyBorder="1" applyProtection="1"/>
    <xf numFmtId="9" fontId="42" fillId="18" borderId="281" xfId="0" applyNumberFormat="1" applyFont="1" applyFill="1" applyBorder="1" applyAlignment="1" applyProtection="1">
      <alignment horizontal="center" vertical="center" wrapText="1"/>
    </xf>
    <xf numFmtId="0" fontId="18" fillId="6" borderId="192" xfId="0" applyFont="1" applyFill="1" applyBorder="1" applyAlignment="1" applyProtection="1">
      <alignment horizontal="center"/>
    </xf>
    <xf numFmtId="0" fontId="18" fillId="6" borderId="278" xfId="0" applyFont="1" applyFill="1" applyBorder="1" applyAlignment="1" applyProtection="1">
      <alignment horizontal="center"/>
    </xf>
    <xf numFmtId="0" fontId="0" fillId="6" borderId="278" xfId="0" applyFont="1" applyFill="1" applyBorder="1" applyAlignment="1" applyProtection="1">
      <alignment horizontal="center"/>
    </xf>
    <xf numFmtId="0" fontId="22" fillId="6" borderId="572" xfId="0" applyFont="1" applyFill="1" applyBorder="1" applyAlignment="1" applyProtection="1">
      <alignment horizontal="center"/>
    </xf>
    <xf numFmtId="42" fontId="0" fillId="0" borderId="0" xfId="0" applyNumberFormat="1" applyProtection="1">
      <protection locked="0"/>
    </xf>
    <xf numFmtId="169" fontId="25" fillId="6" borderId="447" xfId="0" applyNumberFormat="1" applyFont="1" applyFill="1" applyBorder="1" applyAlignment="1" applyProtection="1">
      <alignment vertical="center"/>
    </xf>
    <xf numFmtId="169" fontId="25" fillId="6" borderId="80" xfId="0" applyNumberFormat="1" applyFont="1" applyFill="1" applyBorder="1" applyAlignment="1" applyProtection="1">
      <alignment vertical="center"/>
    </xf>
    <xf numFmtId="169" fontId="25" fillId="6" borderId="87" xfId="0" applyNumberFormat="1" applyFont="1" applyFill="1" applyBorder="1" applyAlignment="1" applyProtection="1">
      <alignment vertical="center"/>
    </xf>
    <xf numFmtId="169" fontId="25" fillId="0" borderId="0" xfId="0" applyNumberFormat="1" applyFont="1" applyFill="1" applyBorder="1" applyAlignment="1" applyProtection="1">
      <alignment vertical="center"/>
    </xf>
    <xf numFmtId="169" fontId="36" fillId="0" borderId="0" xfId="0" applyNumberFormat="1" applyFont="1" applyFill="1" applyBorder="1" applyAlignment="1" applyProtection="1">
      <alignment vertical="center"/>
    </xf>
    <xf numFmtId="169" fontId="25" fillId="0" borderId="34" xfId="0" applyNumberFormat="1" applyFont="1" applyFill="1" applyBorder="1" applyAlignment="1" applyProtection="1">
      <alignment vertical="center"/>
    </xf>
    <xf numFmtId="169" fontId="18" fillId="0" borderId="0" xfId="0" applyNumberFormat="1" applyFont="1" applyBorder="1" applyProtection="1"/>
    <xf numFmtId="42" fontId="18" fillId="33" borderId="444" xfId="0" applyNumberFormat="1" applyFont="1" applyFill="1" applyBorder="1" applyAlignment="1" applyProtection="1">
      <alignment vertical="center"/>
    </xf>
    <xf numFmtId="42" fontId="18" fillId="0" borderId="134" xfId="0" applyNumberFormat="1" applyFont="1" applyFill="1" applyBorder="1" applyAlignment="1" applyProtection="1">
      <alignment vertical="center" wrapText="1"/>
      <protection locked="0"/>
    </xf>
    <xf numFmtId="0" fontId="18" fillId="0" borderId="0" xfId="0" applyFont="1" applyFill="1" applyBorder="1" applyAlignment="1" applyProtection="1"/>
    <xf numFmtId="0" fontId="17" fillId="6" borderId="5" xfId="0" applyFont="1" applyFill="1" applyBorder="1" applyAlignment="1" applyProtection="1"/>
    <xf numFmtId="0" fontId="18" fillId="0" borderId="27" xfId="0" applyFont="1" applyFill="1" applyBorder="1" applyProtection="1">
      <protection locked="0"/>
    </xf>
    <xf numFmtId="5" fontId="29" fillId="18" borderId="78" xfId="0" applyNumberFormat="1" applyFont="1" applyFill="1" applyBorder="1" applyAlignment="1" applyProtection="1">
      <alignment vertical="center"/>
    </xf>
    <xf numFmtId="5" fontId="29" fillId="0" borderId="0" xfId="0" applyNumberFormat="1" applyFont="1" applyFill="1" applyBorder="1" applyAlignment="1" applyProtection="1">
      <alignment horizontal="center" vertical="center"/>
    </xf>
    <xf numFmtId="5" fontId="0" fillId="0" borderId="0" xfId="0" applyNumberFormat="1" applyProtection="1">
      <protection locked="0"/>
    </xf>
    <xf numFmtId="5" fontId="3" fillId="0" borderId="166" xfId="0" applyNumberFormat="1" applyFont="1" applyBorder="1" applyProtection="1"/>
    <xf numFmtId="5" fontId="3" fillId="0" borderId="0" xfId="0" applyNumberFormat="1" applyFont="1" applyBorder="1" applyProtection="1"/>
    <xf numFmtId="5" fontId="27" fillId="6" borderId="5" xfId="0" applyNumberFormat="1" applyFont="1" applyFill="1" applyBorder="1" applyAlignment="1" applyProtection="1"/>
    <xf numFmtId="5" fontId="27" fillId="0" borderId="0" xfId="0" applyNumberFormat="1" applyFont="1" applyBorder="1" applyProtection="1"/>
    <xf numFmtId="5" fontId="25" fillId="6" borderId="217" xfId="0" applyNumberFormat="1" applyFont="1" applyFill="1" applyBorder="1" applyAlignment="1" applyProtection="1">
      <alignment vertical="center"/>
    </xf>
    <xf numFmtId="5" fontId="25" fillId="6" borderId="53" xfId="0" applyNumberFormat="1" applyFont="1" applyFill="1" applyBorder="1" applyAlignment="1" applyProtection="1">
      <alignment vertical="center"/>
    </xf>
    <xf numFmtId="5" fontId="25" fillId="6" borderId="108" xfId="0" applyNumberFormat="1" applyFont="1" applyFill="1" applyBorder="1" applyAlignment="1" applyProtection="1">
      <alignment vertical="center"/>
    </xf>
    <xf numFmtId="5" fontId="25" fillId="6" borderId="111" xfId="0" applyNumberFormat="1" applyFont="1" applyFill="1" applyBorder="1" applyAlignment="1" applyProtection="1">
      <alignment vertical="center"/>
    </xf>
    <xf numFmtId="5" fontId="25" fillId="12" borderId="233" xfId="0" applyNumberFormat="1" applyFont="1" applyFill="1" applyBorder="1" applyAlignment="1" applyProtection="1">
      <alignment vertical="center"/>
    </xf>
    <xf numFmtId="5" fontId="25" fillId="6" borderId="109" xfId="0" applyNumberFormat="1" applyFont="1" applyFill="1" applyBorder="1" applyAlignment="1" applyProtection="1">
      <alignment vertical="center"/>
    </xf>
    <xf numFmtId="5" fontId="25" fillId="6" borderId="110" xfId="0" applyNumberFormat="1" applyFont="1" applyFill="1" applyBorder="1" applyAlignment="1" applyProtection="1">
      <alignment vertical="center"/>
    </xf>
    <xf numFmtId="5" fontId="27" fillId="0" borderId="239" xfId="0" applyNumberFormat="1" applyFont="1" applyBorder="1" applyProtection="1"/>
    <xf numFmtId="5" fontId="27" fillId="0" borderId="332" xfId="0" applyNumberFormat="1" applyFont="1" applyBorder="1" applyProtection="1"/>
    <xf numFmtId="5" fontId="27" fillId="0" borderId="163" xfId="0" applyNumberFormat="1" applyFont="1" applyBorder="1" applyProtection="1"/>
    <xf numFmtId="5" fontId="25" fillId="12" borderId="109" xfId="0" applyNumberFormat="1" applyFont="1" applyFill="1" applyBorder="1" applyAlignment="1" applyProtection="1">
      <alignment vertical="center"/>
    </xf>
    <xf numFmtId="5" fontId="55" fillId="0" borderId="0" xfId="0" applyNumberFormat="1" applyFont="1" applyFill="1" applyBorder="1" applyAlignment="1" applyProtection="1">
      <alignment vertical="center"/>
    </xf>
    <xf numFmtId="5" fontId="27" fillId="0" borderId="163" xfId="0" applyNumberFormat="1" applyFont="1" applyFill="1" applyBorder="1" applyProtection="1"/>
    <xf numFmtId="166" fontId="18" fillId="0" borderId="96" xfId="0" applyNumberFormat="1" applyFont="1" applyFill="1" applyBorder="1" applyAlignment="1" applyProtection="1">
      <protection locked="0"/>
    </xf>
    <xf numFmtId="166" fontId="18" fillId="0" borderId="574" xfId="0" applyNumberFormat="1" applyFont="1" applyFill="1" applyBorder="1" applyAlignment="1" applyProtection="1">
      <protection locked="0"/>
    </xf>
    <xf numFmtId="0" fontId="18" fillId="0" borderId="575" xfId="0" applyFont="1" applyFill="1" applyBorder="1" applyAlignment="1" applyProtection="1">
      <protection locked="0"/>
    </xf>
    <xf numFmtId="0" fontId="18" fillId="0" borderId="576" xfId="0" applyFont="1" applyFill="1" applyBorder="1" applyAlignment="1" applyProtection="1">
      <protection locked="0"/>
    </xf>
    <xf numFmtId="9" fontId="18" fillId="0" borderId="577" xfId="0" applyNumberFormat="1" applyFont="1" applyFill="1" applyBorder="1" applyAlignment="1" applyProtection="1">
      <protection locked="0"/>
    </xf>
    <xf numFmtId="0" fontId="18" fillId="0" borderId="578" xfId="0" applyFont="1" applyFill="1" applyBorder="1" applyAlignment="1" applyProtection="1">
      <protection locked="0"/>
    </xf>
    <xf numFmtId="0" fontId="18" fillId="0" borderId="80" xfId="0" applyFont="1" applyFill="1" applyBorder="1" applyAlignment="1" applyProtection="1">
      <alignment horizontal="left" vertical="top"/>
      <protection locked="0"/>
    </xf>
    <xf numFmtId="0" fontId="18" fillId="0" borderId="86" xfId="0" applyFont="1" applyFill="1" applyBorder="1" applyAlignment="1" applyProtection="1">
      <alignment horizontal="left" vertical="top"/>
      <protection locked="0"/>
    </xf>
    <xf numFmtId="0" fontId="22" fillId="0" borderId="31" xfId="0" applyFont="1" applyFill="1" applyBorder="1" applyAlignment="1" applyProtection="1"/>
    <xf numFmtId="166" fontId="22" fillId="0" borderId="96" xfId="0" applyNumberFormat="1" applyFont="1" applyFill="1" applyBorder="1" applyAlignment="1" applyProtection="1">
      <protection locked="0"/>
    </xf>
    <xf numFmtId="166" fontId="22" fillId="0" borderId="574" xfId="0" applyNumberFormat="1" applyFont="1" applyFill="1" applyBorder="1" applyAlignment="1" applyProtection="1">
      <protection locked="0"/>
    </xf>
    <xf numFmtId="0" fontId="22" fillId="0" borderId="575" xfId="0" applyFont="1" applyFill="1" applyBorder="1" applyAlignment="1" applyProtection="1">
      <protection locked="0"/>
    </xf>
    <xf numFmtId="0" fontId="22" fillId="0" borderId="576" xfId="0" applyFont="1" applyFill="1" applyBorder="1" applyAlignment="1" applyProtection="1">
      <protection locked="0"/>
    </xf>
    <xf numFmtId="9" fontId="22" fillId="0" borderId="577" xfId="0" applyNumberFormat="1" applyFont="1" applyFill="1" applyBorder="1" applyAlignment="1" applyProtection="1">
      <protection locked="0"/>
    </xf>
    <xf numFmtId="0" fontId="22" fillId="0" borderId="578" xfId="0" applyFont="1" applyFill="1" applyBorder="1" applyAlignment="1" applyProtection="1">
      <protection locked="0"/>
    </xf>
    <xf numFmtId="0" fontId="22" fillId="0" borderId="32" xfId="0" applyFont="1" applyFill="1" applyBorder="1" applyAlignment="1" applyProtection="1"/>
    <xf numFmtId="0" fontId="17" fillId="6" borderId="5" xfId="0" applyFont="1" applyFill="1" applyBorder="1" applyAlignment="1" applyProtection="1"/>
    <xf numFmtId="0" fontId="66" fillId="0" borderId="0" xfId="0" applyFont="1" applyFill="1" applyBorder="1" applyAlignment="1" applyProtection="1">
      <alignment horizontal="right" vertical="center"/>
    </xf>
    <xf numFmtId="169" fontId="18" fillId="0" borderId="80" xfId="0" applyNumberFormat="1" applyFont="1" applyFill="1" applyBorder="1" applyAlignment="1" applyProtection="1">
      <protection locked="0"/>
    </xf>
    <xf numFmtId="169" fontId="18" fillId="0" borderId="96" xfId="0" applyNumberFormat="1" applyFont="1" applyFill="1" applyBorder="1" applyAlignment="1" applyProtection="1">
      <protection locked="0"/>
    </xf>
    <xf numFmtId="169" fontId="22" fillId="0" borderId="96" xfId="0" applyNumberFormat="1" applyFont="1" applyFill="1" applyBorder="1" applyAlignment="1" applyProtection="1">
      <protection locked="0"/>
    </xf>
    <xf numFmtId="169" fontId="18" fillId="0" borderId="87" xfId="0" applyNumberFormat="1" applyFont="1" applyFill="1" applyBorder="1" applyAlignment="1" applyProtection="1">
      <protection locked="0"/>
    </xf>
    <xf numFmtId="169" fontId="18" fillId="6" borderId="281" xfId="0" applyNumberFormat="1" applyFont="1" applyFill="1" applyBorder="1" applyAlignment="1" applyProtection="1"/>
    <xf numFmtId="169" fontId="22" fillId="6" borderId="251" xfId="0" applyNumberFormat="1" applyFont="1" applyFill="1" applyBorder="1" applyAlignment="1" applyProtection="1"/>
    <xf numFmtId="169" fontId="22" fillId="32" borderId="0" xfId="0" applyNumberFormat="1" applyFont="1" applyFill="1" applyBorder="1" applyAlignment="1" applyProtection="1"/>
    <xf numFmtId="169" fontId="22" fillId="0" borderId="0" xfId="0" applyNumberFormat="1" applyFont="1" applyFill="1" applyBorder="1" applyAlignment="1" applyProtection="1">
      <alignment horizontal="left"/>
    </xf>
    <xf numFmtId="169" fontId="18" fillId="0" borderId="0" xfId="0" applyNumberFormat="1" applyFont="1" applyFill="1" applyBorder="1" applyAlignment="1" applyProtection="1">
      <alignment horizontal="left"/>
    </xf>
    <xf numFmtId="1" fontId="46" fillId="6" borderId="386" xfId="0" applyNumberFormat="1" applyFont="1" applyFill="1" applyBorder="1" applyAlignment="1" applyProtection="1">
      <alignment vertical="center"/>
    </xf>
    <xf numFmtId="1" fontId="46" fillId="6" borderId="358" xfId="0" applyNumberFormat="1" applyFont="1" applyFill="1" applyBorder="1" applyAlignment="1" applyProtection="1">
      <alignment vertical="center"/>
    </xf>
    <xf numFmtId="1" fontId="46" fillId="6" borderId="383" xfId="0" applyNumberFormat="1" applyFont="1" applyFill="1" applyBorder="1" applyAlignment="1" applyProtection="1">
      <alignment vertical="center"/>
    </xf>
    <xf numFmtId="1" fontId="43" fillId="0" borderId="0" xfId="0" applyNumberFormat="1" applyFont="1" applyFill="1" applyAlignment="1" applyProtection="1">
      <alignment vertical="center"/>
    </xf>
    <xf numFmtId="1" fontId="46" fillId="0" borderId="0" xfId="0" applyNumberFormat="1" applyFont="1" applyFill="1" applyBorder="1" applyAlignment="1" applyProtection="1">
      <alignment vertical="center"/>
    </xf>
    <xf numFmtId="1" fontId="46" fillId="6" borderId="251" xfId="0" applyNumberFormat="1" applyFont="1" applyFill="1" applyBorder="1" applyAlignment="1" applyProtection="1">
      <alignment vertical="center"/>
    </xf>
    <xf numFmtId="169" fontId="46" fillId="0" borderId="0" xfId="0" applyNumberFormat="1" applyFont="1" applyFill="1" applyBorder="1" applyAlignment="1" applyProtection="1">
      <alignment vertical="center"/>
    </xf>
    <xf numFmtId="2" fontId="43" fillId="6" borderId="395" xfId="0" applyNumberFormat="1" applyFont="1" applyFill="1" applyBorder="1" applyAlignment="1" applyProtection="1">
      <alignment horizontal="right" vertical="center"/>
    </xf>
    <xf numFmtId="2" fontId="43" fillId="6" borderId="396" xfId="0" applyNumberFormat="1" applyFont="1" applyFill="1" applyBorder="1" applyAlignment="1" applyProtection="1">
      <alignment horizontal="right" vertical="center"/>
    </xf>
    <xf numFmtId="2" fontId="43" fillId="6" borderId="397" xfId="0" applyNumberFormat="1" applyFont="1" applyFill="1" applyBorder="1" applyAlignment="1" applyProtection="1">
      <alignment horizontal="right" vertical="center"/>
    </xf>
    <xf numFmtId="166" fontId="18" fillId="0" borderId="31" xfId="0" applyNumberFormat="1" applyFont="1" applyFill="1" applyBorder="1" applyProtection="1"/>
    <xf numFmtId="6" fontId="43" fillId="0" borderId="0" xfId="0" applyNumberFormat="1" applyFont="1" applyFill="1" applyBorder="1" applyAlignment="1" applyProtection="1">
      <alignment vertical="center"/>
    </xf>
    <xf numFmtId="6" fontId="43" fillId="0" borderId="324" xfId="0" applyNumberFormat="1" applyFont="1" applyFill="1" applyBorder="1" applyAlignment="1" applyProtection="1">
      <alignment vertical="center"/>
    </xf>
    <xf numFmtId="6" fontId="43" fillId="5" borderId="374" xfId="0" applyNumberFormat="1" applyFont="1" applyFill="1" applyBorder="1" applyAlignment="1" applyProtection="1">
      <alignment vertical="center"/>
      <protection locked="0"/>
    </xf>
    <xf numFmtId="6" fontId="43" fillId="5" borderId="377" xfId="0" applyNumberFormat="1" applyFont="1" applyFill="1" applyBorder="1" applyAlignment="1" applyProtection="1">
      <alignment vertical="center"/>
      <protection locked="0"/>
    </xf>
    <xf numFmtId="2" fontId="43" fillId="6" borderId="267" xfId="0" applyNumberFormat="1" applyFont="1" applyFill="1" applyBorder="1" applyAlignment="1" applyProtection="1">
      <alignment horizontal="right" vertical="center"/>
    </xf>
    <xf numFmtId="2" fontId="43" fillId="6" borderId="268" xfId="0" applyNumberFormat="1" applyFont="1" applyFill="1" applyBorder="1" applyAlignment="1" applyProtection="1">
      <alignment horizontal="right" vertical="center"/>
    </xf>
    <xf numFmtId="2" fontId="43" fillId="6" borderId="269" xfId="0" applyNumberFormat="1" applyFont="1" applyFill="1" applyBorder="1" applyAlignment="1" applyProtection="1">
      <alignment horizontal="right" vertical="center"/>
    </xf>
    <xf numFmtId="171" fontId="19" fillId="0" borderId="29" xfId="0" applyNumberFormat="1" applyFont="1" applyFill="1" applyBorder="1" applyProtection="1"/>
    <xf numFmtId="172" fontId="19" fillId="0" borderId="29" xfId="0" applyNumberFormat="1" applyFont="1" applyFill="1" applyBorder="1" applyAlignment="1" applyProtection="1">
      <alignment horizontal="right"/>
    </xf>
    <xf numFmtId="172" fontId="18" fillId="0" borderId="0" xfId="0" applyNumberFormat="1" applyFont="1" applyFill="1" applyBorder="1" applyAlignment="1" applyProtection="1">
      <alignment horizontal="right" wrapText="1"/>
    </xf>
    <xf numFmtId="42" fontId="0" fillId="0" borderId="0" xfId="0" applyNumberFormat="1" applyFont="1" applyProtection="1">
      <protection locked="0"/>
    </xf>
    <xf numFmtId="0" fontId="17" fillId="6" borderId="5" xfId="0" applyFont="1" applyFill="1" applyBorder="1" applyAlignment="1" applyProtection="1"/>
    <xf numFmtId="0" fontId="13" fillId="0" borderId="0" xfId="4" applyFont="1"/>
    <xf numFmtId="0" fontId="13" fillId="0" borderId="0" xfId="4" applyFont="1" applyProtection="1">
      <protection locked="0"/>
    </xf>
    <xf numFmtId="0" fontId="13" fillId="0" borderId="165" xfId="4" applyFont="1" applyBorder="1"/>
    <xf numFmtId="0" fontId="13" fillId="0" borderId="166" xfId="4" applyFont="1" applyBorder="1"/>
    <xf numFmtId="0" fontId="13" fillId="0" borderId="166" xfId="4" applyFont="1" applyBorder="1" applyProtection="1">
      <protection locked="0"/>
    </xf>
    <xf numFmtId="0" fontId="13" fillId="0" borderId="167" xfId="4" applyFont="1" applyBorder="1"/>
    <xf numFmtId="0" fontId="13" fillId="0" borderId="168" xfId="4" applyFont="1" applyBorder="1"/>
    <xf numFmtId="0" fontId="17" fillId="0" borderId="0" xfId="4" applyFont="1" applyBorder="1" applyAlignment="1"/>
    <xf numFmtId="0" fontId="27" fillId="0" borderId="0" xfId="4" applyFont="1" applyBorder="1" applyProtection="1"/>
    <xf numFmtId="0" fontId="13" fillId="0" borderId="169" xfId="4" applyFont="1" applyBorder="1"/>
    <xf numFmtId="0" fontId="9" fillId="3" borderId="0" xfId="4" applyFont="1" applyFill="1" applyBorder="1" applyAlignment="1" applyProtection="1">
      <alignment horizontal="left" vertical="center"/>
    </xf>
    <xf numFmtId="0" fontId="13" fillId="0" borderId="0" xfId="4" applyFont="1" applyBorder="1" applyProtection="1"/>
    <xf numFmtId="0" fontId="3" fillId="0" borderId="0" xfId="4" applyBorder="1" applyProtection="1"/>
    <xf numFmtId="0" fontId="3" fillId="0" borderId="0" xfId="4" applyBorder="1"/>
    <xf numFmtId="0" fontId="3" fillId="0" borderId="0" xfId="4" applyBorder="1" applyProtection="1">
      <protection locked="0"/>
    </xf>
    <xf numFmtId="0" fontId="9" fillId="0" borderId="0" xfId="4" applyFont="1" applyBorder="1" applyAlignment="1" applyProtection="1">
      <protection locked="0"/>
    </xf>
    <xf numFmtId="0" fontId="13" fillId="0" borderId="168" xfId="4" applyFont="1" applyFill="1" applyBorder="1"/>
    <xf numFmtId="5" fontId="29" fillId="0" borderId="0" xfId="4" applyNumberFormat="1" applyFont="1" applyFill="1" applyBorder="1" applyProtection="1"/>
    <xf numFmtId="0" fontId="29" fillId="0" borderId="0" xfId="4" applyNumberFormat="1" applyFont="1" applyFill="1" applyBorder="1" applyProtection="1"/>
    <xf numFmtId="0" fontId="29" fillId="10" borderId="281" xfId="4" applyFont="1" applyFill="1" applyBorder="1" applyAlignment="1" applyProtection="1">
      <alignment vertical="center" wrapText="1"/>
    </xf>
    <xf numFmtId="0" fontId="10" fillId="12" borderId="585" xfId="4" applyFont="1" applyFill="1" applyBorder="1" applyAlignment="1" applyProtection="1">
      <alignment vertical="center" wrapText="1"/>
    </xf>
    <xf numFmtId="0" fontId="10" fillId="7" borderId="586" xfId="4" applyFont="1" applyFill="1" applyBorder="1" applyProtection="1">
      <protection locked="0"/>
    </xf>
    <xf numFmtId="0" fontId="10" fillId="34" borderId="587" xfId="4" applyFont="1" applyFill="1" applyBorder="1" applyProtection="1">
      <protection locked="0"/>
    </xf>
    <xf numFmtId="5" fontId="29" fillId="5" borderId="169" xfId="4" applyNumberFormat="1" applyFont="1" applyFill="1" applyBorder="1" applyAlignment="1" applyProtection="1">
      <alignment vertical="center" wrapText="1"/>
      <protection locked="0"/>
    </xf>
    <xf numFmtId="5" fontId="32" fillId="0" borderId="455" xfId="4" applyNumberFormat="1" applyFont="1" applyFill="1" applyBorder="1" applyProtection="1"/>
    <xf numFmtId="5" fontId="29" fillId="0" borderId="455" xfId="4" applyNumberFormat="1" applyFont="1" applyFill="1" applyBorder="1" applyProtection="1"/>
    <xf numFmtId="0" fontId="29" fillId="0" borderId="455" xfId="4" applyNumberFormat="1" applyFont="1" applyFill="1" applyBorder="1" applyProtection="1"/>
    <xf numFmtId="0" fontId="29" fillId="0" borderId="0" xfId="4" applyFont="1" applyFill="1" applyBorder="1" applyAlignment="1" applyProtection="1">
      <alignment horizontal="center" vertical="center" wrapText="1"/>
    </xf>
    <xf numFmtId="5" fontId="29" fillId="0" borderId="0" xfId="4" applyNumberFormat="1" applyFont="1" applyFill="1" applyBorder="1" applyAlignment="1" applyProtection="1">
      <alignment horizontal="center" vertical="center" wrapText="1"/>
      <protection locked="0"/>
    </xf>
    <xf numFmtId="5" fontId="29" fillId="0" borderId="446" xfId="4" applyNumberFormat="1" applyFont="1" applyFill="1" applyBorder="1" applyAlignment="1" applyProtection="1">
      <alignment horizontal="center" vertical="center" wrapText="1"/>
      <protection locked="0"/>
    </xf>
    <xf numFmtId="0" fontId="13" fillId="5" borderId="169" xfId="4" applyFont="1" applyFill="1" applyBorder="1"/>
    <xf numFmtId="0" fontId="13" fillId="0" borderId="0" xfId="4" applyFont="1" applyBorder="1"/>
    <xf numFmtId="0" fontId="27" fillId="0" borderId="0" xfId="4" applyFont="1" applyBorder="1" applyAlignment="1" applyProtection="1">
      <alignment horizontal="left"/>
    </xf>
    <xf numFmtId="5" fontId="27" fillId="0" borderId="0" xfId="4" applyNumberFormat="1" applyFont="1" applyFill="1" applyBorder="1" applyAlignment="1" applyProtection="1">
      <alignment vertical="center"/>
    </xf>
    <xf numFmtId="42" fontId="25" fillId="19" borderId="483" xfId="5" applyNumberFormat="1" applyFont="1" applyFill="1" applyBorder="1" applyAlignment="1" applyProtection="1">
      <alignment vertical="center"/>
    </xf>
    <xf numFmtId="42" fontId="25" fillId="6" borderId="542" xfId="5" applyNumberFormat="1" applyFont="1" applyFill="1" applyBorder="1" applyAlignment="1" applyProtection="1">
      <alignment vertical="center"/>
      <protection locked="0"/>
    </xf>
    <xf numFmtId="42" fontId="25" fillId="5" borderId="589" xfId="5" applyNumberFormat="1" applyFont="1" applyFill="1" applyBorder="1" applyAlignment="1" applyProtection="1">
      <alignment vertical="center"/>
      <protection locked="0"/>
    </xf>
    <xf numFmtId="42" fontId="25" fillId="19" borderId="59" xfId="5" applyNumberFormat="1" applyFont="1" applyFill="1" applyBorder="1" applyAlignment="1" applyProtection="1">
      <alignment vertical="center"/>
    </xf>
    <xf numFmtId="42" fontId="25" fillId="6" borderId="545" xfId="5" applyNumberFormat="1" applyFont="1" applyFill="1" applyBorder="1" applyAlignment="1" applyProtection="1">
      <alignment vertical="center"/>
      <protection locked="0"/>
    </xf>
    <xf numFmtId="5" fontId="27" fillId="0" borderId="0" xfId="4" applyNumberFormat="1" applyFont="1" applyFill="1" applyBorder="1" applyAlignment="1" applyProtection="1">
      <alignment horizontal="left" vertical="center"/>
    </xf>
    <xf numFmtId="3" fontId="27" fillId="0" borderId="0" xfId="4" applyNumberFormat="1" applyFont="1" applyFill="1" applyBorder="1" applyAlignment="1" applyProtection="1">
      <alignment vertical="center"/>
    </xf>
    <xf numFmtId="0" fontId="27" fillId="0" borderId="0" xfId="4" applyFont="1" applyFill="1" applyBorder="1" applyAlignment="1" applyProtection="1">
      <alignment horizontal="left" vertical="center"/>
    </xf>
    <xf numFmtId="0" fontId="27" fillId="0" borderId="0" xfId="4" applyFont="1" applyBorder="1" applyAlignment="1" applyProtection="1">
      <alignment horizontal="left" vertical="center"/>
    </xf>
    <xf numFmtId="3" fontId="89" fillId="0" borderId="0" xfId="4" applyNumberFormat="1" applyFont="1" applyFill="1" applyBorder="1" applyAlignment="1" applyProtection="1">
      <alignment horizontal="right" vertical="center"/>
    </xf>
    <xf numFmtId="42" fontId="25" fillId="6" borderId="591" xfId="5" applyNumberFormat="1" applyFont="1" applyFill="1" applyBorder="1" applyAlignment="1" applyProtection="1">
      <alignment vertical="center" wrapText="1"/>
      <protection locked="0"/>
    </xf>
    <xf numFmtId="42" fontId="25" fillId="5" borderId="589" xfId="5" applyNumberFormat="1" applyFont="1" applyFill="1" applyBorder="1" applyAlignment="1" applyProtection="1">
      <alignment vertical="center" wrapText="1"/>
      <protection locked="0"/>
    </xf>
    <xf numFmtId="0" fontId="27" fillId="0" borderId="0" xfId="4" applyFont="1" applyBorder="1"/>
    <xf numFmtId="5" fontId="29" fillId="0" borderId="0" xfId="4" applyNumberFormat="1" applyFont="1" applyFill="1" applyBorder="1" applyAlignment="1" applyProtection="1">
      <alignment horizontal="right" vertical="center"/>
    </xf>
    <xf numFmtId="5" fontId="29" fillId="0" borderId="0" xfId="4" applyNumberFormat="1" applyFont="1" applyFill="1" applyBorder="1" applyAlignment="1" applyProtection="1">
      <alignment horizontal="right" vertical="center"/>
    </xf>
    <xf numFmtId="42" fontId="25" fillId="19" borderId="113" xfId="5" applyNumberFormat="1" applyFont="1" applyFill="1" applyBorder="1" applyAlignment="1" applyProtection="1">
      <alignment vertical="center"/>
    </xf>
    <xf numFmtId="42" fontId="25" fillId="12" borderId="84" xfId="5" applyNumberFormat="1" applyFont="1" applyFill="1" applyBorder="1" applyAlignment="1" applyProtection="1">
      <alignment vertical="center"/>
    </xf>
    <xf numFmtId="42" fontId="25" fillId="12" borderId="82" xfId="5" applyNumberFormat="1" applyFont="1" applyFill="1" applyBorder="1" applyAlignment="1" applyProtection="1">
      <alignment vertical="center"/>
      <protection locked="0"/>
    </xf>
    <xf numFmtId="42" fontId="25" fillId="12" borderId="133" xfId="5" applyNumberFormat="1" applyFont="1" applyFill="1" applyBorder="1" applyAlignment="1" applyProtection="1">
      <alignment vertical="center"/>
      <protection locked="0"/>
    </xf>
    <xf numFmtId="42" fontId="25" fillId="15" borderId="589" xfId="5" applyNumberFormat="1" applyFont="1" applyFill="1" applyBorder="1" applyAlignment="1" applyProtection="1">
      <alignment vertical="center"/>
      <protection locked="0"/>
    </xf>
    <xf numFmtId="42" fontId="25" fillId="0" borderId="0" xfId="5" applyNumberFormat="1" applyFont="1" applyFill="1" applyBorder="1" applyAlignment="1" applyProtection="1">
      <alignment vertical="center"/>
    </xf>
    <xf numFmtId="42" fontId="25" fillId="0" borderId="0" xfId="5" applyNumberFormat="1" applyFont="1" applyFill="1" applyBorder="1" applyAlignment="1" applyProtection="1">
      <alignment vertical="center"/>
      <protection locked="0"/>
    </xf>
    <xf numFmtId="42" fontId="25" fillId="0" borderId="332" xfId="5" applyNumberFormat="1" applyFont="1" applyFill="1" applyBorder="1" applyAlignment="1" applyProtection="1">
      <alignment vertical="center"/>
      <protection locked="0"/>
    </xf>
    <xf numFmtId="5" fontId="32" fillId="0" borderId="455" xfId="4" applyNumberFormat="1" applyFont="1" applyFill="1" applyBorder="1" applyAlignment="1" applyProtection="1">
      <alignment vertical="center"/>
    </xf>
    <xf numFmtId="5" fontId="29" fillId="0" borderId="455" xfId="4" applyNumberFormat="1" applyFont="1" applyFill="1" applyBorder="1" applyAlignment="1" applyProtection="1">
      <alignment vertical="center"/>
    </xf>
    <xf numFmtId="5" fontId="27" fillId="0" borderId="455" xfId="4" applyNumberFormat="1" applyFont="1" applyFill="1" applyBorder="1" applyAlignment="1" applyProtection="1">
      <alignment vertical="center"/>
    </xf>
    <xf numFmtId="42" fontId="36" fillId="0" borderId="0" xfId="5" applyNumberFormat="1" applyFont="1" applyFill="1" applyBorder="1" applyAlignment="1" applyProtection="1">
      <alignment vertical="center"/>
    </xf>
    <xf numFmtId="42" fontId="25" fillId="0" borderId="455" xfId="5" applyNumberFormat="1" applyFont="1" applyFill="1" applyBorder="1" applyAlignment="1" applyProtection="1">
      <alignment vertical="center"/>
      <protection locked="0"/>
    </xf>
    <xf numFmtId="42" fontId="25" fillId="12" borderId="332" xfId="5" applyNumberFormat="1" applyFont="1" applyFill="1" applyBorder="1" applyAlignment="1" applyProtection="1">
      <alignment vertical="center"/>
    </xf>
    <xf numFmtId="0" fontId="27" fillId="0" borderId="0" xfId="4" applyFont="1" applyBorder="1" applyAlignment="1" applyProtection="1">
      <alignment vertical="center"/>
    </xf>
    <xf numFmtId="173" fontId="27" fillId="0" borderId="0" xfId="4" applyNumberFormat="1" applyFont="1" applyBorder="1" applyAlignment="1" applyProtection="1">
      <alignment vertical="center"/>
    </xf>
    <xf numFmtId="5" fontId="27" fillId="5" borderId="0" xfId="4" applyNumberFormat="1" applyFont="1" applyFill="1" applyBorder="1" applyAlignment="1" applyProtection="1">
      <alignment horizontal="left" vertical="center"/>
    </xf>
    <xf numFmtId="9" fontId="27" fillId="5" borderId="0" xfId="4" applyNumberFormat="1" applyFont="1" applyFill="1" applyBorder="1" applyAlignment="1" applyProtection="1">
      <alignment vertical="center"/>
    </xf>
    <xf numFmtId="0" fontId="27" fillId="0" borderId="0" xfId="4" applyFont="1" applyFill="1" applyBorder="1" applyAlignment="1" applyProtection="1">
      <alignment vertical="center"/>
    </xf>
    <xf numFmtId="0" fontId="27" fillId="0" borderId="0" xfId="4" applyNumberFormat="1" applyFont="1" applyFill="1" applyBorder="1" applyAlignment="1" applyProtection="1">
      <alignment vertical="center"/>
    </xf>
    <xf numFmtId="164" fontId="27" fillId="0" borderId="0" xfId="4" applyNumberFormat="1" applyFont="1" applyFill="1" applyBorder="1" applyAlignment="1" applyProtection="1">
      <alignment vertical="center"/>
    </xf>
    <xf numFmtId="9" fontId="27" fillId="0" borderId="0" xfId="4" applyNumberFormat="1" applyFont="1" applyFill="1" applyBorder="1" applyAlignment="1" applyProtection="1">
      <alignment vertical="center"/>
    </xf>
    <xf numFmtId="42" fontId="25" fillId="12" borderId="5" xfId="5" applyNumberFormat="1" applyFont="1" applyFill="1" applyBorder="1" applyAlignment="1" applyProtection="1">
      <alignment vertical="center"/>
    </xf>
    <xf numFmtId="42" fontId="66" fillId="0" borderId="0" xfId="5" applyNumberFormat="1" applyFont="1" applyBorder="1" applyAlignment="1" applyProtection="1">
      <alignment vertical="center"/>
      <protection locked="0"/>
    </xf>
    <xf numFmtId="42" fontId="66" fillId="0" borderId="455" xfId="5" applyNumberFormat="1" applyFont="1" applyBorder="1" applyAlignment="1" applyProtection="1">
      <alignment vertical="center"/>
      <protection locked="0"/>
    </xf>
    <xf numFmtId="165" fontId="27" fillId="0" borderId="0" xfId="4" applyNumberFormat="1" applyFont="1" applyFill="1" applyBorder="1" applyAlignment="1" applyProtection="1">
      <alignment vertical="center"/>
    </xf>
    <xf numFmtId="9" fontId="27" fillId="0" borderId="0" xfId="4" applyNumberFormat="1" applyFont="1" applyFill="1" applyBorder="1" applyAlignment="1" applyProtection="1">
      <alignment horizontal="right" vertical="center"/>
    </xf>
    <xf numFmtId="5" fontId="27" fillId="0" borderId="0" xfId="4" applyNumberFormat="1" applyFont="1" applyFill="1" applyBorder="1" applyAlignment="1" applyProtection="1">
      <alignment horizontal="center" vertical="center"/>
    </xf>
    <xf numFmtId="0" fontId="3" fillId="0" borderId="0" xfId="4"/>
    <xf numFmtId="0" fontId="13" fillId="0" borderId="162" xfId="4" applyFont="1" applyFill="1" applyBorder="1"/>
    <xf numFmtId="5" fontId="27" fillId="0" borderId="163" xfId="4" applyNumberFormat="1" applyFont="1" applyFill="1" applyBorder="1" applyAlignment="1" applyProtection="1">
      <alignment vertical="center"/>
    </xf>
    <xf numFmtId="3" fontId="27" fillId="0" borderId="163" xfId="4" applyNumberFormat="1" applyFont="1" applyFill="1" applyBorder="1" applyAlignment="1" applyProtection="1">
      <alignment vertical="center"/>
    </xf>
    <xf numFmtId="42" fontId="25" fillId="0" borderId="163" xfId="5" applyNumberFormat="1" applyFont="1" applyFill="1" applyBorder="1" applyAlignment="1" applyProtection="1">
      <alignment vertical="center"/>
    </xf>
    <xf numFmtId="42" fontId="37" fillId="0" borderId="163" xfId="5" applyNumberFormat="1" applyFont="1" applyFill="1" applyBorder="1" applyAlignment="1" applyProtection="1">
      <alignment horizontal="center" vertical="center"/>
      <protection locked="0"/>
    </xf>
    <xf numFmtId="42" fontId="25" fillId="0" borderId="163" xfId="5" applyNumberFormat="1" applyFont="1" applyFill="1" applyBorder="1" applyAlignment="1" applyProtection="1">
      <alignment vertical="center"/>
      <protection locked="0"/>
    </xf>
    <xf numFmtId="42" fontId="25" fillId="0" borderId="239" xfId="5" applyNumberFormat="1" applyFont="1" applyFill="1" applyBorder="1" applyAlignment="1" applyProtection="1">
      <alignment vertical="center"/>
      <protection locked="0"/>
    </xf>
    <xf numFmtId="42" fontId="25" fillId="0" borderId="164" xfId="5" applyNumberFormat="1" applyFont="1" applyFill="1" applyBorder="1" applyAlignment="1" applyProtection="1">
      <alignment vertical="center"/>
      <protection locked="0"/>
    </xf>
    <xf numFmtId="42" fontId="25" fillId="0" borderId="169" xfId="5" applyNumberFormat="1" applyFont="1" applyFill="1" applyBorder="1" applyAlignment="1" applyProtection="1">
      <alignment vertical="center"/>
      <protection locked="0"/>
    </xf>
    <xf numFmtId="5" fontId="29" fillId="0" borderId="0" xfId="4" applyNumberFormat="1" applyFont="1" applyFill="1" applyBorder="1" applyAlignment="1" applyProtection="1">
      <alignment vertical="center"/>
    </xf>
    <xf numFmtId="42" fontId="18" fillId="0" borderId="0" xfId="5" applyNumberFormat="1" applyFont="1" applyBorder="1" applyProtection="1"/>
    <xf numFmtId="42" fontId="18" fillId="0" borderId="0" xfId="5" applyNumberFormat="1" applyFont="1" applyBorder="1" applyProtection="1">
      <protection locked="0"/>
    </xf>
    <xf numFmtId="42" fontId="18" fillId="0" borderId="455" xfId="5" applyNumberFormat="1" applyFont="1" applyBorder="1" applyProtection="1">
      <protection locked="0"/>
    </xf>
    <xf numFmtId="42" fontId="18" fillId="0" borderId="332" xfId="5" applyNumberFormat="1" applyFont="1" applyBorder="1" applyProtection="1">
      <protection locked="0"/>
    </xf>
    <xf numFmtId="164" fontId="27" fillId="0" borderId="0" xfId="4" applyNumberFormat="1" applyFont="1" applyFill="1" applyBorder="1" applyAlignment="1" applyProtection="1">
      <alignment horizontal="center" vertical="center"/>
    </xf>
    <xf numFmtId="5" fontId="32" fillId="0" borderId="163" xfId="4" applyNumberFormat="1" applyFont="1" applyFill="1" applyBorder="1" applyAlignment="1" applyProtection="1">
      <alignment vertical="center"/>
    </xf>
    <xf numFmtId="5" fontId="29" fillId="0" borderId="163" xfId="4" applyNumberFormat="1" applyFont="1" applyFill="1" applyBorder="1" applyAlignment="1" applyProtection="1">
      <alignment vertical="center"/>
    </xf>
    <xf numFmtId="0" fontId="13" fillId="5" borderId="164" xfId="4" applyFont="1" applyFill="1" applyBorder="1"/>
    <xf numFmtId="5" fontId="32" fillId="0" borderId="0" xfId="4" applyNumberFormat="1" applyFont="1" applyFill="1" applyBorder="1" applyAlignment="1" applyProtection="1">
      <alignment vertical="center"/>
    </xf>
    <xf numFmtId="42" fontId="25" fillId="0" borderId="455" xfId="5" applyNumberFormat="1" applyFont="1" applyFill="1" applyBorder="1" applyAlignment="1" applyProtection="1">
      <alignment vertical="center"/>
    </xf>
    <xf numFmtId="0" fontId="13" fillId="0" borderId="0" xfId="4" applyFont="1" applyFill="1"/>
    <xf numFmtId="0" fontId="13" fillId="0" borderId="0" xfId="4" applyFont="1" applyFill="1" applyBorder="1"/>
    <xf numFmtId="42" fontId="25" fillId="0" borderId="0" xfId="5" applyNumberFormat="1" applyFont="1" applyBorder="1" applyAlignment="1" applyProtection="1">
      <alignment vertical="center"/>
    </xf>
    <xf numFmtId="42" fontId="25" fillId="0" borderId="0" xfId="5" applyNumberFormat="1" applyFont="1" applyBorder="1" applyAlignment="1" applyProtection="1">
      <alignment vertical="center"/>
      <protection locked="0"/>
    </xf>
    <xf numFmtId="42" fontId="25" fillId="0" borderId="446" xfId="5" applyNumberFormat="1" applyFont="1" applyBorder="1" applyAlignment="1" applyProtection="1">
      <alignment vertical="center"/>
      <protection locked="0"/>
    </xf>
    <xf numFmtId="0" fontId="32" fillId="10" borderId="281" xfId="4" applyFont="1" applyFill="1" applyBorder="1" applyProtection="1"/>
    <xf numFmtId="5" fontId="27" fillId="10" borderId="446" xfId="4" applyNumberFormat="1" applyFont="1" applyFill="1" applyBorder="1" applyProtection="1"/>
    <xf numFmtId="164" fontId="27" fillId="10" borderId="446" xfId="4" applyNumberFormat="1" applyFont="1" applyFill="1" applyBorder="1" applyProtection="1"/>
    <xf numFmtId="0" fontId="13" fillId="0" borderId="163" xfId="4" applyFont="1" applyFill="1" applyBorder="1"/>
    <xf numFmtId="0" fontId="13" fillId="0" borderId="163" xfId="4" applyFont="1" applyBorder="1"/>
    <xf numFmtId="0" fontId="13" fillId="0" borderId="163" xfId="4" applyFont="1" applyBorder="1" applyProtection="1">
      <protection locked="0"/>
    </xf>
    <xf numFmtId="0" fontId="13" fillId="0" borderId="164" xfId="4" applyFont="1" applyBorder="1"/>
    <xf numFmtId="0" fontId="13" fillId="0" borderId="0" xfId="4" applyFont="1" applyFill="1" applyBorder="1" applyAlignment="1">
      <alignment wrapText="1"/>
    </xf>
    <xf numFmtId="166" fontId="39" fillId="3" borderId="0" xfId="4" applyNumberFormat="1" applyFont="1" applyFill="1" applyBorder="1" applyAlignment="1"/>
    <xf numFmtId="0" fontId="10" fillId="0" borderId="0" xfId="4" applyFont="1" applyFill="1" applyBorder="1" applyAlignment="1">
      <alignment horizontal="center" vertical="top" wrapText="1"/>
    </xf>
    <xf numFmtId="0" fontId="13" fillId="0" borderId="0" xfId="4" applyFont="1" applyFill="1" applyBorder="1" applyProtection="1">
      <protection locked="0"/>
    </xf>
    <xf numFmtId="0" fontId="10" fillId="0" borderId="0" xfId="4" applyFont="1" applyFill="1" applyBorder="1" applyAlignment="1">
      <alignment vertical="top" wrapText="1"/>
    </xf>
    <xf numFmtId="42" fontId="13" fillId="0" borderId="0" xfId="4" applyNumberFormat="1" applyFont="1" applyFill="1" applyBorder="1" applyAlignment="1">
      <alignment wrapText="1"/>
    </xf>
    <xf numFmtId="0" fontId="10" fillId="0" borderId="0" xfId="4" applyFont="1" applyFill="1" applyBorder="1" applyAlignment="1">
      <alignment vertical="center" wrapText="1"/>
    </xf>
    <xf numFmtId="0" fontId="13" fillId="0" borderId="0" xfId="4" applyFont="1" applyFill="1" applyBorder="1" applyAlignment="1">
      <alignment vertical="center" wrapText="1"/>
    </xf>
    <xf numFmtId="0" fontId="13" fillId="0" borderId="0" xfId="4" applyFont="1" applyFill="1" applyBorder="1" applyAlignment="1">
      <alignment vertical="top" wrapText="1"/>
    </xf>
    <xf numFmtId="0" fontId="13" fillId="0" borderId="0" xfId="4" applyFont="1" applyFill="1" applyBorder="1" applyAlignment="1"/>
    <xf numFmtId="0" fontId="10" fillId="0" borderId="0" xfId="4" applyFont="1" applyFill="1" applyBorder="1" applyAlignment="1">
      <alignment wrapText="1"/>
    </xf>
    <xf numFmtId="0" fontId="10" fillId="0" borderId="0" xfId="4" applyFont="1" applyFill="1" applyBorder="1" applyAlignment="1">
      <alignment horizontal="center" wrapText="1"/>
    </xf>
    <xf numFmtId="0" fontId="90" fillId="0" borderId="0" xfId="4" applyFont="1" applyFill="1" applyBorder="1"/>
    <xf numFmtId="0" fontId="10" fillId="0" borderId="0" xfId="4" applyFont="1" applyFill="1" applyBorder="1" applyAlignment="1">
      <alignment vertical="top"/>
    </xf>
    <xf numFmtId="0" fontId="13" fillId="0" borderId="0" xfId="4" applyFont="1" applyFill="1" applyBorder="1" applyAlignment="1">
      <alignment vertical="top"/>
    </xf>
    <xf numFmtId="0" fontId="10" fillId="0" borderId="0" xfId="4" applyFont="1" applyFill="1" applyBorder="1" applyAlignment="1" applyProtection="1">
      <alignment horizontal="right" vertical="top"/>
      <protection locked="0"/>
    </xf>
    <xf numFmtId="0" fontId="13" fillId="0" borderId="0" xfId="4" applyFont="1" applyFill="1" applyBorder="1" applyAlignment="1" applyProtection="1">
      <protection locked="0"/>
    </xf>
    <xf numFmtId="0" fontId="10" fillId="0" borderId="0" xfId="4" applyFont="1" applyFill="1" applyBorder="1" applyAlignment="1" applyProtection="1">
      <alignment vertical="top"/>
      <protection locked="0"/>
    </xf>
    <xf numFmtId="0" fontId="91" fillId="0" borderId="0" xfId="4" applyFont="1" applyFill="1" applyBorder="1" applyAlignment="1">
      <alignment horizontal="left" vertical="top"/>
    </xf>
    <xf numFmtId="0" fontId="91" fillId="0" borderId="0" xfId="4" applyFont="1" applyFill="1" applyBorder="1" applyAlignment="1">
      <alignment vertical="top" wrapText="1"/>
    </xf>
    <xf numFmtId="0" fontId="13" fillId="0" borderId="0" xfId="4" applyFont="1" applyFill="1" applyBorder="1" applyAlignment="1" applyProtection="1">
      <alignment wrapText="1"/>
      <protection locked="0"/>
    </xf>
    <xf numFmtId="0" fontId="92" fillId="0" borderId="0" xfId="4" applyFont="1" applyFill="1" applyBorder="1" applyAlignment="1">
      <alignment horizontal="left"/>
    </xf>
    <xf numFmtId="0" fontId="13" fillId="0" borderId="0" xfId="4" applyNumberFormat="1" applyFont="1" applyFill="1" applyBorder="1" applyAlignment="1">
      <alignment wrapText="1"/>
    </xf>
    <xf numFmtId="0" fontId="93" fillId="0" borderId="0" xfId="4" applyFont="1" applyFill="1" applyBorder="1" applyAlignment="1"/>
    <xf numFmtId="0" fontId="94" fillId="0" borderId="0" xfId="4" applyFont="1" applyFill="1" applyBorder="1" applyAlignment="1">
      <alignment vertical="top" wrapText="1"/>
    </xf>
    <xf numFmtId="0" fontId="93" fillId="0" borderId="0" xfId="4" applyFont="1" applyFill="1" applyBorder="1" applyAlignment="1">
      <alignment horizontal="left" vertical="top" wrapText="1"/>
    </xf>
    <xf numFmtId="0" fontId="93" fillId="0" borderId="0" xfId="4" applyFont="1" applyFill="1" applyBorder="1" applyAlignment="1">
      <alignment vertical="top" wrapText="1"/>
    </xf>
    <xf numFmtId="0" fontId="95" fillId="0" borderId="0" xfId="4" applyFont="1" applyFill="1" applyBorder="1" applyAlignment="1">
      <alignment horizontal="center" vertical="top" wrapText="1"/>
    </xf>
    <xf numFmtId="0" fontId="10" fillId="0" borderId="0" xfId="4" applyFont="1" applyFill="1" applyBorder="1"/>
    <xf numFmtId="0" fontId="96" fillId="0" borderId="0" xfId="4" applyFont="1" applyFill="1" applyBorder="1" applyAlignment="1">
      <alignment horizontal="center" vertical="top" wrapText="1"/>
    </xf>
    <xf numFmtId="0" fontId="94" fillId="0" borderId="0" xfId="4" applyFont="1" applyFill="1" applyBorder="1" applyAlignment="1">
      <alignment wrapText="1"/>
    </xf>
    <xf numFmtId="42" fontId="25" fillId="5" borderId="588" xfId="5" applyNumberFormat="1" applyFont="1" applyFill="1" applyBorder="1" applyAlignment="1" applyProtection="1">
      <alignment vertical="center"/>
      <protection locked="0"/>
    </xf>
    <xf numFmtId="42" fontId="25" fillId="5" borderId="542" xfId="5" applyNumberFormat="1" applyFont="1" applyFill="1" applyBorder="1" applyAlignment="1" applyProtection="1">
      <alignment vertical="center"/>
      <protection locked="0"/>
    </xf>
    <xf numFmtId="42" fontId="25" fillId="5" borderId="590" xfId="5" applyNumberFormat="1" applyFont="1" applyFill="1" applyBorder="1" applyAlignment="1" applyProtection="1">
      <alignment vertical="center"/>
      <protection locked="0"/>
    </xf>
    <xf numFmtId="42" fontId="25" fillId="5" borderId="545" xfId="5" applyNumberFormat="1" applyFont="1" applyFill="1" applyBorder="1" applyAlignment="1" applyProtection="1">
      <alignment vertical="center"/>
      <protection locked="0"/>
    </xf>
    <xf numFmtId="42" fontId="25" fillId="5" borderId="592" xfId="5" applyNumberFormat="1" applyFont="1" applyFill="1" applyBorder="1" applyAlignment="1" applyProtection="1">
      <alignment vertical="center" wrapText="1"/>
      <protection locked="0"/>
    </xf>
    <xf numFmtId="42" fontId="25" fillId="5" borderId="591" xfId="5" applyNumberFormat="1" applyFont="1" applyFill="1" applyBorder="1" applyAlignment="1" applyProtection="1">
      <alignment vertical="center" wrapText="1"/>
      <protection locked="0"/>
    </xf>
    <xf numFmtId="42" fontId="25" fillId="5" borderId="590" xfId="5" applyNumberFormat="1" applyFont="1" applyFill="1" applyBorder="1" applyAlignment="1" applyProtection="1">
      <alignment vertical="center" wrapText="1"/>
      <protection locked="0"/>
    </xf>
    <xf numFmtId="42" fontId="25" fillId="5" borderId="545" xfId="5" applyNumberFormat="1" applyFont="1" applyFill="1" applyBorder="1" applyAlignment="1" applyProtection="1">
      <alignment vertical="center" wrapText="1"/>
      <protection locked="0"/>
    </xf>
    <xf numFmtId="42" fontId="25" fillId="5" borderId="593" xfId="5" applyNumberFormat="1" applyFont="1" applyFill="1" applyBorder="1" applyAlignment="1" applyProtection="1">
      <alignment vertical="center" wrapText="1"/>
      <protection locked="0"/>
    </xf>
    <xf numFmtId="42" fontId="25" fillId="5" borderId="594" xfId="5" applyNumberFormat="1" applyFont="1" applyFill="1" applyBorder="1" applyAlignment="1" applyProtection="1">
      <alignment vertical="center" wrapText="1"/>
      <protection locked="0"/>
    </xf>
    <xf numFmtId="42" fontId="25" fillId="5" borderId="592" xfId="5" applyNumberFormat="1" applyFont="1" applyFill="1" applyBorder="1" applyAlignment="1" applyProtection="1">
      <alignment vertical="center"/>
      <protection locked="0"/>
    </xf>
    <xf numFmtId="42" fontId="25" fillId="5" borderId="591" xfId="5" applyNumberFormat="1" applyFont="1" applyFill="1" applyBorder="1" applyAlignment="1" applyProtection="1">
      <alignment vertical="center"/>
      <protection locked="0"/>
    </xf>
    <xf numFmtId="168" fontId="0" fillId="0" borderId="0" xfId="0" applyNumberFormat="1" applyFill="1" applyProtection="1">
      <protection locked="0"/>
    </xf>
    <xf numFmtId="174" fontId="0" fillId="0" borderId="0" xfId="0" applyNumberFormat="1" applyFill="1" applyProtection="1">
      <protection locked="0"/>
    </xf>
    <xf numFmtId="175" fontId="0" fillId="0" borderId="0" xfId="0" applyNumberFormat="1" applyFill="1" applyProtection="1">
      <protection locked="0"/>
    </xf>
    <xf numFmtId="176" fontId="0" fillId="0" borderId="0" xfId="0" applyNumberFormat="1" applyFont="1" applyProtection="1">
      <protection locked="0"/>
    </xf>
    <xf numFmtId="169" fontId="18" fillId="0" borderId="100" xfId="0" applyNumberFormat="1" applyFont="1" applyFill="1" applyBorder="1" applyAlignment="1" applyProtection="1">
      <protection locked="0"/>
    </xf>
    <xf numFmtId="169" fontId="18" fillId="0" borderId="574" xfId="0" applyNumberFormat="1" applyFont="1" applyFill="1" applyBorder="1" applyAlignment="1" applyProtection="1">
      <protection locked="0"/>
    </xf>
    <xf numFmtId="169" fontId="22" fillId="0" borderId="574" xfId="0" applyNumberFormat="1" applyFont="1" applyFill="1" applyBorder="1" applyAlignment="1" applyProtection="1">
      <protection locked="0"/>
    </xf>
    <xf numFmtId="169" fontId="18" fillId="0" borderId="115" xfId="0" applyNumberFormat="1" applyFont="1" applyFill="1" applyBorder="1" applyAlignment="1" applyProtection="1">
      <protection locked="0"/>
    </xf>
    <xf numFmtId="169" fontId="18" fillId="6" borderId="274" xfId="0" applyNumberFormat="1" applyFont="1" applyFill="1" applyBorder="1" applyAlignment="1" applyProtection="1"/>
    <xf numFmtId="5" fontId="43" fillId="0" borderId="107" xfId="0" applyNumberFormat="1" applyFont="1" applyFill="1" applyBorder="1" applyProtection="1">
      <protection locked="0"/>
    </xf>
    <xf numFmtId="5" fontId="43" fillId="0" borderId="74" xfId="0" applyNumberFormat="1" applyFont="1" applyFill="1" applyBorder="1" applyProtection="1">
      <protection locked="0"/>
    </xf>
    <xf numFmtId="5" fontId="43" fillId="0" borderId="158" xfId="0" applyNumberFormat="1" applyFont="1" applyFill="1" applyBorder="1" applyProtection="1">
      <protection locked="0"/>
    </xf>
    <xf numFmtId="42" fontId="10" fillId="0" borderId="0" xfId="4" applyNumberFormat="1" applyFont="1" applyFill="1" applyBorder="1" applyAlignment="1" applyProtection="1">
      <alignment vertical="top" wrapText="1"/>
      <protection locked="0"/>
    </xf>
    <xf numFmtId="8" fontId="0" fillId="0" borderId="0" xfId="0" applyNumberFormat="1" applyFont="1" applyProtection="1">
      <protection locked="0"/>
    </xf>
    <xf numFmtId="6" fontId="0" fillId="0" borderId="0" xfId="0" applyNumberFormat="1" applyFont="1" applyProtection="1">
      <protection locked="0"/>
    </xf>
    <xf numFmtId="6" fontId="57" fillId="0" borderId="39" xfId="0" applyNumberFormat="1" applyFont="1" applyFill="1" applyBorder="1" applyAlignment="1" applyProtection="1">
      <alignment wrapText="1"/>
    </xf>
    <xf numFmtId="6" fontId="57" fillId="0" borderId="0" xfId="0" applyNumberFormat="1" applyFont="1" applyFill="1" applyBorder="1" applyAlignment="1" applyProtection="1">
      <alignment wrapText="1"/>
    </xf>
    <xf numFmtId="6" fontId="17" fillId="6" borderId="5" xfId="0" applyNumberFormat="1" applyFont="1" applyFill="1" applyBorder="1" applyAlignment="1" applyProtection="1"/>
    <xf numFmtId="6" fontId="17" fillId="0" borderId="0" xfId="0" applyNumberFormat="1" applyFont="1" applyBorder="1" applyAlignment="1" applyProtection="1"/>
    <xf numFmtId="6" fontId="59" fillId="18" borderId="246" xfId="0" applyNumberFormat="1" applyFont="1" applyFill="1" applyBorder="1" applyAlignment="1" applyProtection="1">
      <alignment horizontal="center" vertical="center" wrapText="1"/>
    </xf>
    <xf numFmtId="6" fontId="57" fillId="0" borderId="11" xfId="0" applyNumberFormat="1" applyFont="1" applyBorder="1" applyProtection="1"/>
    <xf numFmtId="6" fontId="58" fillId="6" borderId="174" xfId="0" applyNumberFormat="1" applyFont="1" applyFill="1" applyBorder="1" applyProtection="1"/>
    <xf numFmtId="6" fontId="58" fillId="6" borderId="175" xfId="0" applyNumberFormat="1" applyFont="1" applyFill="1" applyBorder="1" applyProtection="1"/>
    <xf numFmtId="6" fontId="58" fillId="20" borderId="573" xfId="0" applyNumberFormat="1" applyFont="1" applyFill="1" applyBorder="1" applyProtection="1"/>
    <xf numFmtId="6" fontId="58" fillId="20" borderId="86" xfId="0" applyNumberFormat="1" applyFont="1" applyFill="1" applyBorder="1" applyProtection="1"/>
    <xf numFmtId="6" fontId="58" fillId="0" borderId="64" xfId="0" applyNumberFormat="1" applyFont="1" applyFill="1" applyBorder="1" applyProtection="1">
      <protection locked="0"/>
    </xf>
    <xf numFmtId="6" fontId="58" fillId="0" borderId="66" xfId="0" applyNumberFormat="1" applyFont="1" applyFill="1" applyBorder="1" applyProtection="1">
      <protection locked="0"/>
    </xf>
    <xf numFmtId="6" fontId="58" fillId="0" borderId="156" xfId="0" applyNumberFormat="1" applyFont="1" applyFill="1" applyBorder="1" applyProtection="1">
      <protection locked="0"/>
    </xf>
    <xf numFmtId="6" fontId="58" fillId="0" borderId="136" xfId="0" applyNumberFormat="1" applyFont="1" applyFill="1" applyBorder="1" applyProtection="1">
      <protection locked="0"/>
    </xf>
    <xf numFmtId="6" fontId="58" fillId="6" borderId="172" xfId="0" applyNumberFormat="1" applyFont="1" applyFill="1" applyBorder="1" applyProtection="1"/>
    <xf numFmtId="6" fontId="58" fillId="6" borderId="173" xfId="0" applyNumberFormat="1" applyFont="1" applyFill="1" applyBorder="1" applyProtection="1"/>
    <xf numFmtId="6" fontId="58" fillId="6" borderId="267" xfId="0" applyNumberFormat="1" applyFont="1" applyFill="1" applyBorder="1" applyProtection="1"/>
    <xf numFmtId="6" fontId="58" fillId="6" borderId="269" xfId="0" applyNumberFormat="1" applyFont="1" applyFill="1" applyBorder="1" applyProtection="1"/>
    <xf numFmtId="6" fontId="58" fillId="6" borderId="170" xfId="0" applyNumberFormat="1" applyFont="1" applyFill="1" applyBorder="1" applyProtection="1"/>
    <xf numFmtId="6" fontId="58" fillId="6" borderId="149" xfId="0" applyNumberFormat="1" applyFont="1" applyFill="1" applyBorder="1" applyProtection="1"/>
    <xf numFmtId="6" fontId="59" fillId="6" borderId="251" xfId="0" applyNumberFormat="1" applyFont="1" applyFill="1" applyBorder="1" applyProtection="1"/>
    <xf numFmtId="6" fontId="58" fillId="6" borderId="261" xfId="0" applyNumberFormat="1" applyFont="1" applyFill="1" applyBorder="1" applyProtection="1"/>
    <xf numFmtId="6" fontId="58" fillId="6" borderId="171" xfId="0" applyNumberFormat="1" applyFont="1" applyFill="1" applyBorder="1" applyProtection="1"/>
    <xf numFmtId="6" fontId="58" fillId="6" borderId="4" xfId="0" applyNumberFormat="1" applyFont="1" applyFill="1" applyBorder="1" applyProtection="1"/>
    <xf numFmtId="6" fontId="58" fillId="6" borderId="279" xfId="0" applyNumberFormat="1" applyFont="1" applyFill="1" applyBorder="1" applyProtection="1"/>
    <xf numFmtId="6" fontId="58" fillId="0" borderId="446" xfId="0" applyNumberFormat="1" applyFont="1" applyBorder="1" applyProtection="1"/>
    <xf numFmtId="6" fontId="59" fillId="6" borderId="4" xfId="0" applyNumberFormat="1" applyFont="1" applyFill="1" applyBorder="1" applyProtection="1"/>
    <xf numFmtId="6" fontId="58" fillId="6" borderId="146" xfId="0" applyNumberFormat="1" applyFont="1" applyFill="1" applyBorder="1" applyProtection="1"/>
    <xf numFmtId="42" fontId="3" fillId="0" borderId="29" xfId="0" applyNumberFormat="1" applyFont="1" applyBorder="1" applyProtection="1"/>
    <xf numFmtId="42" fontId="3" fillId="0" borderId="0" xfId="0" applyNumberFormat="1" applyFont="1" applyBorder="1" applyProtection="1"/>
    <xf numFmtId="42" fontId="34" fillId="0" borderId="0" xfId="0" applyNumberFormat="1" applyFont="1" applyFill="1" applyBorder="1" applyProtection="1"/>
    <xf numFmtId="42" fontId="34" fillId="0" borderId="0" xfId="0" applyNumberFormat="1" applyFont="1" applyFill="1" applyBorder="1" applyAlignment="1" applyProtection="1">
      <alignment horizontal="center" wrapText="1"/>
    </xf>
    <xf numFmtId="42" fontId="3" fillId="0" borderId="34" xfId="0" applyNumberFormat="1" applyFont="1" applyBorder="1" applyProtection="1"/>
    <xf numFmtId="177" fontId="0" fillId="0" borderId="0" xfId="0" applyNumberFormat="1" applyFont="1" applyProtection="1">
      <protection locked="0"/>
    </xf>
    <xf numFmtId="178" fontId="0" fillId="0" borderId="0" xfId="0" applyNumberFormat="1" applyFont="1" applyProtection="1">
      <protection locked="0"/>
    </xf>
    <xf numFmtId="0" fontId="26" fillId="5" borderId="65" xfId="0" applyFont="1" applyFill="1" applyBorder="1" applyAlignment="1" applyProtection="1">
      <protection locked="0"/>
    </xf>
    <xf numFmtId="0" fontId="26" fillId="5" borderId="66" xfId="0" applyFont="1" applyFill="1" applyBorder="1" applyAlignment="1" applyProtection="1">
      <protection locked="0"/>
    </xf>
    <xf numFmtId="0" fontId="26" fillId="5" borderId="143" xfId="0" applyFont="1" applyFill="1" applyBorder="1" applyAlignment="1" applyProtection="1">
      <protection locked="0"/>
    </xf>
    <xf numFmtId="0" fontId="18" fillId="0" borderId="131" xfId="0" applyFont="1" applyBorder="1" applyAlignment="1" applyProtection="1">
      <protection locked="0"/>
    </xf>
    <xf numFmtId="0" fontId="26" fillId="5" borderId="141" xfId="0" applyFont="1" applyFill="1" applyBorder="1" applyAlignment="1" applyProtection="1">
      <protection locked="0"/>
    </xf>
    <xf numFmtId="0" fontId="26" fillId="5" borderId="201" xfId="0" applyFont="1" applyFill="1" applyBorder="1" applyAlignment="1" applyProtection="1">
      <protection locked="0"/>
    </xf>
    <xf numFmtId="0" fontId="18" fillId="0" borderId="103" xfId="0" applyFont="1" applyBorder="1" applyAlignment="1" applyProtection="1">
      <protection locked="0"/>
    </xf>
    <xf numFmtId="9" fontId="13" fillId="0" borderId="0" xfId="4" applyNumberFormat="1" applyFont="1"/>
    <xf numFmtId="5" fontId="97" fillId="0" borderId="0" xfId="4" applyNumberFormat="1" applyFont="1" applyFill="1" applyBorder="1" applyAlignment="1" applyProtection="1">
      <alignment vertical="center"/>
    </xf>
    <xf numFmtId="5" fontId="44" fillId="0" borderId="0" xfId="0" applyNumberFormat="1" applyFont="1" applyProtection="1">
      <protection locked="0"/>
    </xf>
    <xf numFmtId="5" fontId="33" fillId="0" borderId="0" xfId="0" applyNumberFormat="1" applyFont="1" applyFill="1" applyBorder="1" applyAlignment="1" applyProtection="1">
      <alignment vertical="center"/>
    </xf>
    <xf numFmtId="0" fontId="3" fillId="0" borderId="80" xfId="0" applyFont="1" applyBorder="1" applyAlignment="1" applyProtection="1">
      <alignment vertical="center" wrapText="1"/>
      <protection locked="0"/>
    </xf>
    <xf numFmtId="0" fontId="3" fillId="0" borderId="81" xfId="0" applyFont="1" applyBorder="1" applyAlignment="1" applyProtection="1">
      <alignment vertical="center" wrapText="1"/>
      <protection locked="0"/>
    </xf>
    <xf numFmtId="0" fontId="18" fillId="0" borderId="80" xfId="0" applyFont="1" applyFill="1" applyBorder="1" applyAlignment="1" applyProtection="1">
      <alignment horizontal="left" vertical="top"/>
      <protection locked="0"/>
    </xf>
    <xf numFmtId="0" fontId="18" fillId="0" borderId="86" xfId="0" applyFont="1" applyFill="1" applyBorder="1" applyAlignment="1" applyProtection="1">
      <alignment horizontal="left" vertical="top"/>
      <protection locked="0"/>
    </xf>
    <xf numFmtId="9" fontId="58" fillId="6" borderId="64" xfId="3" applyFont="1" applyFill="1" applyBorder="1" applyProtection="1"/>
    <xf numFmtId="9" fontId="58" fillId="6" borderId="66" xfId="3" applyFont="1" applyFill="1" applyBorder="1" applyProtection="1"/>
    <xf numFmtId="9" fontId="58" fillId="6" borderId="107" xfId="3" applyFont="1" applyFill="1" applyBorder="1" applyProtection="1">
      <protection locked="0"/>
    </xf>
    <xf numFmtId="9" fontId="58" fillId="6" borderId="158" xfId="3" applyFont="1" applyFill="1" applyBorder="1" applyProtection="1">
      <protection locked="0"/>
    </xf>
    <xf numFmtId="10" fontId="58" fillId="6" borderId="156" xfId="3" applyNumberFormat="1" applyFont="1" applyFill="1" applyBorder="1" applyProtection="1"/>
    <xf numFmtId="10" fontId="58" fillId="6" borderId="136" xfId="3" applyNumberFormat="1" applyFont="1" applyFill="1" applyBorder="1" applyProtection="1">
      <protection locked="0"/>
    </xf>
    <xf numFmtId="179" fontId="58" fillId="0" borderId="562" xfId="0" applyNumberFormat="1" applyFont="1" applyFill="1" applyBorder="1" applyProtection="1">
      <protection locked="0"/>
    </xf>
    <xf numFmtId="42" fontId="13" fillId="0" borderId="0" xfId="4" applyNumberFormat="1" applyFont="1" applyFill="1" applyBorder="1" applyProtection="1">
      <protection locked="0"/>
    </xf>
    <xf numFmtId="42" fontId="13" fillId="0" borderId="0" xfId="4" applyNumberFormat="1" applyFont="1" applyFill="1" applyBorder="1"/>
    <xf numFmtId="43" fontId="10" fillId="0" borderId="0" xfId="6" applyFont="1" applyFill="1" applyBorder="1" applyAlignment="1">
      <alignment horizontal="center" vertical="top" wrapText="1"/>
    </xf>
    <xf numFmtId="43" fontId="10" fillId="0" borderId="0" xfId="6" applyFont="1" applyFill="1" applyBorder="1" applyAlignment="1" applyProtection="1">
      <alignment vertical="top" wrapText="1"/>
      <protection locked="0"/>
    </xf>
    <xf numFmtId="180" fontId="58" fillId="6" borderId="279" xfId="6" applyNumberFormat="1" applyFont="1" applyFill="1" applyBorder="1" applyProtection="1">
      <protection locked="0"/>
    </xf>
    <xf numFmtId="1" fontId="18" fillId="0" borderId="68" xfId="0" applyNumberFormat="1" applyFont="1" applyBorder="1" applyAlignment="1" applyProtection="1">
      <alignment horizontal="center"/>
      <protection locked="0"/>
    </xf>
    <xf numFmtId="14" fontId="3" fillId="0" borderId="105" xfId="0" applyNumberFormat="1" applyFont="1" applyBorder="1" applyAlignment="1" applyProtection="1">
      <alignment vertical="center"/>
      <protection locked="0"/>
    </xf>
    <xf numFmtId="14" fontId="3" fillId="0" borderId="103" xfId="0" applyNumberFormat="1" applyFont="1" applyFill="1" applyBorder="1" applyAlignment="1" applyProtection="1">
      <alignment vertical="center"/>
      <protection locked="0"/>
    </xf>
    <xf numFmtId="14" fontId="3" fillId="0" borderId="104" xfId="0" applyNumberFormat="1" applyFont="1" applyFill="1" applyBorder="1" applyAlignment="1" applyProtection="1">
      <alignment vertical="center"/>
      <protection locked="0"/>
    </xf>
    <xf numFmtId="14" fontId="3" fillId="0" borderId="232" xfId="0" applyNumberFormat="1" applyFont="1" applyBorder="1" applyAlignment="1" applyProtection="1">
      <alignment vertical="center"/>
      <protection locked="0"/>
    </xf>
    <xf numFmtId="1" fontId="0" fillId="0" borderId="0" xfId="0" applyNumberFormat="1" applyFill="1" applyProtection="1">
      <protection locked="0"/>
    </xf>
    <xf numFmtId="10" fontId="43" fillId="8" borderId="0" xfId="3" applyNumberFormat="1" applyFont="1" applyFill="1" applyBorder="1" applyAlignment="1" applyProtection="1">
      <alignment horizontal="right" vertical="center"/>
    </xf>
    <xf numFmtId="181" fontId="18" fillId="0" borderId="0" xfId="0" applyNumberFormat="1" applyFont="1" applyFill="1" applyBorder="1" applyAlignment="1" applyProtection="1">
      <alignment horizontal="left"/>
    </xf>
    <xf numFmtId="182" fontId="0" fillId="0" borderId="0" xfId="0" applyNumberFormat="1" applyFont="1" applyProtection="1">
      <protection locked="0"/>
    </xf>
    <xf numFmtId="3" fontId="19" fillId="0" borderId="596" xfId="0" applyNumberFormat="1" applyFont="1" applyFill="1" applyBorder="1" applyAlignment="1" applyProtection="1">
      <alignment vertical="center"/>
      <protection locked="0"/>
    </xf>
    <xf numFmtId="3" fontId="19" fillId="0" borderId="595" xfId="0" applyNumberFormat="1" applyFont="1" applyFill="1" applyBorder="1" applyAlignment="1" applyProtection="1">
      <alignment vertical="center"/>
      <protection locked="0"/>
    </xf>
    <xf numFmtId="42" fontId="27" fillId="0" borderId="0" xfId="4" applyNumberFormat="1" applyFont="1" applyBorder="1" applyAlignment="1" applyProtection="1">
      <alignment vertical="center"/>
    </xf>
    <xf numFmtId="167" fontId="27" fillId="0" borderId="0" xfId="4" applyNumberFormat="1" applyFont="1" applyBorder="1" applyAlignment="1" applyProtection="1">
      <alignment vertical="center"/>
    </xf>
    <xf numFmtId="42" fontId="13" fillId="0" borderId="0" xfId="4" applyNumberFormat="1" applyFont="1"/>
    <xf numFmtId="183" fontId="0" fillId="0" borderId="0" xfId="0" applyNumberFormat="1" applyFont="1" applyProtection="1">
      <protection locked="0"/>
    </xf>
    <xf numFmtId="0" fontId="0" fillId="0" borderId="0" xfId="0" applyBorder="1" applyProtection="1">
      <protection locked="0"/>
    </xf>
    <xf numFmtId="5" fontId="0" fillId="0" borderId="0" xfId="0" applyNumberFormat="1" applyBorder="1" applyProtection="1">
      <protection locked="0"/>
    </xf>
    <xf numFmtId="0" fontId="0" fillId="0" borderId="168" xfId="0" applyBorder="1" applyProtection="1">
      <protection locked="0"/>
    </xf>
    <xf numFmtId="0" fontId="0" fillId="0" borderId="169" xfId="0" applyBorder="1" applyProtection="1">
      <protection locked="0"/>
    </xf>
    <xf numFmtId="5" fontId="43" fillId="0" borderId="168" xfId="0" applyNumberFormat="1" applyFont="1" applyFill="1" applyBorder="1" applyProtection="1">
      <protection locked="0"/>
    </xf>
    <xf numFmtId="5" fontId="43" fillId="0" borderId="169" xfId="0" applyNumberFormat="1" applyFont="1" applyFill="1" applyBorder="1" applyProtection="1">
      <protection locked="0"/>
    </xf>
    <xf numFmtId="0" fontId="85" fillId="0" borderId="0" xfId="0" applyFont="1" applyFill="1" applyProtection="1"/>
    <xf numFmtId="44" fontId="0" fillId="0" borderId="0" xfId="0" applyNumberFormat="1" applyFont="1" applyFill="1" applyProtection="1">
      <protection locked="0"/>
    </xf>
    <xf numFmtId="0" fontId="18" fillId="0" borderId="23" xfId="0" applyFont="1" applyFill="1" applyBorder="1" applyAlignment="1" applyProtection="1">
      <alignment vertical="top"/>
    </xf>
    <xf numFmtId="0" fontId="85" fillId="0" borderId="414" xfId="0" applyFont="1" applyFill="1" applyBorder="1" applyAlignment="1" applyProtection="1">
      <alignment horizontal="center" vertical="center" wrapText="1"/>
      <protection locked="0"/>
    </xf>
    <xf numFmtId="0" fontId="85" fillId="0" borderId="304"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right" vertical="center"/>
    </xf>
    <xf numFmtId="14" fontId="59" fillId="0" borderId="471" xfId="0" applyNumberFormat="1" applyFont="1" applyFill="1" applyBorder="1" applyAlignment="1" applyProtection="1">
      <alignment horizontal="left" vertical="center"/>
      <protection locked="0"/>
    </xf>
    <xf numFmtId="0" fontId="46" fillId="18" borderId="476" xfId="0" applyFont="1" applyFill="1" applyBorder="1" applyAlignment="1" applyProtection="1">
      <alignment horizontal="center" vertical="center"/>
    </xf>
    <xf numFmtId="0" fontId="46" fillId="18" borderId="477" xfId="0" applyFont="1" applyFill="1" applyBorder="1" applyAlignment="1" applyProtection="1">
      <alignment horizontal="center" vertical="center"/>
    </xf>
    <xf numFmtId="0" fontId="40" fillId="0" borderId="455" xfId="0" applyFont="1" applyFill="1" applyBorder="1" applyAlignment="1" applyProtection="1">
      <alignment horizontal="center" vertical="center"/>
    </xf>
    <xf numFmtId="0" fontId="46" fillId="8" borderId="426" xfId="0" applyFont="1" applyFill="1" applyBorder="1" applyAlignment="1" applyProtection="1">
      <alignment horizontal="center" vertical="center"/>
    </xf>
    <xf numFmtId="0" fontId="46" fillId="8" borderId="433" xfId="0" applyFont="1" applyFill="1" applyBorder="1" applyAlignment="1" applyProtection="1">
      <alignment horizontal="center" vertical="center"/>
    </xf>
    <xf numFmtId="165" fontId="18" fillId="0" borderId="453" xfId="0" applyNumberFormat="1" applyFont="1" applyFill="1" applyBorder="1" applyProtection="1">
      <protection locked="0"/>
    </xf>
    <xf numFmtId="165" fontId="18" fillId="0" borderId="446" xfId="0" applyNumberFormat="1" applyFont="1" applyFill="1" applyBorder="1" applyProtection="1"/>
    <xf numFmtId="0" fontId="40" fillId="0" borderId="455" xfId="0" applyFont="1" applyFill="1" applyBorder="1" applyAlignment="1" applyProtection="1">
      <alignment horizontal="center"/>
    </xf>
    <xf numFmtId="1" fontId="43" fillId="0" borderId="0" xfId="0" applyNumberFormat="1" applyFont="1" applyFill="1" applyBorder="1" applyAlignment="1" applyProtection="1">
      <alignment vertical="center"/>
    </xf>
    <xf numFmtId="6" fontId="46" fillId="0" borderId="446" xfId="0" applyNumberFormat="1" applyFont="1" applyFill="1" applyBorder="1" applyAlignment="1" applyProtection="1">
      <alignment vertical="center"/>
    </xf>
    <xf numFmtId="2" fontId="43" fillId="6" borderId="480" xfId="0" applyNumberFormat="1" applyFont="1" applyFill="1" applyBorder="1" applyAlignment="1" applyProtection="1">
      <alignment horizontal="right" vertical="center"/>
    </xf>
    <xf numFmtId="2" fontId="43" fillId="6" borderId="481" xfId="0" applyNumberFormat="1" applyFont="1" applyFill="1" applyBorder="1" applyAlignment="1" applyProtection="1">
      <alignment horizontal="right" vertical="center"/>
    </xf>
    <xf numFmtId="2" fontId="43" fillId="6" borderId="482" xfId="0" applyNumberFormat="1" applyFont="1" applyFill="1" applyBorder="1" applyAlignment="1" applyProtection="1">
      <alignment horizontal="right" vertical="center"/>
    </xf>
    <xf numFmtId="0" fontId="43" fillId="0" borderId="420" xfId="0" applyFont="1" applyFill="1" applyBorder="1" applyAlignment="1" applyProtection="1">
      <alignment vertical="center"/>
    </xf>
    <xf numFmtId="14" fontId="59" fillId="6" borderId="471" xfId="0" applyNumberFormat="1" applyFont="1" applyFill="1" applyBorder="1" applyAlignment="1" applyProtection="1">
      <alignment horizontal="left" vertical="center"/>
    </xf>
    <xf numFmtId="0" fontId="46" fillId="18" borderId="441" xfId="0" applyFont="1" applyFill="1" applyBorder="1" applyAlignment="1" applyProtection="1">
      <alignment horizontal="center" vertical="center"/>
    </xf>
    <xf numFmtId="0" fontId="46" fillId="18" borderId="438" xfId="0" applyFont="1" applyFill="1" applyBorder="1" applyAlignment="1" applyProtection="1">
      <alignment horizontal="center" vertical="center"/>
    </xf>
    <xf numFmtId="0" fontId="46" fillId="18" borderId="439" xfId="0" applyFont="1" applyFill="1" applyBorder="1" applyAlignment="1" applyProtection="1">
      <alignment horizontal="center" vertical="center"/>
    </xf>
    <xf numFmtId="0" fontId="46" fillId="18" borderId="440" xfId="0" applyFont="1" applyFill="1" applyBorder="1" applyAlignment="1" applyProtection="1">
      <alignment horizontal="center" vertical="center"/>
    </xf>
    <xf numFmtId="6" fontId="43" fillId="0" borderId="480" xfId="0" applyNumberFormat="1" applyFont="1" applyFill="1" applyBorder="1" applyAlignment="1" applyProtection="1">
      <alignment horizontal="right" vertical="center"/>
      <protection locked="0"/>
    </xf>
    <xf numFmtId="6" fontId="43" fillId="0" borderId="481" xfId="0" applyNumberFormat="1" applyFont="1" applyFill="1" applyBorder="1" applyAlignment="1" applyProtection="1">
      <alignment vertical="center"/>
      <protection locked="0"/>
    </xf>
    <xf numFmtId="6" fontId="43" fillId="0" borderId="482" xfId="0" applyNumberFormat="1" applyFont="1" applyFill="1" applyBorder="1" applyAlignment="1" applyProtection="1">
      <alignment vertical="center"/>
      <protection locked="0"/>
    </xf>
    <xf numFmtId="0" fontId="18" fillId="0" borderId="288" xfId="0" applyFont="1" applyFill="1" applyBorder="1" applyProtection="1"/>
    <xf numFmtId="0" fontId="18" fillId="0" borderId="597" xfId="0" applyFont="1" applyFill="1" applyBorder="1" applyProtection="1"/>
    <xf numFmtId="5" fontId="0" fillId="0" borderId="0" xfId="0" applyNumberFormat="1" applyAlignment="1" applyProtection="1">
      <protection locked="0"/>
    </xf>
    <xf numFmtId="5" fontId="27" fillId="0" borderId="165" xfId="0" applyNumberFormat="1" applyFont="1" applyFill="1" applyBorder="1" applyProtection="1"/>
    <xf numFmtId="5" fontId="27" fillId="0" borderId="166" xfId="0" applyNumberFormat="1" applyFont="1" applyFill="1" applyBorder="1" applyProtection="1"/>
    <xf numFmtId="5" fontId="28" fillId="0" borderId="166" xfId="0" applyNumberFormat="1" applyFont="1" applyFill="1" applyBorder="1" applyAlignment="1" applyProtection="1"/>
    <xf numFmtId="5" fontId="28" fillId="0" borderId="167" xfId="0" applyNumberFormat="1" applyFont="1" applyFill="1" applyBorder="1" applyAlignment="1" applyProtection="1"/>
    <xf numFmtId="5" fontId="27" fillId="0" borderId="168" xfId="0" applyNumberFormat="1" applyFont="1" applyFill="1" applyBorder="1" applyProtection="1"/>
    <xf numFmtId="5" fontId="28" fillId="0" borderId="169" xfId="0" applyNumberFormat="1" applyFont="1" applyFill="1" applyBorder="1" applyAlignment="1" applyProtection="1"/>
    <xf numFmtId="5" fontId="0" fillId="0" borderId="0" xfId="0" applyNumberFormat="1" applyProtection="1"/>
    <xf numFmtId="5" fontId="28" fillId="0" borderId="0" xfId="0" applyNumberFormat="1" applyFont="1" applyFill="1" applyBorder="1" applyAlignment="1" applyProtection="1"/>
    <xf numFmtId="5" fontId="27" fillId="0" borderId="168" xfId="0" applyNumberFormat="1" applyFont="1" applyBorder="1" applyProtection="1"/>
    <xf numFmtId="5" fontId="19" fillId="0" borderId="0" xfId="0" applyNumberFormat="1" applyFont="1" applyFill="1" applyBorder="1" applyProtection="1"/>
    <xf numFmtId="5" fontId="3" fillId="0" borderId="0" xfId="0" applyNumberFormat="1" applyFont="1" applyProtection="1"/>
    <xf numFmtId="5" fontId="27" fillId="0" borderId="0" xfId="0" applyNumberFormat="1" applyFont="1" applyFill="1" applyBorder="1" applyAlignment="1" applyProtection="1"/>
    <xf numFmtId="5" fontId="27" fillId="0" borderId="169" xfId="0" applyNumberFormat="1" applyFont="1" applyFill="1" applyBorder="1" applyProtection="1"/>
    <xf numFmtId="5" fontId="17" fillId="0" borderId="0" xfId="0" applyNumberFormat="1" applyFont="1" applyFill="1" applyBorder="1" applyProtection="1"/>
    <xf numFmtId="5" fontId="19" fillId="0" borderId="0" xfId="0" applyNumberFormat="1" applyFont="1" applyBorder="1" applyProtection="1"/>
    <xf numFmtId="5" fontId="27" fillId="17" borderId="72" xfId="0" applyNumberFormat="1" applyFont="1" applyFill="1" applyBorder="1" applyProtection="1"/>
    <xf numFmtId="5" fontId="27" fillId="17" borderId="0" xfId="0" applyNumberFormat="1" applyFont="1" applyFill="1" applyBorder="1" applyProtection="1"/>
    <xf numFmtId="5" fontId="27" fillId="17" borderId="11" xfId="0" applyNumberFormat="1" applyFont="1" applyFill="1" applyBorder="1" applyProtection="1"/>
    <xf numFmtId="5" fontId="3" fillId="0" borderId="169" xfId="0" applyNumberFormat="1" applyFont="1" applyBorder="1" applyProtection="1"/>
    <xf numFmtId="5" fontId="27" fillId="0" borderId="432" xfId="0" applyNumberFormat="1" applyFont="1" applyBorder="1" applyAlignment="1" applyProtection="1"/>
    <xf numFmtId="5" fontId="25" fillId="19" borderId="241" xfId="0" applyNumberFormat="1" applyFont="1" applyFill="1" applyBorder="1" applyAlignment="1" applyProtection="1">
      <alignment vertical="center"/>
    </xf>
    <xf numFmtId="5" fontId="25" fillId="19" borderId="236" xfId="0" applyNumberFormat="1" applyFont="1" applyFill="1" applyBorder="1" applyAlignment="1" applyProtection="1">
      <alignment vertical="center"/>
    </xf>
    <xf numFmtId="5" fontId="25" fillId="0" borderId="218" xfId="0" applyNumberFormat="1" applyFont="1" applyFill="1" applyBorder="1" applyAlignment="1" applyProtection="1">
      <alignment vertical="center"/>
      <protection locked="0"/>
    </xf>
    <xf numFmtId="5" fontId="25" fillId="0" borderId="230" xfId="0" applyNumberFormat="1" applyFont="1" applyFill="1" applyBorder="1" applyAlignment="1" applyProtection="1">
      <alignment vertical="center"/>
      <protection locked="0"/>
    </xf>
    <xf numFmtId="5" fontId="25" fillId="17" borderId="72" xfId="0" applyNumberFormat="1" applyFont="1" applyFill="1" applyBorder="1" applyProtection="1"/>
    <xf numFmtId="5" fontId="25" fillId="6" borderId="226" xfId="0" applyNumberFormat="1" applyFont="1" applyFill="1" applyBorder="1" applyAlignment="1" applyProtection="1">
      <alignment vertical="center"/>
    </xf>
    <xf numFmtId="5" fontId="25" fillId="0" borderId="234" xfId="0" applyNumberFormat="1" applyFont="1" applyFill="1" applyBorder="1" applyAlignment="1" applyProtection="1">
      <alignment vertical="center"/>
      <protection locked="0"/>
    </xf>
    <xf numFmtId="5" fontId="25" fillId="0" borderId="228" xfId="0" applyNumberFormat="1" applyFont="1" applyFill="1" applyBorder="1" applyAlignment="1" applyProtection="1">
      <alignment vertical="center"/>
      <protection locked="0"/>
    </xf>
    <xf numFmtId="5" fontId="27" fillId="0" borderId="0" xfId="0" applyNumberFormat="1" applyFont="1" applyBorder="1" applyAlignment="1" applyProtection="1"/>
    <xf numFmtId="5" fontId="25" fillId="19" borderId="203" xfId="0" applyNumberFormat="1" applyFont="1" applyFill="1" applyBorder="1" applyAlignment="1" applyProtection="1">
      <alignment vertical="center"/>
    </xf>
    <xf numFmtId="5" fontId="25" fillId="19" borderId="121" xfId="0" applyNumberFormat="1" applyFont="1" applyFill="1" applyBorder="1" applyAlignment="1" applyProtection="1">
      <alignment vertical="center"/>
    </xf>
    <xf numFmtId="5" fontId="25" fillId="0" borderId="61" xfId="0" applyNumberFormat="1" applyFont="1" applyFill="1" applyBorder="1" applyAlignment="1" applyProtection="1">
      <alignment vertical="center"/>
      <protection locked="0"/>
    </xf>
    <xf numFmtId="5" fontId="25" fillId="0" borderId="75" xfId="0" applyNumberFormat="1" applyFont="1" applyFill="1" applyBorder="1" applyAlignment="1" applyProtection="1">
      <alignment vertical="center"/>
      <protection locked="0"/>
    </xf>
    <xf numFmtId="5" fontId="25" fillId="17" borderId="0" xfId="0" applyNumberFormat="1" applyFont="1" applyFill="1" applyBorder="1" applyProtection="1"/>
    <xf numFmtId="5" fontId="25" fillId="6" borderId="85" xfId="0" applyNumberFormat="1" applyFont="1" applyFill="1" applyBorder="1" applyAlignment="1" applyProtection="1">
      <alignment vertical="center"/>
    </xf>
    <xf numFmtId="5" fontId="25" fillId="0" borderId="120" xfId="0" applyNumberFormat="1" applyFont="1" applyFill="1" applyBorder="1" applyAlignment="1" applyProtection="1">
      <alignment vertical="center"/>
      <protection locked="0"/>
    </xf>
    <xf numFmtId="5" fontId="25" fillId="0" borderId="66" xfId="0" applyNumberFormat="1" applyFont="1" applyFill="1" applyBorder="1" applyAlignment="1" applyProtection="1">
      <alignment vertical="center"/>
      <protection locked="0"/>
    </xf>
    <xf numFmtId="5" fontId="35" fillId="0" borderId="0" xfId="0" applyNumberFormat="1" applyFont="1" applyBorder="1" applyAlignment="1" applyProtection="1">
      <alignment vertical="center"/>
    </xf>
    <xf numFmtId="5" fontId="25" fillId="19" borderId="151" xfId="0" applyNumberFormat="1" applyFont="1" applyFill="1" applyBorder="1" applyAlignment="1" applyProtection="1">
      <alignment vertical="center"/>
    </xf>
    <xf numFmtId="5" fontId="25" fillId="0" borderId="63" xfId="0" applyNumberFormat="1" applyFont="1" applyFill="1" applyBorder="1" applyAlignment="1" applyProtection="1">
      <alignment vertical="center" wrapText="1"/>
      <protection locked="0"/>
    </xf>
    <xf numFmtId="5" fontId="25" fillId="0" borderId="122" xfId="0" applyNumberFormat="1" applyFont="1" applyFill="1" applyBorder="1" applyAlignment="1" applyProtection="1">
      <alignment vertical="center" wrapText="1"/>
      <protection locked="0"/>
    </xf>
    <xf numFmtId="5" fontId="25" fillId="6" borderId="124" xfId="0" applyNumberFormat="1" applyFont="1" applyFill="1" applyBorder="1" applyAlignment="1" applyProtection="1">
      <alignment vertical="center" wrapText="1"/>
    </xf>
    <xf numFmtId="5" fontId="25" fillId="0" borderId="134" xfId="0" applyNumberFormat="1" applyFont="1" applyFill="1" applyBorder="1" applyAlignment="1" applyProtection="1">
      <alignment vertical="center"/>
      <protection locked="0"/>
    </xf>
    <xf numFmtId="5" fontId="25" fillId="0" borderId="136" xfId="0" applyNumberFormat="1" applyFont="1" applyFill="1" applyBorder="1" applyAlignment="1" applyProtection="1">
      <alignment vertical="center" wrapText="1"/>
      <protection locked="0"/>
    </xf>
    <xf numFmtId="5" fontId="25" fillId="19" borderId="205" xfId="0" applyNumberFormat="1" applyFont="1" applyFill="1" applyBorder="1" applyAlignment="1" applyProtection="1">
      <alignment vertical="center"/>
    </xf>
    <xf numFmtId="5" fontId="25" fillId="19" borderId="206" xfId="0" applyNumberFormat="1" applyFont="1" applyFill="1" applyBorder="1" applyAlignment="1" applyProtection="1">
      <alignment vertical="center"/>
    </xf>
    <xf numFmtId="5" fontId="25" fillId="12" borderId="82" xfId="0" applyNumberFormat="1" applyFont="1" applyFill="1" applyBorder="1" applyAlignment="1" applyProtection="1">
      <alignment vertical="center"/>
    </xf>
    <xf numFmtId="5" fontId="25" fillId="12" borderId="133" xfId="0" applyNumberFormat="1" applyFont="1" applyFill="1" applyBorder="1" applyAlignment="1" applyProtection="1">
      <alignment vertical="center"/>
    </xf>
    <xf numFmtId="5" fontId="25" fillId="17" borderId="112" xfId="0" applyNumberFormat="1" applyFont="1" applyFill="1" applyBorder="1" applyProtection="1"/>
    <xf numFmtId="5" fontId="25" fillId="12" borderId="84" xfId="0" applyNumberFormat="1" applyFont="1" applyFill="1" applyBorder="1" applyAlignment="1" applyProtection="1">
      <alignment vertical="center"/>
    </xf>
    <xf numFmtId="5" fontId="25" fillId="12" borderId="71" xfId="0" applyNumberFormat="1" applyFont="1" applyFill="1" applyBorder="1" applyAlignment="1" applyProtection="1">
      <alignment vertical="center"/>
    </xf>
    <xf numFmtId="5" fontId="3" fillId="0" borderId="72" xfId="0" applyNumberFormat="1" applyFont="1" applyBorder="1" applyProtection="1"/>
    <xf numFmtId="5" fontId="25" fillId="0" borderId="0" xfId="0" applyNumberFormat="1" applyFont="1" applyFill="1" applyBorder="1" applyAlignment="1" applyProtection="1">
      <alignment vertical="center"/>
    </xf>
    <xf numFmtId="5" fontId="25" fillId="0" borderId="232" xfId="0" applyNumberFormat="1" applyFont="1" applyFill="1" applyBorder="1" applyAlignment="1" applyProtection="1">
      <alignment vertical="center"/>
      <protection locked="0"/>
    </xf>
    <xf numFmtId="5" fontId="25" fillId="0" borderId="474" xfId="0" applyNumberFormat="1" applyFont="1" applyFill="1" applyBorder="1" applyAlignment="1" applyProtection="1">
      <alignment vertical="center"/>
      <protection locked="0"/>
    </xf>
    <xf numFmtId="5" fontId="25" fillId="12" borderId="226" xfId="0" applyNumberFormat="1" applyFont="1" applyFill="1" applyBorder="1" applyAlignment="1" applyProtection="1">
      <alignment vertical="center"/>
    </xf>
    <xf numFmtId="5" fontId="25" fillId="0" borderId="103" xfId="0" applyNumberFormat="1" applyFont="1" applyFill="1" applyBorder="1" applyAlignment="1" applyProtection="1">
      <alignment vertical="center"/>
      <protection locked="0"/>
    </xf>
    <xf numFmtId="5" fontId="27" fillId="0" borderId="0" xfId="6" applyNumberFormat="1" applyFont="1" applyFill="1" applyBorder="1" applyAlignment="1" applyProtection="1">
      <alignment vertical="center"/>
    </xf>
    <xf numFmtId="5" fontId="27" fillId="6" borderId="77" xfId="0" applyNumberFormat="1" applyFont="1" applyFill="1" applyBorder="1" applyAlignment="1" applyProtection="1">
      <alignment vertical="center"/>
    </xf>
    <xf numFmtId="5" fontId="27" fillId="0" borderId="0" xfId="0" applyNumberFormat="1" applyFont="1" applyBorder="1" applyAlignment="1" applyProtection="1">
      <alignment vertical="center"/>
    </xf>
    <xf numFmtId="5" fontId="25" fillId="0" borderId="123" xfId="0" applyNumberFormat="1" applyFont="1" applyFill="1" applyBorder="1" applyAlignment="1" applyProtection="1">
      <alignment vertical="center"/>
      <protection locked="0"/>
    </xf>
    <xf numFmtId="5" fontId="25" fillId="6" borderId="124" xfId="0" applyNumberFormat="1" applyFont="1" applyFill="1" applyBorder="1" applyAlignment="1" applyProtection="1">
      <alignment vertical="center"/>
    </xf>
    <xf numFmtId="5" fontId="25" fillId="0" borderId="136" xfId="0" applyNumberFormat="1" applyFont="1" applyFill="1" applyBorder="1" applyAlignment="1" applyProtection="1">
      <alignment vertical="center"/>
      <protection locked="0"/>
    </xf>
    <xf numFmtId="5" fontId="27" fillId="0" borderId="162" xfId="0" applyNumberFormat="1" applyFont="1" applyFill="1" applyBorder="1" applyProtection="1"/>
    <xf numFmtId="5" fontId="3" fillId="0" borderId="163" xfId="0" applyNumberFormat="1" applyFont="1" applyBorder="1" applyProtection="1"/>
    <xf numFmtId="5" fontId="3" fillId="0" borderId="239" xfId="0" applyNumberFormat="1" applyFont="1" applyBorder="1" applyProtection="1"/>
    <xf numFmtId="5" fontId="37" fillId="0" borderId="239" xfId="0" applyNumberFormat="1" applyFont="1" applyFill="1" applyBorder="1" applyAlignment="1" applyProtection="1">
      <alignment horizontal="center" vertical="center"/>
    </xf>
    <xf numFmtId="5" fontId="25" fillId="0" borderId="239" xfId="0" applyNumberFormat="1" applyFont="1" applyFill="1" applyBorder="1" applyAlignment="1" applyProtection="1">
      <alignment vertical="center"/>
    </xf>
    <xf numFmtId="5" fontId="25" fillId="17" borderId="239" xfId="0" applyNumberFormat="1" applyFont="1" applyFill="1" applyBorder="1" applyProtection="1"/>
    <xf numFmtId="5" fontId="3" fillId="0" borderId="164" xfId="0" applyNumberFormat="1" applyFont="1" applyBorder="1" applyProtection="1"/>
    <xf numFmtId="5" fontId="25" fillId="0" borderId="120" xfId="0" applyNumberFormat="1" applyFont="1" applyFill="1" applyBorder="1" applyAlignment="1" applyProtection="1">
      <alignment vertical="center" wrapText="1"/>
      <protection locked="0"/>
    </xf>
    <xf numFmtId="5" fontId="25" fillId="0" borderId="103" xfId="0" applyNumberFormat="1" applyFont="1" applyFill="1" applyBorder="1" applyAlignment="1" applyProtection="1">
      <alignment vertical="center" wrapText="1"/>
      <protection locked="0"/>
    </xf>
    <xf numFmtId="5" fontId="25" fillId="0" borderId="66" xfId="0" applyNumberFormat="1" applyFont="1" applyFill="1" applyBorder="1" applyAlignment="1" applyProtection="1">
      <alignment vertical="center" wrapText="1"/>
      <protection locked="0"/>
    </xf>
    <xf numFmtId="5" fontId="25" fillId="0" borderId="134" xfId="0" applyNumberFormat="1" applyFont="1" applyFill="1" applyBorder="1" applyAlignment="1" applyProtection="1">
      <alignment vertical="center" wrapText="1"/>
      <protection locked="0"/>
    </xf>
    <xf numFmtId="5" fontId="25" fillId="0" borderId="123" xfId="0" applyNumberFormat="1" applyFont="1" applyFill="1" applyBorder="1" applyAlignment="1" applyProtection="1">
      <alignment vertical="center" wrapText="1"/>
      <protection locked="0"/>
    </xf>
    <xf numFmtId="5" fontId="3" fillId="0" borderId="332" xfId="0" applyNumberFormat="1" applyFont="1" applyBorder="1" applyProtection="1"/>
    <xf numFmtId="5" fontId="37" fillId="0" borderId="332" xfId="0" applyNumberFormat="1" applyFont="1" applyFill="1" applyBorder="1" applyAlignment="1" applyProtection="1">
      <alignment horizontal="center" vertical="center"/>
    </xf>
    <xf numFmtId="5" fontId="25" fillId="0" borderId="332" xfId="0" applyNumberFormat="1" applyFont="1" applyFill="1" applyBorder="1" applyAlignment="1" applyProtection="1">
      <alignment vertical="center"/>
    </xf>
    <xf numFmtId="5" fontId="25" fillId="17" borderId="332" xfId="0" applyNumberFormat="1" applyFont="1" applyFill="1" applyBorder="1" applyProtection="1"/>
    <xf numFmtId="5" fontId="88" fillId="0" borderId="0" xfId="0" applyNumberFormat="1" applyFont="1" applyProtection="1">
      <protection locked="0"/>
    </xf>
    <xf numFmtId="5" fontId="18" fillId="0" borderId="11" xfId="0" applyNumberFormat="1" applyFont="1" applyFill="1" applyBorder="1" applyProtection="1"/>
    <xf numFmtId="5" fontId="18" fillId="0" borderId="0" xfId="0" applyNumberFormat="1" applyFont="1" applyFill="1" applyBorder="1" applyAlignment="1" applyProtection="1"/>
    <xf numFmtId="5" fontId="18" fillId="0" borderId="0" xfId="0" applyNumberFormat="1" applyFont="1" applyBorder="1" applyAlignment="1" applyProtection="1"/>
    <xf numFmtId="5" fontId="55" fillId="0" borderId="0" xfId="0" applyNumberFormat="1" applyFont="1" applyFill="1" applyBorder="1" applyAlignment="1" applyProtection="1">
      <alignment horizontal="right" vertical="center"/>
    </xf>
    <xf numFmtId="5" fontId="25" fillId="0" borderId="163" xfId="0" applyNumberFormat="1" applyFont="1" applyFill="1" applyBorder="1" applyAlignment="1" applyProtection="1">
      <alignment vertical="center"/>
    </xf>
    <xf numFmtId="5" fontId="25" fillId="17" borderId="163" xfId="0" applyNumberFormat="1" applyFont="1" applyFill="1" applyBorder="1" applyProtection="1"/>
    <xf numFmtId="5" fontId="25" fillId="19" borderId="226" xfId="0" applyNumberFormat="1" applyFont="1" applyFill="1" applyBorder="1" applyAlignment="1" applyProtection="1">
      <alignment vertical="center"/>
    </xf>
    <xf numFmtId="5" fontId="25" fillId="19" borderId="85" xfId="0" applyNumberFormat="1" applyFont="1" applyFill="1" applyBorder="1" applyAlignment="1" applyProtection="1">
      <alignment vertical="center"/>
    </xf>
    <xf numFmtId="5" fontId="25" fillId="12" borderId="85" xfId="0" applyNumberFormat="1" applyFont="1" applyFill="1" applyBorder="1" applyAlignment="1" applyProtection="1">
      <alignment vertical="center"/>
    </xf>
    <xf numFmtId="5" fontId="25" fillId="19" borderId="204" xfId="0" applyNumberFormat="1" applyFont="1" applyFill="1" applyBorder="1" applyAlignment="1" applyProtection="1">
      <alignment vertical="center"/>
    </xf>
    <xf numFmtId="5" fontId="25" fillId="19" borderId="124" xfId="0" applyNumberFormat="1" applyFont="1" applyFill="1" applyBorder="1" applyAlignment="1" applyProtection="1">
      <alignment vertical="center"/>
    </xf>
    <xf numFmtId="5" fontId="25" fillId="12" borderId="124" xfId="0" applyNumberFormat="1" applyFont="1" applyFill="1" applyBorder="1" applyAlignment="1" applyProtection="1">
      <alignment vertical="center"/>
    </xf>
    <xf numFmtId="5" fontId="25" fillId="0" borderId="0" xfId="0" applyNumberFormat="1" applyFont="1" applyBorder="1" applyAlignment="1" applyProtection="1">
      <alignment vertical="center"/>
    </xf>
    <xf numFmtId="5" fontId="25" fillId="19" borderId="235" xfId="0" applyNumberFormat="1" applyFont="1" applyFill="1" applyBorder="1" applyAlignment="1" applyProtection="1">
      <alignment vertical="center"/>
    </xf>
    <xf numFmtId="5" fontId="25" fillId="11" borderId="219" xfId="0" applyNumberFormat="1" applyFont="1" applyFill="1" applyBorder="1" applyAlignment="1" applyProtection="1">
      <alignment vertical="center"/>
    </xf>
    <xf numFmtId="5" fontId="25" fillId="11" borderId="446" xfId="0" applyNumberFormat="1" applyFont="1" applyFill="1" applyBorder="1" applyAlignment="1" applyProtection="1">
      <alignment vertical="center"/>
    </xf>
    <xf numFmtId="5" fontId="25" fillId="12" borderId="224" xfId="0" applyNumberFormat="1" applyFont="1" applyFill="1" applyBorder="1" applyAlignment="1" applyProtection="1">
      <alignment vertical="center"/>
    </xf>
    <xf numFmtId="5" fontId="25" fillId="11" borderId="242" xfId="0" applyNumberFormat="1" applyFont="1" applyFill="1" applyBorder="1" applyAlignment="1" applyProtection="1">
      <alignment vertical="center"/>
    </xf>
    <xf numFmtId="5" fontId="32" fillId="10" borderId="10" xfId="0" applyNumberFormat="1" applyFont="1" applyFill="1" applyBorder="1" applyAlignment="1" applyProtection="1"/>
    <xf numFmtId="5" fontId="32" fillId="10" borderId="11" xfId="0" applyNumberFormat="1" applyFont="1" applyFill="1" applyBorder="1" applyAlignment="1" applyProtection="1"/>
    <xf numFmtId="5" fontId="32" fillId="10" borderId="202" xfId="0" applyNumberFormat="1" applyFont="1" applyFill="1" applyBorder="1" applyProtection="1"/>
    <xf numFmtId="5" fontId="25" fillId="19" borderId="113" xfId="0" applyNumberFormat="1" applyFont="1" applyFill="1" applyBorder="1" applyAlignment="1" applyProtection="1">
      <alignment vertical="center"/>
    </xf>
    <xf numFmtId="5" fontId="25" fillId="12" borderId="244" xfId="0" applyNumberFormat="1" applyFont="1" applyFill="1" applyBorder="1" applyAlignment="1" applyProtection="1">
      <alignment vertical="center"/>
    </xf>
    <xf numFmtId="5" fontId="25" fillId="12" borderId="237" xfId="0" applyNumberFormat="1" applyFont="1" applyFill="1" applyBorder="1" applyAlignment="1" applyProtection="1">
      <alignment vertical="center"/>
    </xf>
    <xf numFmtId="5" fontId="25" fillId="17" borderId="11" xfId="0" applyNumberFormat="1" applyFont="1" applyFill="1" applyBorder="1" applyProtection="1"/>
    <xf numFmtId="5" fontId="32" fillId="0" borderId="0" xfId="0" applyNumberFormat="1" applyFont="1" applyFill="1" applyBorder="1" applyAlignment="1" applyProtection="1"/>
    <xf numFmtId="5" fontId="32" fillId="0" borderId="0" xfId="0" applyNumberFormat="1" applyFont="1" applyFill="1" applyBorder="1" applyProtection="1"/>
    <xf numFmtId="5" fontId="25" fillId="0" borderId="0" xfId="0" applyNumberFormat="1" applyFont="1" applyFill="1" applyBorder="1" applyProtection="1"/>
    <xf numFmtId="5" fontId="39" fillId="0" borderId="163" xfId="0" applyNumberFormat="1" applyFont="1" applyFill="1" applyBorder="1" applyAlignment="1" applyProtection="1"/>
    <xf numFmtId="5" fontId="27" fillId="0" borderId="163" xfId="0" applyNumberFormat="1" applyFont="1" applyFill="1" applyBorder="1" applyAlignment="1" applyProtection="1"/>
    <xf numFmtId="5" fontId="3" fillId="0" borderId="164" xfId="0" applyNumberFormat="1" applyFont="1" applyFill="1" applyBorder="1" applyProtection="1"/>
    <xf numFmtId="5" fontId="44" fillId="0" borderId="0" xfId="6" applyNumberFormat="1" applyFont="1" applyProtection="1">
      <protection locked="0"/>
    </xf>
    <xf numFmtId="5" fontId="0" fillId="0" borderId="0" xfId="2" applyNumberFormat="1" applyFont="1" applyProtection="1">
      <protection locked="0"/>
    </xf>
    <xf numFmtId="169" fontId="18" fillId="6" borderId="10" xfId="0" applyNumberFormat="1" applyFont="1" applyFill="1" applyBorder="1" applyAlignment="1" applyProtection="1"/>
    <xf numFmtId="169" fontId="18" fillId="0" borderId="94" xfId="0" applyNumberFormat="1" applyFont="1" applyFill="1" applyBorder="1" applyAlignment="1" applyProtection="1">
      <alignment vertical="center"/>
      <protection locked="0"/>
    </xf>
    <xf numFmtId="169" fontId="22" fillId="6" borderId="253" xfId="0" applyNumberFormat="1" applyFont="1" applyFill="1" applyBorder="1" applyAlignment="1" applyProtection="1"/>
    <xf numFmtId="169" fontId="22" fillId="6" borderId="281" xfId="0" applyNumberFormat="1" applyFont="1" applyFill="1" applyBorder="1" applyAlignment="1" applyProtection="1"/>
    <xf numFmtId="42" fontId="27" fillId="0" borderId="0" xfId="4" applyNumberFormat="1" applyFont="1" applyFill="1" applyBorder="1" applyAlignment="1" applyProtection="1">
      <alignment vertical="center"/>
    </xf>
    <xf numFmtId="184" fontId="18" fillId="0" borderId="0" xfId="0" applyNumberFormat="1" applyFont="1" applyFill="1" applyBorder="1" applyAlignment="1" applyProtection="1">
      <alignment horizontal="left"/>
    </xf>
    <xf numFmtId="7" fontId="25" fillId="12" borderId="234" xfId="0" applyNumberFormat="1" applyFont="1" applyFill="1" applyBorder="1" applyAlignment="1" applyProtection="1">
      <alignment vertical="center"/>
    </xf>
    <xf numFmtId="7" fontId="25" fillId="6" borderId="111" xfId="0" applyNumberFormat="1" applyFont="1" applyFill="1" applyBorder="1" applyAlignment="1" applyProtection="1">
      <alignment vertical="center"/>
    </xf>
    <xf numFmtId="7" fontId="88" fillId="0" borderId="0" xfId="0" applyNumberFormat="1" applyFont="1" applyProtection="1">
      <protection locked="0"/>
    </xf>
    <xf numFmtId="185" fontId="88" fillId="0" borderId="0" xfId="0" applyNumberFormat="1" applyFont="1" applyProtection="1">
      <protection locked="0"/>
    </xf>
    <xf numFmtId="186" fontId="25" fillId="19" borderId="59" xfId="5" applyNumberFormat="1" applyFont="1" applyFill="1" applyBorder="1" applyAlignment="1" applyProtection="1">
      <alignment vertical="center"/>
    </xf>
    <xf numFmtId="167" fontId="25" fillId="19" borderId="59" xfId="5" applyNumberFormat="1" applyFont="1" applyFill="1" applyBorder="1" applyAlignment="1" applyProtection="1">
      <alignment vertical="center"/>
    </xf>
    <xf numFmtId="186" fontId="25" fillId="19" borderId="483" xfId="5" applyNumberFormat="1" applyFont="1" applyFill="1" applyBorder="1" applyAlignment="1" applyProtection="1">
      <alignment vertical="center"/>
    </xf>
    <xf numFmtId="14" fontId="3" fillId="0" borderId="77" xfId="0" applyNumberFormat="1" applyFont="1" applyBorder="1" applyProtection="1">
      <protection locked="0"/>
    </xf>
    <xf numFmtId="0" fontId="18" fillId="0" borderId="0" xfId="0" applyFont="1" applyFill="1" applyBorder="1" applyAlignment="1" applyProtection="1"/>
    <xf numFmtId="0" fontId="18" fillId="0" borderId="0" xfId="0" applyFont="1" applyFill="1" applyBorder="1" applyAlignment="1" applyProtection="1">
      <alignment horizontal="right" vertical="center"/>
    </xf>
    <xf numFmtId="0" fontId="18" fillId="0" borderId="24" xfId="0" applyFont="1" applyFill="1" applyBorder="1" applyAlignment="1" applyProtection="1">
      <alignment horizontal="right" vertical="center"/>
    </xf>
    <xf numFmtId="0" fontId="18" fillId="0" borderId="5" xfId="0" applyFont="1" applyFill="1" applyBorder="1" applyProtection="1">
      <protection locked="0"/>
    </xf>
    <xf numFmtId="0" fontId="23" fillId="18" borderId="0" xfId="0" applyFont="1" applyFill="1" applyBorder="1" applyAlignment="1" applyProtection="1"/>
    <xf numFmtId="0" fontId="17" fillId="6" borderId="5" xfId="0" applyFont="1" applyFill="1" applyBorder="1" applyAlignment="1" applyProtection="1"/>
    <xf numFmtId="0" fontId="66" fillId="0" borderId="0" xfId="0" applyFont="1" applyFill="1" applyBorder="1" applyAlignment="1" applyProtection="1">
      <alignment horizontal="right" vertical="center"/>
    </xf>
    <xf numFmtId="0" fontId="0" fillId="0" borderId="0" xfId="0" applyFont="1" applyFill="1" applyBorder="1" applyProtection="1"/>
    <xf numFmtId="0" fontId="18" fillId="0" borderId="0" xfId="0" applyFont="1" applyFill="1" applyBorder="1" applyAlignment="1" applyProtection="1">
      <alignment horizontal="left"/>
    </xf>
    <xf numFmtId="6" fontId="18" fillId="0" borderId="0" xfId="0" applyNumberFormat="1" applyFont="1" applyFill="1" applyProtection="1"/>
    <xf numFmtId="0" fontId="83" fillId="0" borderId="0" xfId="0" applyFont="1" applyBorder="1" applyProtection="1">
      <protection locked="0"/>
    </xf>
    <xf numFmtId="5" fontId="98" fillId="0" borderId="168" xfId="0" applyNumberFormat="1" applyFont="1" applyFill="1" applyBorder="1" applyProtection="1">
      <protection locked="0"/>
    </xf>
    <xf numFmtId="0" fontId="83" fillId="0" borderId="0" xfId="0" applyFont="1" applyProtection="1">
      <protection locked="0"/>
    </xf>
    <xf numFmtId="0" fontId="18" fillId="0" borderId="598" xfId="0" applyFont="1" applyBorder="1" applyProtection="1"/>
    <xf numFmtId="0" fontId="18" fillId="0" borderId="39" xfId="0" applyFont="1" applyBorder="1" applyProtection="1"/>
    <xf numFmtId="0" fontId="18" fillId="0" borderId="599" xfId="0" applyFont="1" applyBorder="1" applyProtection="1"/>
    <xf numFmtId="9" fontId="42" fillId="18" borderId="426" xfId="0" applyNumberFormat="1" applyFont="1" applyFill="1" applyBorder="1" applyAlignment="1" applyProtection="1">
      <alignment horizontal="center" vertical="center" wrapText="1"/>
    </xf>
    <xf numFmtId="0" fontId="18" fillId="6" borderId="600" xfId="0" applyFont="1" applyFill="1" applyBorder="1" applyAlignment="1" applyProtection="1">
      <alignment horizontal="center"/>
    </xf>
    <xf numFmtId="0" fontId="18" fillId="6" borderId="601" xfId="0" applyFont="1" applyFill="1" applyBorder="1" applyAlignment="1" applyProtection="1">
      <alignment horizontal="center"/>
    </xf>
    <xf numFmtId="0" fontId="0" fillId="6" borderId="601" xfId="0" applyFont="1" applyFill="1" applyBorder="1" applyAlignment="1" applyProtection="1">
      <alignment horizontal="center"/>
    </xf>
    <xf numFmtId="9" fontId="42" fillId="22" borderId="281" xfId="0" applyNumberFormat="1" applyFont="1" applyFill="1" applyBorder="1" applyAlignment="1" applyProtection="1">
      <alignment horizontal="center" vertical="center" wrapText="1"/>
    </xf>
    <xf numFmtId="0" fontId="18" fillId="22" borderId="446" xfId="0" applyFont="1" applyFill="1" applyBorder="1" applyAlignment="1" applyProtection="1">
      <alignment horizontal="center"/>
    </xf>
    <xf numFmtId="0" fontId="0" fillId="22" borderId="446" xfId="0" applyFont="1" applyFill="1" applyBorder="1" applyAlignment="1" applyProtection="1">
      <alignment horizontal="center"/>
    </xf>
    <xf numFmtId="0" fontId="18" fillId="0" borderId="602" xfId="0" applyFont="1" applyBorder="1" applyAlignment="1" applyProtection="1">
      <alignment horizontal="center"/>
      <protection locked="0"/>
    </xf>
    <xf numFmtId="14" fontId="18" fillId="6" borderId="471" xfId="0" applyNumberFormat="1" applyFont="1" applyFill="1" applyBorder="1" applyProtection="1"/>
    <xf numFmtId="0" fontId="21" fillId="0" borderId="455" xfId="0" applyFont="1" applyBorder="1" applyProtection="1"/>
    <xf numFmtId="5" fontId="22" fillId="18" borderId="450" xfId="0" applyNumberFormat="1" applyFont="1" applyFill="1" applyBorder="1" applyAlignment="1" applyProtection="1">
      <alignment horizontal="center"/>
    </xf>
    <xf numFmtId="5" fontId="22" fillId="18" borderId="332" xfId="0" applyNumberFormat="1" applyFont="1" applyFill="1" applyBorder="1" applyAlignment="1" applyProtection="1">
      <alignment horizontal="center"/>
    </xf>
    <xf numFmtId="5" fontId="22" fillId="18" borderId="603" xfId="0" applyNumberFormat="1" applyFont="1" applyFill="1" applyBorder="1" applyAlignment="1" applyProtection="1">
      <alignment horizontal="center"/>
    </xf>
    <xf numFmtId="166" fontId="43" fillId="0" borderId="480" xfId="0" applyNumberFormat="1" applyFont="1" applyFill="1" applyBorder="1" applyProtection="1">
      <protection locked="0"/>
    </xf>
    <xf numFmtId="166" fontId="43" fillId="0" borderId="481" xfId="0" applyNumberFormat="1" applyFont="1" applyFill="1" applyBorder="1" applyProtection="1">
      <protection locked="0"/>
    </xf>
    <xf numFmtId="166" fontId="43" fillId="0" borderId="482" xfId="0" applyNumberFormat="1" applyFont="1" applyFill="1" applyBorder="1" applyProtection="1">
      <protection locked="0"/>
    </xf>
    <xf numFmtId="5" fontId="43" fillId="6" borderId="477" xfId="0" applyNumberFormat="1" applyFont="1" applyFill="1" applyBorder="1" applyProtection="1"/>
    <xf numFmtId="0" fontId="0" fillId="0" borderId="0" xfId="0" applyBorder="1" applyProtection="1"/>
    <xf numFmtId="14" fontId="18" fillId="0" borderId="471" xfId="0" applyNumberFormat="1" applyFont="1" applyBorder="1" applyProtection="1">
      <protection locked="0"/>
    </xf>
    <xf numFmtId="3" fontId="18" fillId="0" borderId="455" xfId="0" applyNumberFormat="1" applyFont="1" applyBorder="1" applyProtection="1"/>
    <xf numFmtId="5" fontId="22" fillId="18" borderId="604" xfId="0" applyNumberFormat="1" applyFont="1" applyFill="1" applyBorder="1" applyAlignment="1" applyProtection="1">
      <alignment horizontal="center"/>
    </xf>
    <xf numFmtId="5" fontId="43" fillId="0" borderId="332" xfId="0" applyNumberFormat="1" applyFont="1" applyFill="1" applyBorder="1" applyProtection="1"/>
    <xf numFmtId="5" fontId="43" fillId="0" borderId="455" xfId="0" applyNumberFormat="1" applyFont="1" applyFill="1" applyBorder="1" applyProtection="1"/>
    <xf numFmtId="5" fontId="43" fillId="0" borderId="446" xfId="0" applyNumberFormat="1" applyFont="1" applyFill="1" applyBorder="1" applyProtection="1"/>
    <xf numFmtId="0" fontId="18" fillId="0" borderId="332" xfId="0" applyFont="1" applyBorder="1" applyProtection="1"/>
    <xf numFmtId="3" fontId="18" fillId="0" borderId="455" xfId="0" applyNumberFormat="1" applyFont="1" applyFill="1" applyBorder="1" applyProtection="1"/>
    <xf numFmtId="5" fontId="46" fillId="0" borderId="455" xfId="0" applyNumberFormat="1" applyFont="1" applyFill="1" applyBorder="1" applyAlignment="1" applyProtection="1">
      <alignment horizontal="center"/>
    </xf>
    <xf numFmtId="0" fontId="18" fillId="0" borderId="455" xfId="0" applyNumberFormat="1" applyFont="1" applyBorder="1" applyProtection="1"/>
    <xf numFmtId="0" fontId="18" fillId="0" borderId="455" xfId="0" applyFont="1" applyBorder="1" applyProtection="1"/>
    <xf numFmtId="0" fontId="43" fillId="0" borderId="605" xfId="0" applyFont="1" applyFill="1" applyBorder="1" applyAlignment="1" applyProtection="1">
      <alignment horizontal="left" vertical="center"/>
    </xf>
    <xf numFmtId="0" fontId="43" fillId="0" borderId="606" xfId="0" applyFont="1" applyFill="1" applyBorder="1" applyAlignment="1" applyProtection="1">
      <alignment vertical="center"/>
    </xf>
    <xf numFmtId="0" fontId="18" fillId="0" borderId="290" xfId="0" applyFont="1" applyFill="1" applyBorder="1" applyProtection="1"/>
    <xf numFmtId="0" fontId="18" fillId="0" borderId="608" xfId="0" applyFont="1" applyFill="1" applyBorder="1" applyProtection="1"/>
    <xf numFmtId="0" fontId="18" fillId="0" borderId="289" xfId="0" applyFont="1" applyFill="1" applyBorder="1" applyProtection="1"/>
    <xf numFmtId="0" fontId="18" fillId="0" borderId="294" xfId="0" applyFont="1" applyFill="1" applyBorder="1" applyProtection="1"/>
    <xf numFmtId="0" fontId="18" fillId="0" borderId="295" xfId="0" applyFont="1" applyFill="1" applyBorder="1" applyProtection="1"/>
    <xf numFmtId="0" fontId="19" fillId="0" borderId="92" xfId="0" applyFont="1" applyFill="1" applyBorder="1" applyAlignment="1" applyProtection="1"/>
    <xf numFmtId="0" fontId="26" fillId="0" borderId="0" xfId="0" applyFont="1" applyFill="1" applyProtection="1"/>
    <xf numFmtId="0" fontId="51" fillId="0" borderId="1" xfId="0" applyFont="1" applyFill="1" applyBorder="1" applyAlignment="1" applyProtection="1">
      <alignment horizontal="center" vertical="top"/>
    </xf>
    <xf numFmtId="0" fontId="26" fillId="0" borderId="0" xfId="0" applyFont="1" applyProtection="1"/>
    <xf numFmtId="0" fontId="23" fillId="18" borderId="0" xfId="0" applyFont="1" applyFill="1" applyBorder="1" applyProtection="1"/>
    <xf numFmtId="0" fontId="18" fillId="0" borderId="0" xfId="0" applyFont="1" applyFill="1" applyBorder="1" applyAlignment="1" applyProtection="1"/>
    <xf numFmtId="0" fontId="18" fillId="0" borderId="0" xfId="0" applyFont="1" applyFill="1" applyBorder="1" applyAlignment="1" applyProtection="1">
      <alignment horizontal="right" vertical="center"/>
    </xf>
    <xf numFmtId="0" fontId="18" fillId="0" borderId="13" xfId="0" applyFont="1" applyFill="1" applyBorder="1" applyAlignment="1" applyProtection="1">
      <alignment horizontal="left" vertical="top" wrapText="1"/>
      <protection locked="0"/>
    </xf>
    <xf numFmtId="0" fontId="18" fillId="0" borderId="17" xfId="0" applyFont="1" applyFill="1" applyBorder="1" applyAlignment="1" applyProtection="1">
      <alignment horizontal="left" vertical="top" wrapText="1"/>
      <protection locked="0"/>
    </xf>
    <xf numFmtId="0" fontId="18" fillId="0" borderId="19" xfId="0" applyFont="1" applyFill="1" applyBorder="1" applyAlignment="1" applyProtection="1">
      <alignment horizontal="left" vertical="top" wrapText="1"/>
      <protection locked="0"/>
    </xf>
    <xf numFmtId="0" fontId="18" fillId="0" borderId="23"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4" xfId="0" applyFont="1" applyFill="1" applyBorder="1" applyAlignment="1" applyProtection="1">
      <alignment horizontal="left" vertical="top" wrapText="1"/>
      <protection locked="0"/>
    </xf>
    <xf numFmtId="0" fontId="18" fillId="0" borderId="14" xfId="0" applyFont="1" applyFill="1" applyBorder="1" applyAlignment="1" applyProtection="1">
      <alignment horizontal="left" vertical="top" wrapText="1"/>
      <protection locked="0"/>
    </xf>
    <xf numFmtId="0" fontId="18" fillId="0" borderId="5" xfId="0" applyFont="1" applyFill="1" applyBorder="1" applyAlignment="1" applyProtection="1">
      <alignment horizontal="left" vertical="top" wrapText="1"/>
      <protection locked="0"/>
    </xf>
    <xf numFmtId="0" fontId="18" fillId="0" borderId="20" xfId="0" applyFont="1" applyFill="1" applyBorder="1" applyAlignment="1" applyProtection="1">
      <alignment horizontal="left" vertical="top" wrapText="1"/>
      <protection locked="0"/>
    </xf>
    <xf numFmtId="0" fontId="18" fillId="0" borderId="23" xfId="0" applyFont="1" applyFill="1" applyBorder="1" applyAlignment="1" applyProtection="1">
      <alignment horizontal="right" vertical="center"/>
    </xf>
    <xf numFmtId="0" fontId="18" fillId="0" borderId="24" xfId="0" applyFont="1" applyFill="1" applyBorder="1" applyAlignment="1" applyProtection="1">
      <alignment horizontal="right" vertical="center"/>
    </xf>
    <xf numFmtId="0" fontId="18" fillId="0" borderId="5" xfId="0" applyFont="1" applyFill="1" applyBorder="1" applyAlignment="1" applyProtection="1">
      <alignment horizontal="left"/>
      <protection locked="0"/>
    </xf>
    <xf numFmtId="0" fontId="18" fillId="0" borderId="5" xfId="0" applyFont="1" applyFill="1" applyBorder="1" applyProtection="1">
      <protection locked="0"/>
    </xf>
    <xf numFmtId="0" fontId="19" fillId="0" borderId="5" xfId="0" applyFont="1" applyFill="1" applyBorder="1" applyAlignment="1" applyProtection="1">
      <alignment horizontal="left"/>
      <protection locked="0"/>
    </xf>
    <xf numFmtId="0" fontId="51" fillId="0" borderId="0" xfId="0" applyFont="1" applyFill="1" applyBorder="1" applyAlignment="1" applyProtection="1">
      <alignment horizontal="left" vertical="top" wrapText="1"/>
    </xf>
    <xf numFmtId="0" fontId="22" fillId="0" borderId="5" xfId="0" applyFont="1" applyFill="1" applyBorder="1" applyAlignment="1" applyProtection="1">
      <alignment horizontal="left"/>
      <protection locked="0"/>
    </xf>
    <xf numFmtId="0" fontId="99" fillId="0" borderId="5" xfId="1" applyFont="1" applyFill="1" applyBorder="1" applyProtection="1">
      <protection locked="0"/>
    </xf>
    <xf numFmtId="0" fontId="18" fillId="6" borderId="5" xfId="0" applyFont="1" applyFill="1" applyBorder="1" applyProtection="1"/>
    <xf numFmtId="0" fontId="23" fillId="18" borderId="0" xfId="0" applyFont="1" applyFill="1" applyBorder="1" applyAlignment="1" applyProtection="1">
      <alignment horizontal="left"/>
    </xf>
    <xf numFmtId="0" fontId="3" fillId="6" borderId="5" xfId="0" applyFont="1" applyFill="1" applyBorder="1" applyAlignment="1" applyProtection="1"/>
    <xf numFmtId="0" fontId="23" fillId="18" borderId="0" xfId="0" applyFont="1" applyFill="1" applyBorder="1" applyAlignment="1" applyProtection="1">
      <alignment vertical="center"/>
    </xf>
    <xf numFmtId="0" fontId="18" fillId="18" borderId="130" xfId="0" applyFont="1" applyFill="1" applyBorder="1" applyAlignment="1" applyProtection="1">
      <alignment horizontal="center" vertical="center" wrapText="1"/>
    </xf>
    <xf numFmtId="0" fontId="2" fillId="14" borderId="245" xfId="0" applyFont="1" applyFill="1" applyBorder="1" applyAlignment="1" applyProtection="1">
      <alignment horizontal="center"/>
    </xf>
    <xf numFmtId="0" fontId="2" fillId="14" borderId="7" xfId="0" applyFont="1" applyFill="1" applyBorder="1" applyAlignment="1" applyProtection="1">
      <alignment horizontal="center"/>
    </xf>
    <xf numFmtId="0" fontId="19" fillId="18" borderId="287" xfId="0" applyFont="1" applyFill="1" applyBorder="1" applyAlignment="1" applyProtection="1">
      <alignment horizontal="center" vertical="center" wrapText="1"/>
    </xf>
    <xf numFmtId="0" fontId="19" fillId="18" borderId="20" xfId="0" applyFont="1" applyFill="1" applyBorder="1" applyAlignment="1" applyProtection="1">
      <alignment horizontal="center" vertical="center" wrapText="1"/>
    </xf>
    <xf numFmtId="0" fontId="18" fillId="18" borderId="264" xfId="0" applyFont="1" applyFill="1" applyBorder="1" applyAlignment="1" applyProtection="1">
      <alignment horizontal="center" vertical="center" wrapText="1"/>
    </xf>
    <xf numFmtId="0" fontId="18" fillId="18" borderId="24" xfId="0" applyFont="1" applyFill="1" applyBorder="1" applyAlignment="1" applyProtection="1">
      <alignment horizontal="center" vertical="center" wrapText="1"/>
    </xf>
    <xf numFmtId="0" fontId="18" fillId="18" borderId="2" xfId="0" applyFont="1" applyFill="1" applyBorder="1" applyAlignment="1" applyProtection="1">
      <alignment horizontal="center" vertical="center" wrapText="1"/>
    </xf>
    <xf numFmtId="0" fontId="18" fillId="18" borderId="265" xfId="0" applyFont="1" applyFill="1" applyBorder="1" applyAlignment="1" applyProtection="1">
      <alignment horizontal="center" vertical="center" wrapText="1"/>
    </xf>
    <xf numFmtId="0" fontId="18" fillId="18" borderId="3" xfId="0" applyFont="1" applyFill="1" applyBorder="1" applyAlignment="1" applyProtection="1">
      <alignment horizontal="center" vertical="center" wrapText="1"/>
    </xf>
    <xf numFmtId="0" fontId="18" fillId="18" borderId="229" xfId="0" applyFont="1" applyFill="1" applyBorder="1" applyAlignment="1" applyProtection="1">
      <alignment horizontal="center" vertical="center" wrapText="1"/>
    </xf>
    <xf numFmtId="0" fontId="18" fillId="18" borderId="14" xfId="0" applyFont="1" applyFill="1" applyBorder="1" applyAlignment="1" applyProtection="1">
      <alignment horizontal="center" vertical="center" wrapText="1"/>
    </xf>
    <xf numFmtId="0" fontId="84" fillId="18" borderId="0" xfId="0" applyFont="1" applyFill="1" applyBorder="1" applyProtection="1"/>
    <xf numFmtId="16" fontId="1" fillId="0" borderId="541" xfId="0" applyNumberFormat="1" applyFont="1" applyFill="1" applyBorder="1" applyProtection="1"/>
    <xf numFmtId="16" fontId="1" fillId="0" borderId="517" xfId="0" applyNumberFormat="1" applyFont="1" applyFill="1" applyBorder="1" applyProtection="1"/>
    <xf numFmtId="16" fontId="1" fillId="0" borderId="513" xfId="0" applyNumberFormat="1" applyFont="1" applyFill="1" applyBorder="1" applyProtection="1"/>
    <xf numFmtId="16" fontId="1" fillId="0" borderId="500" xfId="0" applyNumberFormat="1" applyFont="1" applyFill="1" applyBorder="1" applyProtection="1"/>
    <xf numFmtId="16" fontId="1" fillId="0" borderId="516" xfId="0" applyNumberFormat="1" applyFont="1" applyFill="1" applyBorder="1" applyProtection="1"/>
    <xf numFmtId="16" fontId="1" fillId="0" borderId="514" xfId="0" applyNumberFormat="1" applyFont="1" applyFill="1" applyBorder="1" applyProtection="1"/>
    <xf numFmtId="16" fontId="1" fillId="0" borderId="499" xfId="0" applyNumberFormat="1" applyFont="1" applyFill="1" applyBorder="1" applyProtection="1"/>
    <xf numFmtId="16" fontId="1" fillId="0" borderId="515" xfId="0" applyNumberFormat="1" applyFont="1" applyFill="1" applyBorder="1" applyProtection="1"/>
    <xf numFmtId="16" fontId="1" fillId="0" borderId="512" xfId="0" applyNumberFormat="1" applyFont="1" applyFill="1" applyBorder="1" applyProtection="1"/>
    <xf numFmtId="16" fontId="0" fillId="0" borderId="500" xfId="0" applyNumberFormat="1" applyFont="1" applyFill="1" applyBorder="1" applyProtection="1"/>
    <xf numFmtId="16" fontId="0" fillId="0" borderId="516" xfId="0" applyNumberFormat="1" applyFont="1" applyFill="1" applyBorder="1" applyProtection="1"/>
    <xf numFmtId="16" fontId="0" fillId="0" borderId="514" xfId="0" applyNumberFormat="1" applyFont="1" applyFill="1" applyBorder="1" applyProtection="1"/>
    <xf numFmtId="0" fontId="17" fillId="0" borderId="500" xfId="0" applyFont="1" applyFill="1" applyBorder="1" applyProtection="1"/>
    <xf numFmtId="0" fontId="17" fillId="0" borderId="516" xfId="0" applyFont="1" applyFill="1" applyBorder="1" applyProtection="1"/>
    <xf numFmtId="0" fontId="17" fillId="0" borderId="514" xfId="0" applyFont="1" applyFill="1" applyBorder="1" applyProtection="1"/>
    <xf numFmtId="16" fontId="1" fillId="0" borderId="500" xfId="0" applyNumberFormat="1" applyFont="1" applyFill="1" applyBorder="1" applyAlignment="1" applyProtection="1">
      <alignment vertical="top"/>
    </xf>
    <xf numFmtId="16" fontId="1" fillId="0" borderId="516" xfId="0" applyNumberFormat="1" applyFont="1" applyFill="1" applyBorder="1" applyAlignment="1" applyProtection="1">
      <alignment vertical="top"/>
    </xf>
    <xf numFmtId="16" fontId="1" fillId="0" borderId="514" xfId="0" applyNumberFormat="1" applyFont="1" applyFill="1" applyBorder="1" applyAlignment="1" applyProtection="1">
      <alignment vertical="top"/>
    </xf>
    <xf numFmtId="16" fontId="26" fillId="0" borderId="499" xfId="0" applyNumberFormat="1" applyFont="1" applyFill="1" applyBorder="1" applyAlignment="1" applyProtection="1"/>
    <xf numFmtId="16" fontId="26" fillId="0" borderId="515" xfId="0" applyNumberFormat="1" applyFont="1" applyFill="1" applyBorder="1" applyAlignment="1" applyProtection="1"/>
    <xf numFmtId="16" fontId="26" fillId="0" borderId="512" xfId="0" applyNumberFormat="1" applyFont="1" applyFill="1" applyBorder="1" applyAlignment="1" applyProtection="1"/>
    <xf numFmtId="0" fontId="17" fillId="0" borderId="541" xfId="0" applyFont="1" applyFill="1" applyBorder="1" applyAlignment="1" applyProtection="1"/>
    <xf numFmtId="0" fontId="17" fillId="0" borderId="517" xfId="0" applyFont="1" applyFill="1" applyBorder="1" applyAlignment="1" applyProtection="1"/>
    <xf numFmtId="0" fontId="17" fillId="0" borderId="513" xfId="0" applyFont="1" applyFill="1" applyBorder="1" applyAlignment="1" applyProtection="1"/>
    <xf numFmtId="0" fontId="17" fillId="0" borderId="500" xfId="0" applyFont="1" applyFill="1" applyBorder="1" applyAlignment="1" applyProtection="1"/>
    <xf numFmtId="0" fontId="17" fillId="0" borderId="516" xfId="0" applyFont="1" applyFill="1" applyBorder="1" applyAlignment="1" applyProtection="1"/>
    <xf numFmtId="0" fontId="17" fillId="0" borderId="514" xfId="0" applyFont="1" applyFill="1" applyBorder="1" applyAlignment="1" applyProtection="1"/>
    <xf numFmtId="16" fontId="0" fillId="0" borderId="500" xfId="0" applyNumberFormat="1" applyFont="1" applyFill="1" applyBorder="1" applyAlignment="1" applyProtection="1"/>
    <xf numFmtId="16" fontId="1" fillId="0" borderId="516" xfId="0" applyNumberFormat="1" applyFont="1" applyFill="1" applyBorder="1" applyAlignment="1" applyProtection="1"/>
    <xf numFmtId="16" fontId="1" fillId="0" borderId="514" xfId="0" applyNumberFormat="1" applyFont="1" applyFill="1" applyBorder="1" applyAlignment="1" applyProtection="1"/>
    <xf numFmtId="16" fontId="1" fillId="0" borderId="536" xfId="0" applyNumberFormat="1" applyFont="1" applyFill="1" applyBorder="1" applyProtection="1"/>
    <xf numFmtId="16" fontId="1" fillId="0" borderId="537" xfId="0" applyNumberFormat="1" applyFont="1" applyFill="1" applyBorder="1" applyProtection="1"/>
    <xf numFmtId="16" fontId="1" fillId="0" borderId="538" xfId="0" applyNumberFormat="1" applyFont="1" applyFill="1" applyBorder="1" applyProtection="1"/>
    <xf numFmtId="16" fontId="1" fillId="0" borderId="539" xfId="0" applyNumberFormat="1" applyFont="1" applyFill="1" applyBorder="1" applyProtection="1"/>
    <xf numFmtId="16" fontId="1" fillId="0" borderId="535" xfId="0" applyNumberFormat="1" applyFont="1" applyFill="1" applyBorder="1" applyProtection="1"/>
    <xf numFmtId="16" fontId="0" fillId="0" borderId="499" xfId="0" applyNumberFormat="1" applyFont="1" applyFill="1" applyBorder="1" applyProtection="1"/>
    <xf numFmtId="16" fontId="0" fillId="0" borderId="515" xfId="0" applyNumberFormat="1" applyFont="1" applyFill="1" applyBorder="1" applyProtection="1"/>
    <xf numFmtId="16" fontId="0" fillId="0" borderId="512" xfId="0" applyNumberFormat="1" applyFont="1" applyFill="1" applyBorder="1" applyProtection="1"/>
    <xf numFmtId="16" fontId="0" fillId="0" borderId="536" xfId="0" applyNumberFormat="1" applyFont="1" applyFill="1" applyBorder="1" applyProtection="1"/>
    <xf numFmtId="16" fontId="1" fillId="0" borderId="536" xfId="0" applyNumberFormat="1" applyFont="1" applyFill="1" applyBorder="1" applyAlignment="1" applyProtection="1">
      <alignment vertical="top"/>
    </xf>
    <xf numFmtId="16" fontId="1" fillId="0" borderId="537" xfId="0" applyNumberFormat="1" applyFont="1" applyFill="1" applyBorder="1" applyAlignment="1" applyProtection="1">
      <alignment vertical="top"/>
    </xf>
    <xf numFmtId="16" fontId="1" fillId="0" borderId="534" xfId="0" applyNumberFormat="1" applyFont="1" applyFill="1" applyBorder="1" applyProtection="1"/>
    <xf numFmtId="16" fontId="1" fillId="0" borderId="530" xfId="0" applyNumberFormat="1" applyFont="1" applyFill="1" applyBorder="1" applyProtection="1"/>
    <xf numFmtId="16" fontId="1" fillId="0" borderId="510" xfId="0" applyNumberFormat="1" applyFont="1" applyFill="1" applyBorder="1" applyProtection="1"/>
    <xf numFmtId="16" fontId="1" fillId="0" borderId="531" xfId="0" applyNumberFormat="1" applyFont="1" applyFill="1" applyBorder="1" applyProtection="1"/>
    <xf numFmtId="0" fontId="1" fillId="0" borderId="532" xfId="0" applyFont="1" applyFill="1" applyBorder="1" applyProtection="1"/>
    <xf numFmtId="0" fontId="1" fillId="0" borderId="509" xfId="0" applyFont="1" applyFill="1" applyBorder="1" applyProtection="1"/>
    <xf numFmtId="0" fontId="1" fillId="0" borderId="533" xfId="0" applyFont="1" applyFill="1" applyBorder="1" applyProtection="1"/>
    <xf numFmtId="0" fontId="2" fillId="18" borderId="430" xfId="0" applyFont="1" applyFill="1" applyBorder="1" applyAlignment="1" applyProtection="1"/>
    <xf numFmtId="0" fontId="2" fillId="18" borderId="431" xfId="0" applyFont="1" applyFill="1" applyBorder="1" applyAlignment="1" applyProtection="1"/>
    <xf numFmtId="0" fontId="3" fillId="0" borderId="13"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1" fillId="5" borderId="80" xfId="0" applyFont="1" applyFill="1" applyBorder="1" applyAlignment="1" applyProtection="1">
      <protection locked="0"/>
    </xf>
    <xf numFmtId="0" fontId="1" fillId="5" borderId="81" xfId="0" applyFont="1" applyFill="1" applyBorder="1" applyAlignment="1" applyProtection="1">
      <protection locked="0"/>
    </xf>
    <xf numFmtId="0" fontId="1" fillId="5" borderId="87" xfId="0" applyFont="1" applyFill="1" applyBorder="1" applyAlignment="1" applyProtection="1">
      <protection locked="0"/>
    </xf>
    <xf numFmtId="0" fontId="1" fillId="5" borderId="90" xfId="0" applyFont="1" applyFill="1" applyBorder="1" applyAlignment="1" applyProtection="1">
      <protection locked="0"/>
    </xf>
    <xf numFmtId="0" fontId="26" fillId="5" borderId="387" xfId="0" applyFont="1" applyFill="1" applyBorder="1" applyAlignment="1" applyProtection="1">
      <protection locked="0"/>
    </xf>
    <xf numFmtId="0" fontId="26" fillId="5" borderId="142" xfId="0" applyFont="1" applyFill="1" applyBorder="1" applyAlignment="1" applyProtection="1">
      <protection locked="0"/>
    </xf>
    <xf numFmtId="0" fontId="26" fillId="5" borderId="80" xfId="0" applyFont="1" applyFill="1" applyBorder="1" applyAlignment="1" applyProtection="1">
      <protection locked="0"/>
    </xf>
    <xf numFmtId="0" fontId="26" fillId="5" borderId="81" xfId="0" applyFont="1" applyFill="1" applyBorder="1" applyAlignment="1" applyProtection="1">
      <protection locked="0"/>
    </xf>
    <xf numFmtId="0" fontId="22" fillId="3" borderId="426" xfId="0" applyFont="1" applyFill="1" applyBorder="1" applyAlignment="1" applyProtection="1">
      <alignment wrapText="1"/>
    </xf>
    <xf numFmtId="0" fontId="22" fillId="3" borderId="433" xfId="0" applyFont="1" applyFill="1" applyBorder="1" applyAlignment="1" applyProtection="1">
      <alignment wrapText="1"/>
    </xf>
    <xf numFmtId="0" fontId="3" fillId="3" borderId="13" xfId="0" applyFont="1" applyFill="1" applyBorder="1" applyAlignment="1" applyProtection="1">
      <alignment horizontal="left" vertical="top" wrapText="1"/>
      <protection locked="0"/>
    </xf>
    <xf numFmtId="0" fontId="3" fillId="3" borderId="17"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3"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4" xfId="0" applyFont="1" applyFill="1" applyBorder="1" applyAlignment="1" applyProtection="1">
      <alignment horizontal="left" vertical="top" wrapText="1"/>
      <protection locked="0"/>
    </xf>
    <xf numFmtId="0" fontId="3" fillId="3" borderId="14" xfId="0" applyFont="1" applyFill="1" applyBorder="1" applyAlignment="1" applyProtection="1">
      <alignment horizontal="left" vertical="top" wrapText="1"/>
      <protection locked="0"/>
    </xf>
    <xf numFmtId="0" fontId="3" fillId="3" borderId="5" xfId="0" applyFont="1" applyFill="1" applyBorder="1" applyAlignment="1" applyProtection="1">
      <alignment horizontal="left" vertical="top" wrapText="1"/>
      <protection locked="0"/>
    </xf>
    <xf numFmtId="0" fontId="3" fillId="3" borderId="20" xfId="0" applyFont="1" applyFill="1" applyBorder="1" applyAlignment="1" applyProtection="1">
      <alignment horizontal="left" vertical="top" wrapText="1"/>
      <protection locked="0"/>
    </xf>
    <xf numFmtId="0" fontId="23" fillId="18" borderId="0" xfId="0" applyFont="1" applyFill="1" applyBorder="1" applyAlignment="1" applyProtection="1"/>
    <xf numFmtId="0" fontId="3" fillId="0" borderId="87" xfId="0" applyFont="1" applyFill="1" applyBorder="1" applyAlignment="1" applyProtection="1">
      <alignment vertical="center" wrapText="1"/>
      <protection locked="0"/>
    </xf>
    <xf numFmtId="0" fontId="3" fillId="0" borderId="90" xfId="0" applyFont="1" applyFill="1" applyBorder="1" applyAlignment="1" applyProtection="1">
      <alignment vertical="center" wrapText="1"/>
      <protection locked="0"/>
    </xf>
    <xf numFmtId="0" fontId="3" fillId="0" borderId="80" xfId="0" applyFont="1" applyBorder="1" applyAlignment="1" applyProtection="1">
      <alignment vertical="center" wrapText="1"/>
      <protection locked="0"/>
    </xf>
    <xf numFmtId="0" fontId="3" fillId="0" borderId="81" xfId="0" applyFont="1" applyBorder="1" applyAlignment="1" applyProtection="1">
      <alignment vertical="center" wrapText="1"/>
      <protection locked="0"/>
    </xf>
    <xf numFmtId="0" fontId="3" fillId="0" borderId="80" xfId="0" applyFont="1" applyFill="1" applyBorder="1" applyAlignment="1" applyProtection="1">
      <alignment vertical="center"/>
      <protection locked="0"/>
    </xf>
    <xf numFmtId="0" fontId="3" fillId="0" borderId="81" xfId="0" applyFont="1" applyFill="1" applyBorder="1" applyAlignment="1" applyProtection="1">
      <alignment vertical="center"/>
      <protection locked="0"/>
    </xf>
    <xf numFmtId="0" fontId="6" fillId="18" borderId="426" xfId="0" applyFont="1" applyFill="1" applyBorder="1" applyAlignment="1" applyProtection="1">
      <alignment vertical="center" wrapText="1"/>
    </xf>
    <xf numFmtId="0" fontId="6" fillId="18" borderId="438" xfId="0" applyFont="1" applyFill="1" applyBorder="1" applyAlignment="1" applyProtection="1">
      <alignment vertical="center" wrapText="1"/>
    </xf>
    <xf numFmtId="0" fontId="3" fillId="6" borderId="5" xfId="0" applyFont="1" applyFill="1" applyBorder="1" applyAlignment="1" applyProtection="1">
      <alignment horizontal="left" vertical="center"/>
    </xf>
    <xf numFmtId="0" fontId="3" fillId="0" borderId="447" xfId="0" applyFont="1" applyBorder="1" applyAlignment="1" applyProtection="1">
      <alignment vertical="center" wrapText="1"/>
      <protection locked="0"/>
    </xf>
    <xf numFmtId="0" fontId="3" fillId="0" borderId="452" xfId="0" applyFont="1" applyBorder="1" applyAlignment="1" applyProtection="1">
      <alignment vertical="center" wrapText="1"/>
      <protection locked="0"/>
    </xf>
    <xf numFmtId="0" fontId="3" fillId="0" borderId="80" xfId="0" applyFont="1" applyFill="1" applyBorder="1" applyAlignment="1" applyProtection="1">
      <alignment horizontal="left" vertical="center" wrapText="1"/>
      <protection locked="0"/>
    </xf>
    <xf numFmtId="0" fontId="3" fillId="0" borderId="81" xfId="0" applyFont="1" applyFill="1" applyBorder="1" applyAlignment="1" applyProtection="1">
      <alignment horizontal="left" vertical="center" wrapText="1"/>
      <protection locked="0"/>
    </xf>
    <xf numFmtId="0" fontId="3" fillId="0" borderId="8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3" fillId="0" borderId="80" xfId="0" applyFont="1" applyFill="1" applyBorder="1" applyAlignment="1" applyProtection="1">
      <alignment vertical="center" wrapText="1"/>
      <protection locked="0"/>
    </xf>
    <xf numFmtId="0" fontId="3" fillId="0" borderId="81" xfId="0" applyFont="1" applyFill="1" applyBorder="1" applyAlignment="1" applyProtection="1">
      <alignment vertical="center" wrapText="1"/>
      <protection locked="0"/>
    </xf>
    <xf numFmtId="0" fontId="3" fillId="0" borderId="80"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0" fontId="6" fillId="18" borderId="281" xfId="0" applyFont="1" applyFill="1" applyBorder="1" applyAlignment="1" applyProtection="1">
      <alignment horizontal="left" vertical="center" wrapText="1"/>
    </xf>
    <xf numFmtId="0" fontId="6" fillId="18" borderId="441" xfId="0" applyFont="1" applyFill="1" applyBorder="1" applyAlignment="1" applyProtection="1">
      <alignment horizontal="left" vertical="center" wrapText="1"/>
    </xf>
    <xf numFmtId="0" fontId="3" fillId="0" borderId="80"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94" xfId="0" applyFont="1" applyBorder="1" applyAlignment="1" applyProtection="1">
      <alignment vertical="center" wrapText="1"/>
      <protection locked="0"/>
    </xf>
    <xf numFmtId="0" fontId="3" fillId="0" borderId="89" xfId="0" applyFont="1" applyBorder="1" applyAlignment="1" applyProtection="1">
      <alignment vertical="center" wrapText="1"/>
      <protection locked="0"/>
    </xf>
    <xf numFmtId="5" fontId="27" fillId="0" borderId="78" xfId="0" applyNumberFormat="1" applyFont="1" applyBorder="1" applyAlignment="1" applyProtection="1">
      <alignment vertical="center"/>
      <protection locked="0"/>
    </xf>
    <xf numFmtId="5" fontId="27" fillId="0" borderId="76" xfId="0" applyNumberFormat="1" applyFont="1" applyBorder="1" applyAlignment="1" applyProtection="1">
      <alignment vertical="center"/>
      <protection locked="0"/>
    </xf>
    <xf numFmtId="5" fontId="27" fillId="0" borderId="79" xfId="0" applyNumberFormat="1" applyFont="1" applyBorder="1" applyAlignment="1" applyProtection="1">
      <alignment vertical="center"/>
      <protection locked="0"/>
    </xf>
    <xf numFmtId="5" fontId="23" fillId="18" borderId="0" xfId="0" applyNumberFormat="1" applyFont="1" applyFill="1" applyBorder="1" applyProtection="1"/>
    <xf numFmtId="5" fontId="30" fillId="14" borderId="72" xfId="0" applyNumberFormat="1" applyFont="1" applyFill="1" applyBorder="1" applyAlignment="1" applyProtection="1">
      <alignment horizontal="center"/>
    </xf>
    <xf numFmtId="5" fontId="30" fillId="14" borderId="223" xfId="0" applyNumberFormat="1" applyFont="1" applyFill="1" applyBorder="1" applyAlignment="1" applyProtection="1">
      <alignment horizontal="center"/>
    </xf>
    <xf numFmtId="5" fontId="30" fillId="7" borderId="221" xfId="0" applyNumberFormat="1" applyFont="1" applyFill="1" applyBorder="1" applyAlignment="1" applyProtection="1">
      <alignment horizontal="center"/>
    </xf>
    <xf numFmtId="5" fontId="30" fillId="7" borderId="72" xfId="0" applyNumberFormat="1" applyFont="1" applyFill="1" applyBorder="1" applyAlignment="1" applyProtection="1">
      <alignment horizontal="center"/>
    </xf>
    <xf numFmtId="5" fontId="30" fillId="7" borderId="332" xfId="0" applyNumberFormat="1" applyFont="1" applyFill="1" applyBorder="1" applyAlignment="1" applyProtection="1">
      <alignment horizontal="center"/>
    </xf>
    <xf numFmtId="5" fontId="29" fillId="10" borderId="225" xfId="0" applyNumberFormat="1" applyFont="1" applyFill="1" applyBorder="1" applyAlignment="1" applyProtection="1">
      <alignment horizontal="center" vertical="center" wrapText="1"/>
    </xf>
    <xf numFmtId="5" fontId="29" fillId="10" borderId="130" xfId="0" applyNumberFormat="1" applyFont="1" applyFill="1" applyBorder="1" applyAlignment="1" applyProtection="1">
      <alignment horizontal="center" vertical="center" wrapText="1"/>
    </xf>
    <xf numFmtId="5" fontId="29" fillId="10" borderId="4" xfId="0" applyNumberFormat="1" applyFont="1" applyFill="1" applyBorder="1" applyAlignment="1" applyProtection="1">
      <alignment horizontal="center" vertical="center" wrapText="1"/>
    </xf>
    <xf numFmtId="5" fontId="29" fillId="7" borderId="129" xfId="0" applyNumberFormat="1" applyFont="1" applyFill="1" applyBorder="1" applyAlignment="1" applyProtection="1">
      <alignment horizontal="center" vertical="center" wrapText="1"/>
    </xf>
    <xf numFmtId="5" fontId="29" fillId="7" borderId="22" xfId="0" applyNumberFormat="1" applyFont="1" applyFill="1" applyBorder="1" applyAlignment="1" applyProtection="1">
      <alignment horizontal="center" vertical="center" wrapText="1"/>
    </xf>
    <xf numFmtId="5" fontId="29" fillId="14" borderId="24" xfId="0" applyNumberFormat="1" applyFont="1" applyFill="1" applyBorder="1" applyAlignment="1" applyProtection="1">
      <alignment horizontal="center" vertical="center" wrapText="1"/>
    </xf>
    <xf numFmtId="5" fontId="29" fillId="14" borderId="26" xfId="0" applyNumberFormat="1" applyFont="1" applyFill="1" applyBorder="1" applyAlignment="1" applyProtection="1">
      <alignment horizontal="center" vertical="center" wrapText="1"/>
    </xf>
    <xf numFmtId="5" fontId="22" fillId="5" borderId="13" xfId="0" applyNumberFormat="1" applyFont="1" applyFill="1" applyBorder="1" applyAlignment="1" applyProtection="1">
      <alignment horizontal="center" vertical="center" wrapText="1"/>
      <protection locked="0"/>
    </xf>
    <xf numFmtId="5" fontId="22" fillId="5" borderId="16" xfId="0" applyNumberFormat="1" applyFont="1" applyFill="1" applyBorder="1" applyAlignment="1" applyProtection="1">
      <alignment horizontal="center" vertical="center" wrapText="1"/>
      <protection locked="0"/>
    </xf>
    <xf numFmtId="5" fontId="22" fillId="5" borderId="127" xfId="0" applyNumberFormat="1" applyFont="1" applyFill="1" applyBorder="1" applyAlignment="1" applyProtection="1">
      <alignment horizontal="center" vertical="center" wrapText="1"/>
      <protection locked="0"/>
    </xf>
    <xf numFmtId="5" fontId="22" fillId="5" borderId="15" xfId="0" applyNumberFormat="1" applyFont="1" applyFill="1" applyBorder="1" applyAlignment="1" applyProtection="1">
      <alignment horizontal="center" vertical="center" wrapText="1"/>
      <protection locked="0"/>
    </xf>
    <xf numFmtId="5" fontId="22" fillId="5" borderId="137" xfId="0" applyNumberFormat="1" applyFont="1" applyFill="1" applyBorder="1" applyAlignment="1" applyProtection="1">
      <alignment horizontal="center" vertical="center" wrapText="1"/>
      <protection locked="0"/>
    </xf>
    <xf numFmtId="5" fontId="22" fillId="5" borderId="21" xfId="0" applyNumberFormat="1" applyFont="1" applyFill="1" applyBorder="1" applyAlignment="1" applyProtection="1">
      <alignment horizontal="center" vertical="center" wrapText="1"/>
      <protection locked="0"/>
    </xf>
    <xf numFmtId="0" fontId="27" fillId="0" borderId="78" xfId="0" applyFont="1" applyBorder="1" applyAlignment="1" applyProtection="1">
      <alignment horizontal="center" vertical="center"/>
      <protection locked="0"/>
    </xf>
    <xf numFmtId="0" fontId="27" fillId="0" borderId="472" xfId="0" applyFont="1" applyBorder="1" applyAlignment="1" applyProtection="1">
      <alignment horizontal="center" vertical="center"/>
      <protection locked="0"/>
    </xf>
    <xf numFmtId="0" fontId="27" fillId="0" borderId="79" xfId="0" applyFont="1" applyBorder="1" applyAlignment="1" applyProtection="1">
      <alignment horizontal="center" vertical="center"/>
      <protection locked="0"/>
    </xf>
    <xf numFmtId="0" fontId="27" fillId="6" borderId="78" xfId="4" applyFont="1" applyFill="1" applyBorder="1" applyAlignment="1" applyProtection="1"/>
    <xf numFmtId="0" fontId="27" fillId="6" borderId="472" xfId="4" applyFont="1" applyFill="1" applyBorder="1" applyAlignment="1" applyProtection="1"/>
    <xf numFmtId="0" fontId="27" fillId="6" borderId="79" xfId="4" applyFont="1" applyFill="1" applyBorder="1" applyAlignment="1" applyProtection="1"/>
    <xf numFmtId="5" fontId="29" fillId="18" borderId="579" xfId="4" applyNumberFormat="1" applyFont="1" applyFill="1" applyBorder="1" applyAlignment="1" applyProtection="1">
      <alignment vertical="center" wrapText="1"/>
      <protection locked="0"/>
    </xf>
    <xf numFmtId="5" fontId="29" fillId="18" borderId="580" xfId="4" applyNumberFormat="1" applyFont="1" applyFill="1" applyBorder="1" applyAlignment="1" applyProtection="1">
      <alignment vertical="center" wrapText="1"/>
      <protection locked="0"/>
    </xf>
    <xf numFmtId="5" fontId="29" fillId="18" borderId="581" xfId="4" applyNumberFormat="1" applyFont="1" applyFill="1" applyBorder="1" applyAlignment="1" applyProtection="1">
      <alignment vertical="center" wrapText="1"/>
      <protection locked="0"/>
    </xf>
    <xf numFmtId="0" fontId="10" fillId="5" borderId="582" xfId="4" applyNumberFormat="1" applyFont="1" applyFill="1" applyBorder="1" applyAlignment="1" applyProtection="1">
      <alignment vertical="center"/>
      <protection locked="0"/>
    </xf>
    <xf numFmtId="0" fontId="10" fillId="5" borderId="583" xfId="4" applyNumberFormat="1" applyFont="1" applyFill="1" applyBorder="1" applyAlignment="1" applyProtection="1">
      <alignment vertical="center"/>
      <protection locked="0"/>
    </xf>
    <xf numFmtId="0" fontId="10" fillId="5" borderId="584" xfId="4" applyNumberFormat="1" applyFont="1" applyFill="1" applyBorder="1" applyAlignment="1" applyProtection="1">
      <alignment vertical="center"/>
      <protection locked="0"/>
    </xf>
    <xf numFmtId="44" fontId="25" fillId="0" borderId="120" xfId="0" applyNumberFormat="1" applyFont="1" applyFill="1" applyBorder="1" applyAlignment="1" applyProtection="1">
      <alignment vertical="center"/>
      <protection locked="0"/>
    </xf>
    <xf numFmtId="44" fontId="25" fillId="0" borderId="86" xfId="0" applyNumberFormat="1" applyFont="1" applyFill="1" applyBorder="1" applyAlignment="1" applyProtection="1">
      <alignment vertical="center"/>
      <protection locked="0"/>
    </xf>
    <xf numFmtId="44" fontId="25" fillId="0" borderId="445" xfId="0" applyNumberFormat="1" applyFont="1" applyFill="1" applyBorder="1" applyAlignment="1" applyProtection="1">
      <alignment vertical="center"/>
      <protection locked="0"/>
    </xf>
    <xf numFmtId="44" fontId="25" fillId="0" borderId="114" xfId="0" applyNumberFormat="1" applyFont="1" applyFill="1" applyBorder="1" applyAlignment="1" applyProtection="1">
      <alignment vertical="center"/>
      <protection locked="0"/>
    </xf>
    <xf numFmtId="44" fontId="25" fillId="0" borderId="444" xfId="0" applyNumberFormat="1" applyFont="1" applyFill="1" applyBorder="1" applyAlignment="1" applyProtection="1">
      <alignment vertical="center"/>
      <protection locked="0"/>
    </xf>
    <xf numFmtId="44" fontId="25" fillId="0" borderId="448" xfId="0" applyNumberFormat="1" applyFont="1" applyFill="1" applyBorder="1" applyAlignment="1" applyProtection="1">
      <alignment vertical="center"/>
      <protection locked="0"/>
    </xf>
    <xf numFmtId="0" fontId="6" fillId="7" borderId="235" xfId="0" applyFont="1" applyFill="1" applyBorder="1" applyAlignment="1" applyProtection="1">
      <alignment horizontal="center"/>
    </xf>
    <xf numFmtId="0" fontId="6" fillId="7" borderId="442" xfId="0" applyFont="1" applyFill="1" applyBorder="1" applyAlignment="1" applyProtection="1">
      <alignment horizontal="center"/>
    </xf>
    <xf numFmtId="0" fontId="6" fillId="7" borderId="231" xfId="0" applyFont="1" applyFill="1" applyBorder="1" applyAlignment="1" applyProtection="1">
      <alignment horizontal="center"/>
    </xf>
    <xf numFmtId="5" fontId="10" fillId="18" borderId="84" xfId="0" applyNumberFormat="1" applyFont="1" applyFill="1" applyBorder="1" applyAlignment="1" applyProtection="1">
      <alignment horizontal="center" vertical="center" wrapText="1"/>
    </xf>
    <xf numFmtId="5" fontId="10" fillId="18" borderId="83" xfId="0" applyNumberFormat="1" applyFont="1" applyFill="1" applyBorder="1" applyAlignment="1" applyProtection="1">
      <alignment horizontal="center" vertical="center" wrapText="1"/>
    </xf>
    <xf numFmtId="0" fontId="17" fillId="6" borderId="5" xfId="0" applyFont="1" applyFill="1" applyBorder="1" applyAlignment="1" applyProtection="1"/>
    <xf numFmtId="0" fontId="30" fillId="7" borderId="221" xfId="0" applyFont="1" applyFill="1" applyBorder="1" applyAlignment="1" applyProtection="1">
      <alignment horizontal="center"/>
    </xf>
    <xf numFmtId="0" fontId="30" fillId="7" borderId="72" xfId="0" applyFont="1" applyFill="1" applyBorder="1" applyAlignment="1" applyProtection="1">
      <alignment horizontal="center"/>
    </xf>
    <xf numFmtId="0" fontId="30" fillId="7" borderId="223" xfId="0" applyFont="1" applyFill="1" applyBorder="1" applyAlignment="1" applyProtection="1">
      <alignment horizontal="center"/>
    </xf>
    <xf numFmtId="0" fontId="9" fillId="0" borderId="13" xfId="0" applyFont="1" applyBorder="1" applyAlignment="1" applyProtection="1">
      <alignment horizontal="left" vertical="center" wrapText="1"/>
    </xf>
    <xf numFmtId="0" fontId="9" fillId="0" borderId="17" xfId="0" applyFont="1" applyBorder="1" applyAlignment="1" applyProtection="1">
      <alignment horizontal="left" vertical="center" wrapText="1"/>
    </xf>
    <xf numFmtId="0" fontId="9" fillId="0" borderId="19"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0" xfId="0" applyFont="1" applyBorder="1" applyAlignment="1" applyProtection="1">
      <alignment horizontal="left" vertical="center" wrapText="1"/>
    </xf>
    <xf numFmtId="0" fontId="9" fillId="0" borderId="24" xfId="0" applyFont="1" applyBorder="1" applyAlignment="1" applyProtection="1">
      <alignment horizontal="left" vertical="center" wrapText="1"/>
    </xf>
    <xf numFmtId="0" fontId="9" fillId="0" borderId="14"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9" fillId="0" borderId="20" xfId="0" applyFont="1" applyBorder="1" applyAlignment="1" applyProtection="1">
      <alignment horizontal="left" vertical="center" wrapText="1"/>
    </xf>
    <xf numFmtId="0" fontId="19" fillId="18" borderId="78" xfId="0" applyFont="1" applyFill="1" applyBorder="1" applyAlignment="1" applyProtection="1">
      <alignment horizontal="center"/>
    </xf>
    <xf numFmtId="0" fontId="19" fillId="18" borderId="70" xfId="0" applyFont="1" applyFill="1" applyBorder="1" applyAlignment="1" applyProtection="1">
      <alignment horizontal="center"/>
    </xf>
    <xf numFmtId="5" fontId="19" fillId="18" borderId="137" xfId="0" applyNumberFormat="1" applyFont="1" applyFill="1" applyBorder="1" applyAlignment="1" applyProtection="1">
      <alignment horizontal="center" vertical="center" wrapText="1"/>
    </xf>
    <xf numFmtId="5" fontId="19" fillId="18" borderId="144" xfId="0" applyNumberFormat="1" applyFont="1" applyFill="1" applyBorder="1" applyAlignment="1" applyProtection="1">
      <alignment horizontal="center" vertical="center" wrapText="1"/>
    </xf>
    <xf numFmtId="5" fontId="19" fillId="18" borderId="21" xfId="0" applyNumberFormat="1" applyFont="1" applyFill="1" applyBorder="1" applyAlignment="1" applyProtection="1">
      <alignment horizontal="center" vertical="center" wrapText="1"/>
    </xf>
    <xf numFmtId="42" fontId="19" fillId="7" borderId="129" xfId="0" applyNumberFormat="1" applyFont="1" applyFill="1" applyBorder="1" applyAlignment="1" applyProtection="1">
      <alignment horizontal="center" vertical="center" wrapText="1"/>
    </xf>
    <xf numFmtId="42" fontId="19" fillId="7" borderId="22" xfId="0" applyNumberFormat="1" applyFont="1" applyFill="1" applyBorder="1" applyAlignment="1" applyProtection="1">
      <alignment horizontal="center" vertical="center" wrapText="1"/>
    </xf>
    <xf numFmtId="170" fontId="27" fillId="0" borderId="78" xfId="0" applyNumberFormat="1" applyFont="1" applyBorder="1" applyAlignment="1" applyProtection="1">
      <alignment vertical="center"/>
    </xf>
    <xf numFmtId="170" fontId="27" fillId="0" borderId="76" xfId="0" applyNumberFormat="1" applyFont="1" applyBorder="1" applyAlignment="1" applyProtection="1">
      <alignment vertical="center"/>
    </xf>
    <xf numFmtId="170" fontId="27" fillId="0" borderId="79" xfId="0" applyNumberFormat="1" applyFont="1" applyBorder="1" applyAlignment="1" applyProtection="1">
      <alignment vertical="center"/>
    </xf>
    <xf numFmtId="170" fontId="27" fillId="5" borderId="78" xfId="0" applyNumberFormat="1" applyFont="1" applyFill="1" applyBorder="1" applyAlignment="1" applyProtection="1">
      <alignment vertical="center"/>
    </xf>
    <xf numFmtId="170" fontId="27" fillId="5" borderId="76" xfId="0" applyNumberFormat="1" applyFont="1" applyFill="1" applyBorder="1" applyAlignment="1" applyProtection="1">
      <alignment vertical="center"/>
    </xf>
    <xf numFmtId="170" fontId="27" fillId="5" borderId="79" xfId="0" applyNumberFormat="1" applyFont="1" applyFill="1" applyBorder="1" applyAlignment="1" applyProtection="1">
      <alignment vertical="center"/>
    </xf>
    <xf numFmtId="0" fontId="41" fillId="18" borderId="0" xfId="0" applyFont="1" applyFill="1" applyBorder="1" applyAlignment="1" applyProtection="1"/>
    <xf numFmtId="0" fontId="58" fillId="0" borderId="0" xfId="0" applyFont="1" applyBorder="1" applyAlignment="1" applyProtection="1">
      <alignment vertical="center" wrapText="1"/>
    </xf>
    <xf numFmtId="0" fontId="58" fillId="0" borderId="2" xfId="0" applyFont="1" applyBorder="1" applyAlignment="1" applyProtection="1">
      <alignment vertical="center" wrapText="1"/>
    </xf>
    <xf numFmtId="0" fontId="62" fillId="0" borderId="62" xfId="0" applyFont="1" applyBorder="1" applyAlignment="1" applyProtection="1">
      <alignment horizontal="right" wrapText="1"/>
    </xf>
    <xf numFmtId="0" fontId="62" fillId="0" borderId="44" xfId="0" applyFont="1" applyBorder="1" applyAlignment="1" applyProtection="1">
      <alignment horizontal="right" wrapText="1"/>
    </xf>
    <xf numFmtId="0" fontId="27" fillId="27" borderId="0" xfId="0" applyFont="1" applyFill="1" applyBorder="1" applyAlignment="1" applyProtection="1">
      <alignment horizontal="right"/>
    </xf>
    <xf numFmtId="0" fontId="23" fillId="5" borderId="0" xfId="0" applyFont="1" applyFill="1" applyBorder="1" applyProtection="1"/>
    <xf numFmtId="0" fontId="22" fillId="18" borderId="252" xfId="0" applyFont="1" applyFill="1" applyBorder="1" applyAlignment="1" applyProtection="1"/>
    <xf numFmtId="0" fontId="22" fillId="18" borderId="248" xfId="0" applyFont="1" applyFill="1" applyBorder="1" applyAlignment="1" applyProtection="1"/>
    <xf numFmtId="0" fontId="18" fillId="0" borderId="94" xfId="0" applyFont="1" applyFill="1" applyBorder="1" applyAlignment="1" applyProtection="1">
      <protection locked="0"/>
    </xf>
    <xf numFmtId="0" fontId="18" fillId="0" borderId="101" xfId="0" applyFont="1" applyFill="1" applyBorder="1" applyAlignment="1" applyProtection="1">
      <protection locked="0"/>
    </xf>
    <xf numFmtId="0" fontId="18" fillId="0" borderId="87" xfId="0" applyFont="1" applyFill="1" applyBorder="1" applyAlignment="1" applyProtection="1">
      <protection locked="0"/>
    </xf>
    <xf numFmtId="0" fontId="18" fillId="0" borderId="114" xfId="0" applyFont="1" applyFill="1" applyBorder="1" applyAlignment="1" applyProtection="1">
      <protection locked="0"/>
    </xf>
    <xf numFmtId="0" fontId="22" fillId="0" borderId="281" xfId="0" applyFont="1" applyFill="1" applyBorder="1" applyAlignment="1" applyProtection="1"/>
    <xf numFmtId="0" fontId="22" fillId="0" borderId="422" xfId="0" applyFont="1" applyFill="1" applyBorder="1" applyAlignment="1" applyProtection="1"/>
    <xf numFmtId="0" fontId="22" fillId="0" borderId="447" xfId="0" applyFont="1" applyFill="1" applyBorder="1" applyAlignment="1" applyProtection="1">
      <protection locked="0"/>
    </xf>
    <xf numFmtId="0" fontId="22" fillId="0" borderId="448" xfId="0" applyFont="1" applyFill="1" applyBorder="1" applyAlignment="1" applyProtection="1">
      <protection locked="0"/>
    </xf>
    <xf numFmtId="0" fontId="18" fillId="0" borderId="80" xfId="0" applyFont="1" applyFill="1" applyBorder="1" applyAlignment="1" applyProtection="1">
      <protection locked="0"/>
    </xf>
    <xf numFmtId="0" fontId="18" fillId="0" borderId="86" xfId="0" applyFont="1" applyFill="1" applyBorder="1" applyAlignment="1" applyProtection="1">
      <protection locked="0"/>
    </xf>
    <xf numFmtId="0" fontId="18" fillId="0" borderId="87" xfId="0" applyFont="1" applyFill="1" applyBorder="1" applyAlignment="1" applyProtection="1">
      <alignment horizontal="left" vertical="top"/>
      <protection locked="0"/>
    </xf>
    <xf numFmtId="0" fontId="18" fillId="0" borderId="114" xfId="0" applyFont="1" applyFill="1" applyBorder="1" applyAlignment="1" applyProtection="1">
      <alignment horizontal="left" vertical="top"/>
      <protection locked="0"/>
    </xf>
    <xf numFmtId="0" fontId="18" fillId="0" borderId="80" xfId="0" applyFont="1" applyFill="1" applyBorder="1" applyAlignment="1" applyProtection="1">
      <alignment horizontal="left" vertical="top"/>
      <protection locked="0"/>
    </xf>
    <xf numFmtId="0" fontId="18" fillId="0" borderId="86" xfId="0" applyFont="1" applyFill="1" applyBorder="1" applyAlignment="1" applyProtection="1">
      <alignment horizontal="left" vertical="top"/>
      <protection locked="0"/>
    </xf>
    <xf numFmtId="0" fontId="46" fillId="0" borderId="0" xfId="0" applyFont="1" applyFill="1" applyBorder="1" applyAlignment="1" applyProtection="1"/>
    <xf numFmtId="0" fontId="18" fillId="0" borderId="94" xfId="0" applyFont="1" applyFill="1" applyBorder="1" applyAlignment="1" applyProtection="1">
      <alignment vertical="center"/>
      <protection locked="0"/>
    </xf>
    <xf numFmtId="0" fontId="18" fillId="0" borderId="101" xfId="0" applyFont="1" applyFill="1" applyBorder="1" applyAlignment="1" applyProtection="1">
      <alignment vertical="center"/>
      <protection locked="0"/>
    </xf>
    <xf numFmtId="0" fontId="18" fillId="0" borderId="80" xfId="0" applyFont="1" applyFill="1" applyBorder="1" applyAlignment="1" applyProtection="1">
      <alignment vertical="center"/>
      <protection locked="0"/>
    </xf>
    <xf numFmtId="0" fontId="18" fillId="0" borderId="86" xfId="0" applyFont="1" applyFill="1" applyBorder="1" applyAlignment="1" applyProtection="1">
      <alignment vertical="center"/>
      <protection locked="0"/>
    </xf>
    <xf numFmtId="0" fontId="18" fillId="0" borderId="87" xfId="0" applyFont="1" applyFill="1" applyBorder="1" applyAlignment="1" applyProtection="1">
      <alignment vertical="center"/>
      <protection locked="0"/>
    </xf>
    <xf numFmtId="0" fontId="18" fillId="0" borderId="114" xfId="0" applyFont="1" applyFill="1" applyBorder="1" applyAlignment="1" applyProtection="1">
      <alignment vertical="center"/>
      <protection locked="0"/>
    </xf>
    <xf numFmtId="0" fontId="22" fillId="18" borderId="248" xfId="0" applyFont="1" applyFill="1" applyBorder="1" applyAlignment="1" applyProtection="1">
      <alignment wrapText="1"/>
    </xf>
    <xf numFmtId="0" fontId="22" fillId="18" borderId="249" xfId="0" applyFont="1" applyFill="1" applyBorder="1" applyAlignment="1" applyProtection="1">
      <alignment wrapText="1"/>
    </xf>
    <xf numFmtId="0" fontId="18" fillId="0" borderId="543" xfId="0" applyFont="1" applyFill="1" applyBorder="1" applyAlignment="1" applyProtection="1">
      <protection locked="0"/>
    </xf>
    <xf numFmtId="0" fontId="18" fillId="0" borderId="544" xfId="0" applyFont="1" applyFill="1" applyBorder="1" applyAlignment="1" applyProtection="1">
      <protection locked="0"/>
    </xf>
    <xf numFmtId="0" fontId="18" fillId="0" borderId="546" xfId="0" applyFont="1" applyFill="1" applyBorder="1" applyAlignment="1" applyProtection="1">
      <protection locked="0"/>
    </xf>
    <xf numFmtId="0" fontId="18" fillId="0" borderId="547" xfId="0" applyFont="1" applyFill="1" applyBorder="1" applyAlignment="1" applyProtection="1">
      <protection locked="0"/>
    </xf>
    <xf numFmtId="0" fontId="18" fillId="0" borderId="548" xfId="0" applyFont="1" applyFill="1" applyBorder="1" applyAlignment="1" applyProtection="1">
      <protection locked="0"/>
    </xf>
    <xf numFmtId="0" fontId="18" fillId="0" borderId="549" xfId="0" applyFont="1" applyFill="1" applyBorder="1" applyAlignment="1" applyProtection="1">
      <protection locked="0"/>
    </xf>
    <xf numFmtId="0" fontId="22" fillId="0" borderId="10" xfId="0" applyFont="1" applyFill="1" applyBorder="1" applyAlignment="1" applyProtection="1"/>
    <xf numFmtId="0" fontId="22" fillId="0" borderId="12" xfId="0" applyFont="1" applyFill="1" applyBorder="1" applyAlignment="1" applyProtection="1"/>
    <xf numFmtId="0" fontId="22" fillId="0" borderId="80" xfId="0" applyFont="1" applyFill="1" applyBorder="1" applyAlignment="1" applyProtection="1">
      <alignment horizontal="left" vertical="top"/>
      <protection locked="0"/>
    </xf>
    <xf numFmtId="0" fontId="22" fillId="0" borderId="86" xfId="0" applyFont="1" applyFill="1" applyBorder="1" applyAlignment="1" applyProtection="1">
      <alignment horizontal="left" vertical="top"/>
      <protection locked="0"/>
    </xf>
    <xf numFmtId="0" fontId="50" fillId="0" borderId="13" xfId="0" applyFont="1" applyBorder="1" applyAlignment="1" applyProtection="1">
      <alignment horizontal="left" vertical="top" wrapText="1"/>
      <protection locked="0"/>
    </xf>
    <xf numFmtId="0" fontId="50" fillId="0" borderId="17" xfId="0" applyFont="1" applyBorder="1" applyAlignment="1" applyProtection="1">
      <alignment horizontal="left" vertical="top" wrapText="1"/>
      <protection locked="0"/>
    </xf>
    <xf numFmtId="0" fontId="50" fillId="0" borderId="19" xfId="0" applyFont="1" applyBorder="1" applyAlignment="1" applyProtection="1">
      <alignment horizontal="left" vertical="top" wrapText="1"/>
      <protection locked="0"/>
    </xf>
    <xf numFmtId="0" fontId="50" fillId="0" borderId="23" xfId="0" applyFont="1" applyBorder="1" applyAlignment="1" applyProtection="1">
      <alignment horizontal="left" vertical="top" wrapText="1"/>
      <protection locked="0"/>
    </xf>
    <xf numFmtId="0" fontId="50" fillId="0" borderId="0" xfId="0" applyFont="1" applyBorder="1" applyAlignment="1" applyProtection="1">
      <alignment horizontal="left" vertical="top" wrapText="1"/>
      <protection locked="0"/>
    </xf>
    <xf numFmtId="0" fontId="50" fillId="0" borderId="24" xfId="0" applyFont="1" applyBorder="1" applyAlignment="1" applyProtection="1">
      <alignment horizontal="left" vertical="top" wrapText="1"/>
      <protection locked="0"/>
    </xf>
    <xf numFmtId="0" fontId="50" fillId="0" borderId="14" xfId="0" applyFont="1" applyBorder="1" applyAlignment="1" applyProtection="1">
      <alignment horizontal="left" vertical="top" wrapText="1"/>
      <protection locked="0"/>
    </xf>
    <xf numFmtId="0" fontId="50" fillId="0" borderId="5" xfId="0" applyFont="1" applyBorder="1" applyAlignment="1" applyProtection="1">
      <alignment horizontal="left" vertical="top" wrapText="1"/>
      <protection locked="0"/>
    </xf>
    <xf numFmtId="0" fontId="50" fillId="0" borderId="20" xfId="0" applyFont="1" applyBorder="1" applyAlignment="1" applyProtection="1">
      <alignment horizontal="left" vertical="top" wrapText="1"/>
      <protection locked="0"/>
    </xf>
    <xf numFmtId="0" fontId="9" fillId="6" borderId="5" xfId="0" applyFont="1" applyFill="1" applyBorder="1" applyAlignment="1" applyProtection="1">
      <alignment horizontal="left"/>
    </xf>
    <xf numFmtId="0" fontId="46" fillId="18" borderId="113" xfId="0" applyFont="1" applyFill="1" applyBorder="1" applyAlignment="1" applyProtection="1">
      <alignment vertical="center"/>
    </xf>
    <xf numFmtId="0" fontId="46" fillId="18" borderId="84" xfId="0" applyFont="1" applyFill="1" applyBorder="1" applyAlignment="1" applyProtection="1">
      <alignment vertical="center"/>
    </xf>
    <xf numFmtId="0" fontId="46" fillId="18" borderId="181" xfId="0" applyFont="1" applyFill="1" applyBorder="1" applyAlignment="1" applyProtection="1">
      <alignment vertical="center"/>
    </xf>
    <xf numFmtId="0" fontId="43" fillId="0" borderId="257" xfId="0" applyFont="1" applyFill="1" applyBorder="1" applyAlignment="1" applyProtection="1">
      <alignment vertical="center"/>
      <protection locked="0"/>
    </xf>
    <xf numFmtId="0" fontId="43" fillId="0" borderId="437" xfId="0" applyFont="1" applyFill="1" applyBorder="1" applyAlignment="1" applyProtection="1">
      <alignment vertical="center"/>
      <protection locked="0"/>
    </xf>
    <xf numFmtId="0" fontId="43" fillId="0" borderId="283" xfId="0" applyFont="1" applyFill="1" applyBorder="1" applyAlignment="1" applyProtection="1">
      <alignment vertical="center"/>
      <protection locked="0"/>
    </xf>
    <xf numFmtId="0" fontId="43" fillId="0" borderId="80" xfId="0" applyFont="1" applyFill="1" applyBorder="1" applyAlignment="1" applyProtection="1">
      <alignment vertical="center"/>
      <protection locked="0"/>
    </xf>
    <xf numFmtId="0" fontId="43" fillId="0" borderId="85" xfId="0" applyFont="1" applyFill="1" applyBorder="1" applyAlignment="1" applyProtection="1">
      <alignment vertical="center"/>
      <protection locked="0"/>
    </xf>
    <xf numFmtId="0" fontId="43" fillId="0" borderId="179" xfId="0" applyFont="1" applyFill="1" applyBorder="1" applyAlignment="1" applyProtection="1">
      <alignment vertical="center"/>
      <protection locked="0"/>
    </xf>
    <xf numFmtId="0" fontId="43" fillId="0" borderId="135" xfId="0" applyFont="1" applyFill="1" applyBorder="1" applyAlignment="1" applyProtection="1">
      <alignment vertical="center"/>
      <protection locked="0"/>
    </xf>
    <xf numFmtId="0" fontId="43" fillId="0" borderId="124" xfId="0" applyFont="1" applyFill="1" applyBorder="1" applyAlignment="1" applyProtection="1">
      <alignment vertical="center"/>
      <protection locked="0"/>
    </xf>
    <xf numFmtId="0" fontId="43" fillId="0" borderId="180" xfId="0" applyFont="1" applyFill="1" applyBorder="1" applyAlignment="1" applyProtection="1">
      <alignment vertical="center"/>
      <protection locked="0"/>
    </xf>
    <xf numFmtId="0" fontId="43" fillId="0" borderId="257" xfId="0" applyFont="1" applyFill="1" applyBorder="1" applyAlignment="1" applyProtection="1">
      <alignment vertical="center" wrapText="1"/>
      <protection locked="0"/>
    </xf>
    <xf numFmtId="0" fontId="43" fillId="0" borderId="262" xfId="0" applyFont="1" applyFill="1" applyBorder="1" applyAlignment="1" applyProtection="1">
      <alignment vertical="center" wrapText="1"/>
      <protection locked="0"/>
    </xf>
    <xf numFmtId="0" fontId="43" fillId="0" borderId="283" xfId="0" applyFont="1" applyFill="1" applyBorder="1" applyAlignment="1" applyProtection="1">
      <alignment vertical="center" wrapText="1"/>
      <protection locked="0"/>
    </xf>
    <xf numFmtId="0" fontId="43" fillId="0" borderId="80" xfId="0" applyFont="1" applyFill="1" applyBorder="1" applyAlignment="1" applyProtection="1">
      <alignment vertical="center" wrapText="1"/>
      <protection locked="0"/>
    </xf>
    <xf numFmtId="0" fontId="43" fillId="0" borderId="85" xfId="0" applyFont="1" applyFill="1" applyBorder="1" applyAlignment="1" applyProtection="1">
      <alignment vertical="center" wrapText="1"/>
      <protection locked="0"/>
    </xf>
    <xf numFmtId="0" fontId="43" fillId="0" borderId="179" xfId="0" applyFont="1" applyFill="1" applyBorder="1" applyAlignment="1" applyProtection="1">
      <alignment vertical="center" wrapText="1"/>
      <protection locked="0"/>
    </xf>
    <xf numFmtId="0" fontId="43" fillId="0" borderId="135" xfId="0" applyFont="1" applyFill="1" applyBorder="1" applyAlignment="1" applyProtection="1">
      <alignment vertical="center" wrapText="1"/>
      <protection locked="0"/>
    </xf>
    <xf numFmtId="0" fontId="43" fillId="0" borderId="124" xfId="0" applyFont="1" applyFill="1" applyBorder="1" applyAlignment="1" applyProtection="1">
      <alignment vertical="center" wrapText="1"/>
      <protection locked="0"/>
    </xf>
    <xf numFmtId="0" fontId="43" fillId="0" borderId="180" xfId="0" applyFont="1" applyFill="1" applyBorder="1" applyAlignment="1" applyProtection="1">
      <alignment vertical="center" wrapText="1"/>
      <protection locked="0"/>
    </xf>
    <xf numFmtId="0" fontId="22" fillId="18" borderId="258" xfId="0" applyFont="1" applyFill="1" applyBorder="1" applyAlignment="1" applyProtection="1">
      <alignment horizontal="center" vertical="center"/>
    </xf>
    <xf numFmtId="0" fontId="22" fillId="18" borderId="432" xfId="0" applyFont="1" applyFill="1" applyBorder="1" applyAlignment="1" applyProtection="1">
      <alignment horizontal="center" vertical="center"/>
    </xf>
    <xf numFmtId="0" fontId="22" fillId="18" borderId="260" xfId="0" applyFont="1" applyFill="1" applyBorder="1" applyAlignment="1" applyProtection="1">
      <alignment horizontal="center" vertical="center"/>
    </xf>
    <xf numFmtId="0" fontId="22" fillId="18" borderId="10" xfId="0" applyFont="1" applyFill="1" applyBorder="1" applyAlignment="1" applyProtection="1">
      <alignment horizontal="center" vertical="center"/>
    </xf>
    <xf numFmtId="0" fontId="22" fillId="18" borderId="11" xfId="0" applyFont="1" applyFill="1" applyBorder="1" applyAlignment="1" applyProtection="1">
      <alignment horizontal="center" vertical="center"/>
    </xf>
    <xf numFmtId="0" fontId="22" fillId="18" borderId="12" xfId="0" applyFont="1" applyFill="1" applyBorder="1" applyAlignment="1" applyProtection="1">
      <alignment horizontal="center" vertical="center"/>
    </xf>
    <xf numFmtId="0" fontId="22" fillId="18" borderId="332" xfId="0" applyFont="1" applyFill="1" applyBorder="1" applyAlignment="1" applyProtection="1">
      <alignment horizontal="center" vertical="center"/>
    </xf>
    <xf numFmtId="0" fontId="22" fillId="18" borderId="455" xfId="0" applyFont="1" applyFill="1" applyBorder="1" applyAlignment="1" applyProtection="1">
      <alignment horizontal="center" vertical="center"/>
    </xf>
    <xf numFmtId="0" fontId="22" fillId="18" borderId="456" xfId="0" applyFont="1" applyFill="1" applyBorder="1" applyAlignment="1" applyProtection="1">
      <alignment horizontal="center" vertical="center"/>
    </xf>
    <xf numFmtId="0" fontId="22" fillId="18" borderId="261" xfId="0" applyFont="1" applyFill="1" applyBorder="1" applyAlignment="1" applyProtection="1">
      <alignment horizontal="center" vertical="center" wrapText="1"/>
    </xf>
    <xf numFmtId="0" fontId="22" fillId="18" borderId="4" xfId="0" applyFont="1" applyFill="1" applyBorder="1" applyAlignment="1" applyProtection="1">
      <alignment horizontal="center" vertical="center" wrapText="1"/>
    </xf>
    <xf numFmtId="0" fontId="22" fillId="18" borderId="468" xfId="0" applyFont="1" applyFill="1" applyBorder="1" applyAlignment="1" applyProtection="1">
      <alignment horizontal="center" vertical="center" wrapText="1"/>
    </xf>
    <xf numFmtId="0" fontId="46" fillId="18" borderId="468" xfId="0" applyFont="1" applyFill="1" applyBorder="1" applyAlignment="1" applyProtection="1">
      <alignment horizontal="center" vertical="center" wrapText="1"/>
    </xf>
    <xf numFmtId="0" fontId="46" fillId="18" borderId="4" xfId="0" applyFont="1" applyFill="1" applyBorder="1" applyAlignment="1" applyProtection="1">
      <alignment horizontal="center" vertical="center" wrapText="1"/>
    </xf>
    <xf numFmtId="0" fontId="18" fillId="0" borderId="59" xfId="0" applyFont="1" applyFill="1" applyBorder="1" applyProtection="1">
      <protection locked="0"/>
    </xf>
    <xf numFmtId="0" fontId="18" fillId="0" borderId="57" xfId="0" applyFont="1" applyFill="1" applyBorder="1" applyProtection="1">
      <protection locked="0"/>
    </xf>
    <xf numFmtId="0" fontId="18" fillId="0" borderId="415" xfId="0" applyFont="1" applyFill="1" applyBorder="1" applyAlignment="1" applyProtection="1">
      <alignment wrapText="1"/>
      <protection locked="0"/>
    </xf>
    <xf numFmtId="0" fontId="18" fillId="0" borderId="475" xfId="0" applyFont="1" applyFill="1" applyBorder="1" applyAlignment="1" applyProtection="1">
      <alignment wrapText="1"/>
      <protection locked="0"/>
    </xf>
    <xf numFmtId="0" fontId="18" fillId="18" borderId="281" xfId="0" applyFont="1" applyFill="1" applyBorder="1" applyAlignment="1" applyProtection="1">
      <alignment wrapText="1"/>
    </xf>
    <xf numFmtId="0" fontId="18" fillId="18" borderId="441" xfId="0" applyFont="1" applyFill="1" applyBorder="1" applyAlignment="1" applyProtection="1">
      <alignment wrapText="1"/>
    </xf>
    <xf numFmtId="0" fontId="18" fillId="0" borderId="415" xfId="0" applyFont="1" applyFill="1" applyBorder="1" applyProtection="1">
      <protection locked="0"/>
    </xf>
    <xf numFmtId="0" fontId="18" fillId="0" borderId="475" xfId="0" applyFont="1" applyFill="1" applyBorder="1" applyProtection="1">
      <protection locked="0"/>
    </xf>
    <xf numFmtId="0" fontId="20" fillId="18" borderId="281" xfId="0" applyFont="1" applyFill="1" applyBorder="1" applyAlignment="1" applyProtection="1">
      <alignment horizontal="left"/>
    </xf>
    <xf numFmtId="0" fontId="20" fillId="18" borderId="245" xfId="0" applyFont="1" applyFill="1" applyBorder="1" applyAlignment="1" applyProtection="1">
      <alignment horizontal="left"/>
    </xf>
    <xf numFmtId="0" fontId="20" fillId="18" borderId="246" xfId="0" applyFont="1" applyFill="1" applyBorder="1" applyAlignment="1" applyProtection="1">
      <alignment horizontal="left"/>
    </xf>
    <xf numFmtId="0" fontId="18" fillId="0" borderId="60" xfId="0" applyFont="1" applyFill="1" applyBorder="1" applyProtection="1">
      <protection locked="0"/>
    </xf>
    <xf numFmtId="0" fontId="18" fillId="0" borderId="152" xfId="0" applyFont="1" applyFill="1" applyBorder="1" applyProtection="1">
      <protection locked="0"/>
    </xf>
    <xf numFmtId="0" fontId="18" fillId="0" borderId="449" xfId="0" applyFont="1" applyFill="1" applyBorder="1" applyAlignment="1" applyProtection="1">
      <alignment horizontal="left" vertical="top" wrapText="1"/>
      <protection locked="0"/>
    </xf>
    <xf numFmtId="0" fontId="18" fillId="0" borderId="432" xfId="0" applyFont="1" applyFill="1" applyBorder="1" applyAlignment="1" applyProtection="1">
      <alignment horizontal="left" vertical="top" wrapText="1"/>
      <protection locked="0"/>
    </xf>
    <xf numFmtId="0" fontId="18" fillId="0" borderId="438" xfId="0" applyFont="1" applyFill="1" applyBorder="1" applyAlignment="1" applyProtection="1">
      <alignment horizontal="left" vertical="top" wrapText="1"/>
      <protection locked="0"/>
    </xf>
    <xf numFmtId="0" fontId="0" fillId="0" borderId="78" xfId="0" applyFont="1" applyFill="1" applyBorder="1" applyProtection="1">
      <protection locked="0"/>
    </xf>
    <xf numFmtId="0" fontId="0" fillId="0" borderId="76" xfId="0" applyFont="1" applyFill="1" applyBorder="1" applyProtection="1">
      <protection locked="0"/>
    </xf>
    <xf numFmtId="0" fontId="0" fillId="0" borderId="79" xfId="0" applyFont="1" applyFill="1" applyBorder="1" applyProtection="1">
      <protection locked="0"/>
    </xf>
    <xf numFmtId="166" fontId="20" fillId="18" borderId="281" xfId="0" applyNumberFormat="1" applyFont="1" applyFill="1" applyBorder="1" applyAlignment="1" applyProtection="1">
      <alignment horizontal="center"/>
    </xf>
    <xf numFmtId="166" fontId="20" fillId="18" borderId="446" xfId="0" applyNumberFormat="1" applyFont="1" applyFill="1" applyBorder="1" applyAlignment="1" applyProtection="1">
      <alignment horizontal="center"/>
    </xf>
    <xf numFmtId="166" fontId="20" fillId="18" borderId="422" xfId="0" applyNumberFormat="1" applyFont="1" applyFill="1" applyBorder="1" applyAlignment="1" applyProtection="1">
      <alignment horizontal="center"/>
    </xf>
    <xf numFmtId="0" fontId="18" fillId="0" borderId="258" xfId="0" applyFont="1" applyFill="1" applyBorder="1" applyAlignment="1" applyProtection="1">
      <alignment horizontal="center" vertical="top" wrapText="1"/>
      <protection locked="0"/>
    </xf>
    <xf numFmtId="0" fontId="18" fillId="0" borderId="432" xfId="0" applyFont="1" applyFill="1" applyBorder="1" applyAlignment="1" applyProtection="1">
      <alignment horizontal="center" vertical="top" wrapText="1"/>
      <protection locked="0"/>
    </xf>
    <xf numFmtId="0" fontId="18" fillId="0" borderId="259" xfId="0" applyFont="1" applyFill="1" applyBorder="1" applyAlignment="1" applyProtection="1">
      <alignment horizontal="center" vertical="top" wrapText="1"/>
      <protection locked="0"/>
    </xf>
    <xf numFmtId="0" fontId="18" fillId="0" borderId="260" xfId="0" applyFont="1" applyFill="1" applyBorder="1" applyAlignment="1" applyProtection="1">
      <alignment horizontal="center" vertical="top" wrapText="1"/>
      <protection locked="0"/>
    </xf>
    <xf numFmtId="0" fontId="18" fillId="0" borderId="1" xfId="0" applyFont="1" applyFill="1" applyBorder="1" applyAlignment="1" applyProtection="1">
      <alignment horizontal="center" vertical="top" wrapText="1"/>
      <protection locked="0"/>
    </xf>
    <xf numFmtId="0" fontId="18" fillId="0" borderId="0" xfId="0" applyFont="1" applyFill="1" applyBorder="1" applyAlignment="1" applyProtection="1">
      <alignment horizontal="center" vertical="top" wrapText="1"/>
      <protection locked="0"/>
    </xf>
    <xf numFmtId="0" fontId="18" fillId="0" borderId="2" xfId="0" applyFont="1" applyFill="1" applyBorder="1" applyAlignment="1" applyProtection="1">
      <alignment horizontal="center" vertical="top" wrapText="1"/>
      <protection locked="0"/>
    </xf>
    <xf numFmtId="0" fontId="18" fillId="0" borderId="10" xfId="0" applyFont="1" applyFill="1" applyBorder="1" applyAlignment="1" applyProtection="1">
      <alignment horizontal="center" vertical="top" wrapText="1"/>
      <protection locked="0"/>
    </xf>
    <xf numFmtId="0" fontId="18" fillId="0" borderId="11" xfId="0" applyFont="1" applyFill="1" applyBorder="1" applyAlignment="1" applyProtection="1">
      <alignment horizontal="center" vertical="top" wrapText="1"/>
      <protection locked="0"/>
    </xf>
    <xf numFmtId="0" fontId="18" fillId="0" borderId="12" xfId="0" applyFont="1" applyFill="1" applyBorder="1" applyAlignment="1" applyProtection="1">
      <alignment horizontal="center" vertical="top" wrapText="1"/>
      <protection locked="0"/>
    </xf>
    <xf numFmtId="3" fontId="20" fillId="0" borderId="10" xfId="0" applyNumberFormat="1" applyFont="1" applyFill="1" applyBorder="1" applyProtection="1"/>
    <xf numFmtId="3" fontId="20" fillId="0" borderId="11" xfId="0" applyNumberFormat="1" applyFont="1" applyFill="1" applyBorder="1" applyProtection="1"/>
    <xf numFmtId="0" fontId="20" fillId="18" borderId="281" xfId="0" applyFont="1" applyFill="1" applyBorder="1" applyAlignment="1" applyProtection="1">
      <alignment horizontal="center"/>
    </xf>
    <xf numFmtId="0" fontId="20" fillId="18" borderId="446" xfId="0" applyFont="1" applyFill="1" applyBorder="1" applyAlignment="1" applyProtection="1">
      <alignment horizontal="center"/>
    </xf>
    <xf numFmtId="0" fontId="20" fillId="18" borderId="245" xfId="0" applyFont="1" applyFill="1" applyBorder="1" applyAlignment="1" applyProtection="1">
      <alignment horizontal="center"/>
    </xf>
    <xf numFmtId="0" fontId="20" fillId="18" borderId="246" xfId="0" applyFont="1" applyFill="1" applyBorder="1" applyAlignment="1" applyProtection="1">
      <alignment horizontal="center"/>
    </xf>
    <xf numFmtId="0" fontId="18" fillId="0" borderId="483" xfId="0" applyFont="1" applyFill="1" applyBorder="1" applyAlignment="1" applyProtection="1">
      <alignment wrapText="1"/>
      <protection locked="0"/>
    </xf>
    <xf numFmtId="0" fontId="18" fillId="0" borderId="484" xfId="0" applyFont="1" applyFill="1" applyBorder="1" applyAlignment="1" applyProtection="1">
      <alignment wrapText="1"/>
      <protection locked="0"/>
    </xf>
    <xf numFmtId="0" fontId="66" fillId="0" borderId="0" xfId="0" applyFont="1" applyFill="1" applyBorder="1" applyAlignment="1" applyProtection="1">
      <alignment horizontal="right" vertical="center"/>
    </xf>
    <xf numFmtId="0" fontId="18" fillId="0" borderId="0" xfId="0" applyFont="1" applyFill="1" applyAlignment="1" applyProtection="1">
      <alignment horizontal="right" vertical="center"/>
    </xf>
    <xf numFmtId="0" fontId="18" fillId="0" borderId="2" xfId="0" applyFont="1" applyFill="1" applyBorder="1" applyAlignment="1" applyProtection="1">
      <alignment horizontal="right" vertical="center"/>
    </xf>
    <xf numFmtId="0" fontId="66" fillId="0" borderId="347" xfId="0" applyFont="1" applyFill="1" applyBorder="1" applyAlignment="1" applyProtection="1">
      <alignment horizontal="right" vertical="center"/>
    </xf>
    <xf numFmtId="0" fontId="66" fillId="0" borderId="348" xfId="0" applyFont="1" applyFill="1" applyBorder="1" applyAlignment="1" applyProtection="1">
      <alignment horizontal="right" vertical="center"/>
    </xf>
    <xf numFmtId="0" fontId="66" fillId="0" borderId="2" xfId="0" applyFont="1" applyFill="1" applyBorder="1" applyAlignment="1" applyProtection="1">
      <alignment horizontal="right" vertical="center"/>
    </xf>
    <xf numFmtId="0" fontId="18" fillId="6" borderId="59" xfId="0" applyNumberFormat="1" applyFont="1" applyFill="1" applyBorder="1" applyAlignment="1" applyProtection="1">
      <alignment horizontal="left"/>
    </xf>
    <xf numFmtId="0" fontId="18" fillId="6" borderId="326" xfId="0" applyNumberFormat="1" applyFont="1" applyFill="1" applyBorder="1" applyAlignment="1" applyProtection="1">
      <alignment horizontal="left"/>
    </xf>
    <xf numFmtId="0" fontId="18" fillId="6" borderId="324" xfId="0" applyNumberFormat="1" applyFont="1" applyFill="1" applyBorder="1" applyAlignment="1" applyProtection="1">
      <alignment horizontal="left"/>
    </xf>
    <xf numFmtId="49" fontId="18" fillId="6" borderId="60" xfId="0" applyNumberFormat="1" applyFont="1" applyFill="1" applyBorder="1" applyAlignment="1" applyProtection="1">
      <alignment horizontal="left"/>
    </xf>
    <xf numFmtId="0" fontId="18" fillId="6" borderId="330" xfId="0" applyNumberFormat="1" applyFont="1" applyFill="1" applyBorder="1" applyAlignment="1" applyProtection="1">
      <alignment horizontal="left"/>
    </xf>
    <xf numFmtId="0" fontId="18" fillId="6" borderId="308" xfId="0" applyNumberFormat="1" applyFont="1" applyFill="1" applyBorder="1" applyAlignment="1" applyProtection="1">
      <alignment horizontal="left"/>
    </xf>
    <xf numFmtId="0" fontId="18" fillId="6" borderId="59" xfId="0" applyNumberFormat="1" applyFont="1" applyFill="1" applyBorder="1" applyAlignment="1" applyProtection="1"/>
    <xf numFmtId="0" fontId="18" fillId="6" borderId="326" xfId="0" applyNumberFormat="1" applyFont="1" applyFill="1" applyBorder="1" applyAlignment="1" applyProtection="1"/>
    <xf numFmtId="0" fontId="18" fillId="6" borderId="324" xfId="0" applyNumberFormat="1" applyFont="1" applyFill="1" applyBorder="1" applyAlignment="1" applyProtection="1"/>
    <xf numFmtId="0" fontId="40" fillId="23" borderId="0" xfId="0" applyFont="1" applyFill="1" applyBorder="1" applyAlignment="1" applyProtection="1">
      <alignment vertical="center"/>
    </xf>
    <xf numFmtId="0" fontId="18" fillId="6" borderId="325" xfId="0" applyNumberFormat="1" applyFont="1" applyFill="1" applyBorder="1" applyAlignment="1" applyProtection="1"/>
    <xf numFmtId="0" fontId="18" fillId="6" borderId="327" xfId="0" applyNumberFormat="1" applyFont="1" applyFill="1" applyBorder="1" applyAlignment="1" applyProtection="1"/>
    <xf numFmtId="0" fontId="18" fillId="6" borderId="307" xfId="0" applyNumberFormat="1" applyFont="1" applyFill="1" applyBorder="1" applyAlignment="1" applyProtection="1"/>
    <xf numFmtId="0" fontId="46" fillId="6" borderId="78" xfId="0" applyNumberFormat="1" applyFont="1" applyFill="1" applyBorder="1" applyAlignment="1" applyProtection="1">
      <alignment vertical="center"/>
    </xf>
    <xf numFmtId="0" fontId="46" fillId="6" borderId="76" xfId="0" applyNumberFormat="1" applyFont="1" applyFill="1" applyBorder="1" applyAlignment="1" applyProtection="1">
      <alignment vertical="center"/>
    </xf>
    <xf numFmtId="0" fontId="18" fillId="6" borderId="325" xfId="0" applyNumberFormat="1" applyFont="1" applyFill="1" applyBorder="1" applyAlignment="1" applyProtection="1">
      <alignment horizontal="left"/>
    </xf>
    <xf numFmtId="0" fontId="18" fillId="6" borderId="327" xfId="0" applyNumberFormat="1" applyFont="1" applyFill="1" applyBorder="1" applyAlignment="1" applyProtection="1">
      <alignment horizontal="left"/>
    </xf>
    <xf numFmtId="0" fontId="18" fillId="6" borderId="307" xfId="0" applyNumberFormat="1" applyFont="1" applyFill="1" applyBorder="1" applyAlignment="1" applyProtection="1">
      <alignment horizontal="left"/>
    </xf>
    <xf numFmtId="169" fontId="43" fillId="0" borderId="361" xfId="0" applyNumberFormat="1" applyFont="1" applyFill="1" applyBorder="1" applyAlignment="1" applyProtection="1">
      <alignment horizontal="right" vertical="center"/>
      <protection locked="0"/>
    </xf>
    <xf numFmtId="169" fontId="43" fillId="0" borderId="263" xfId="0" applyNumberFormat="1" applyFont="1" applyFill="1" applyBorder="1" applyAlignment="1" applyProtection="1">
      <alignment horizontal="right" vertical="center"/>
      <protection locked="0"/>
    </xf>
    <xf numFmtId="44" fontId="43" fillId="0" borderId="363" xfId="0" applyNumberFormat="1" applyFont="1" applyFill="1" applyBorder="1" applyAlignment="1" applyProtection="1">
      <alignment horizontal="right" vertical="center"/>
      <protection locked="0"/>
    </xf>
    <xf numFmtId="44" fontId="43" fillId="0" borderId="86" xfId="0" applyNumberFormat="1" applyFont="1" applyFill="1" applyBorder="1" applyAlignment="1" applyProtection="1">
      <alignment horizontal="right" vertical="center"/>
      <protection locked="0"/>
    </xf>
    <xf numFmtId="44" fontId="43" fillId="0" borderId="392" xfId="0" applyNumberFormat="1" applyFont="1" applyFill="1" applyBorder="1" applyAlignment="1" applyProtection="1">
      <alignment horizontal="right" vertical="center"/>
      <protection locked="0"/>
    </xf>
    <xf numFmtId="44" fontId="43" fillId="0" borderId="114" xfId="0" applyNumberFormat="1" applyFont="1" applyFill="1" applyBorder="1" applyAlignment="1" applyProtection="1">
      <alignment horizontal="right" vertical="center"/>
      <protection locked="0"/>
    </xf>
    <xf numFmtId="49" fontId="43" fillId="0" borderId="257" xfId="0" applyNumberFormat="1" applyFont="1" applyFill="1" applyBorder="1" applyAlignment="1" applyProtection="1">
      <alignment horizontal="left" vertical="center"/>
      <protection locked="0"/>
    </xf>
    <xf numFmtId="49" fontId="43" fillId="0" borderId="262" xfId="0" applyNumberFormat="1" applyFont="1" applyFill="1" applyBorder="1" applyAlignment="1" applyProtection="1">
      <alignment horizontal="left" vertical="center"/>
      <protection locked="0"/>
    </xf>
    <xf numFmtId="49" fontId="43" fillId="0" borderId="80" xfId="0" applyNumberFormat="1" applyFont="1" applyFill="1" applyBorder="1" applyAlignment="1" applyProtection="1">
      <alignment horizontal="left" vertical="center"/>
      <protection locked="0"/>
    </xf>
    <xf numFmtId="49" fontId="43" fillId="0" borderId="85" xfId="0" applyNumberFormat="1" applyFont="1" applyFill="1" applyBorder="1" applyAlignment="1" applyProtection="1">
      <alignment horizontal="left" vertical="center"/>
      <protection locked="0"/>
    </xf>
    <xf numFmtId="49" fontId="43" fillId="0" borderId="87" xfId="0" applyNumberFormat="1" applyFont="1" applyFill="1" applyBorder="1" applyAlignment="1" applyProtection="1">
      <alignment horizontal="left" vertical="center"/>
      <protection locked="0"/>
    </xf>
    <xf numFmtId="49" fontId="43" fillId="0" borderId="88" xfId="0" applyNumberFormat="1" applyFont="1" applyFill="1" applyBorder="1" applyAlignment="1" applyProtection="1">
      <alignment horizontal="left" vertical="center"/>
      <protection locked="0"/>
    </xf>
    <xf numFmtId="49" fontId="43" fillId="0" borderId="80" xfId="0" applyNumberFormat="1" applyFont="1" applyFill="1" applyBorder="1" applyAlignment="1" applyProtection="1">
      <alignment vertical="center"/>
      <protection locked="0"/>
    </xf>
    <xf numFmtId="49" fontId="43" fillId="0" borderId="85" xfId="0" applyNumberFormat="1" applyFont="1" applyFill="1" applyBorder="1" applyAlignment="1" applyProtection="1">
      <alignment vertical="center"/>
      <protection locked="0"/>
    </xf>
    <xf numFmtId="0" fontId="46" fillId="18" borderId="281" xfId="0" applyFont="1" applyFill="1" applyBorder="1" applyAlignment="1" applyProtection="1">
      <alignment horizontal="center" vertical="center"/>
    </xf>
    <xf numFmtId="0" fontId="46" fillId="18" borderId="246" xfId="0" applyFont="1" applyFill="1" applyBorder="1" applyAlignment="1" applyProtection="1">
      <alignment horizontal="center" vertical="center"/>
    </xf>
    <xf numFmtId="0" fontId="25" fillId="0" borderId="78" xfId="0" applyFont="1" applyFill="1" applyBorder="1" applyAlignment="1" applyProtection="1">
      <alignment vertical="center"/>
      <protection locked="0"/>
    </xf>
    <xf numFmtId="0" fontId="25" fillId="0" borderId="472" xfId="0" applyFont="1" applyFill="1" applyBorder="1" applyAlignment="1" applyProtection="1">
      <alignment vertical="center"/>
      <protection locked="0"/>
    </xf>
    <xf numFmtId="0" fontId="25" fillId="0" borderId="79" xfId="0" applyFont="1" applyFill="1" applyBorder="1" applyAlignment="1" applyProtection="1">
      <alignment vertical="center"/>
      <protection locked="0"/>
    </xf>
    <xf numFmtId="0" fontId="43" fillId="0" borderId="78" xfId="0" applyFont="1" applyFill="1" applyBorder="1" applyAlignment="1" applyProtection="1">
      <alignment vertical="center"/>
      <protection locked="0"/>
    </xf>
    <xf numFmtId="0" fontId="43" fillId="0" borderId="472" xfId="0" applyFont="1" applyFill="1" applyBorder="1" applyAlignment="1" applyProtection="1">
      <alignment vertical="center"/>
      <protection locked="0"/>
    </xf>
    <xf numFmtId="0" fontId="43" fillId="0" borderId="79" xfId="0" applyFont="1" applyFill="1" applyBorder="1" applyAlignment="1" applyProtection="1">
      <alignment vertical="center"/>
      <protection locked="0"/>
    </xf>
    <xf numFmtId="0" fontId="46" fillId="18" borderId="422" xfId="0" applyFont="1" applyFill="1" applyBorder="1" applyAlignment="1" applyProtection="1">
      <alignment horizontal="center" vertical="center"/>
    </xf>
    <xf numFmtId="49" fontId="43" fillId="0" borderId="437" xfId="0" applyNumberFormat="1" applyFont="1" applyFill="1" applyBorder="1" applyAlignment="1" applyProtection="1">
      <alignment horizontal="left" vertical="center"/>
      <protection locked="0"/>
    </xf>
    <xf numFmtId="49" fontId="43" fillId="0" borderId="360" xfId="0" applyNumberFormat="1" applyFont="1" applyFill="1" applyBorder="1" applyAlignment="1" applyProtection="1">
      <alignment horizontal="left" vertical="center"/>
      <protection locked="0"/>
    </xf>
    <xf numFmtId="44" fontId="43" fillId="0" borderId="361" xfId="0" applyNumberFormat="1" applyFont="1" applyFill="1" applyBorder="1" applyAlignment="1" applyProtection="1">
      <alignment horizontal="right" vertical="center"/>
      <protection locked="0"/>
    </xf>
    <xf numFmtId="44" fontId="43" fillId="0" borderId="448" xfId="0" applyNumberFormat="1" applyFont="1" applyFill="1" applyBorder="1" applyAlignment="1" applyProtection="1">
      <alignment horizontal="right" vertical="center"/>
      <protection locked="0"/>
    </xf>
    <xf numFmtId="49" fontId="43" fillId="0" borderId="362" xfId="0" applyNumberFormat="1" applyFont="1" applyFill="1" applyBorder="1" applyAlignment="1" applyProtection="1">
      <alignment vertical="center"/>
      <protection locked="0"/>
    </xf>
    <xf numFmtId="49" fontId="43" fillId="0" borderId="364" xfId="0" applyNumberFormat="1" applyFont="1" applyFill="1" applyBorder="1" applyAlignment="1" applyProtection="1">
      <alignment horizontal="left" vertical="center"/>
      <protection locked="0"/>
    </xf>
    <xf numFmtId="44" fontId="43" fillId="0" borderId="607" xfId="0" applyNumberFormat="1" applyFont="1" applyFill="1" applyBorder="1" applyAlignment="1" applyProtection="1">
      <alignment horizontal="right" vertical="center"/>
      <protection locked="0"/>
    </xf>
    <xf numFmtId="49" fontId="43" fillId="0" borderId="362" xfId="0" applyNumberFormat="1" applyFont="1" applyFill="1" applyBorder="1" applyAlignment="1" applyProtection="1">
      <alignment horizontal="left" vertical="center"/>
      <protection locked="0"/>
    </xf>
    <xf numFmtId="0" fontId="46" fillId="6" borderId="472" xfId="0" applyNumberFormat="1" applyFont="1" applyFill="1" applyBorder="1" applyAlignment="1" applyProtection="1">
      <alignment vertical="center"/>
    </xf>
    <xf numFmtId="49" fontId="18" fillId="6" borderId="330" xfId="0" applyNumberFormat="1" applyFont="1" applyFill="1" applyBorder="1" applyAlignment="1" applyProtection="1">
      <alignment horizontal="left"/>
    </xf>
    <xf numFmtId="44" fontId="43" fillId="0" borderId="263" xfId="0" applyNumberFormat="1" applyFont="1" applyFill="1" applyBorder="1" applyAlignment="1" applyProtection="1">
      <alignment horizontal="right" vertical="center"/>
      <protection locked="0"/>
    </xf>
    <xf numFmtId="49" fontId="43" fillId="0" borderId="447" xfId="0" applyNumberFormat="1" applyFont="1" applyFill="1" applyBorder="1" applyAlignment="1" applyProtection="1">
      <alignment horizontal="left" vertical="center"/>
      <protection locked="0"/>
    </xf>
    <xf numFmtId="169" fontId="43" fillId="0" borderId="448" xfId="0" applyNumberFormat="1" applyFont="1" applyFill="1" applyBorder="1" applyAlignment="1" applyProtection="1">
      <alignment horizontal="right" vertical="center"/>
      <protection locked="0"/>
    </xf>
    <xf numFmtId="0" fontId="36" fillId="6" borderId="78" xfId="0" applyNumberFormat="1" applyFont="1" applyFill="1" applyBorder="1" applyAlignment="1" applyProtection="1">
      <alignment vertical="center"/>
    </xf>
    <xf numFmtId="0" fontId="36" fillId="6" borderId="76" xfId="0" applyNumberFormat="1" applyFont="1" applyFill="1" applyBorder="1" applyAlignment="1" applyProtection="1">
      <alignment vertical="center"/>
    </xf>
    <xf numFmtId="0" fontId="18" fillId="6" borderId="483" xfId="0" applyNumberFormat="1" applyFont="1" applyFill="1" applyBorder="1" applyAlignment="1" applyProtection="1">
      <alignment horizontal="left"/>
    </xf>
    <xf numFmtId="0" fontId="43" fillId="0" borderId="0" xfId="0" applyFont="1" applyFill="1" applyBorder="1" applyAlignment="1" applyProtection="1">
      <alignment horizontal="left" vertical="center" wrapText="1"/>
    </xf>
    <xf numFmtId="0" fontId="43" fillId="0" borderId="2" xfId="0" applyFont="1" applyFill="1" applyBorder="1" applyAlignment="1" applyProtection="1">
      <alignment horizontal="left" vertical="center" wrapText="1"/>
    </xf>
    <xf numFmtId="0" fontId="18" fillId="0" borderId="454"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18" fillId="0" borderId="426" xfId="0" applyFont="1" applyBorder="1" applyAlignment="1" applyProtection="1">
      <alignment vertical="top" wrapText="1"/>
      <protection locked="0"/>
    </xf>
    <xf numFmtId="0" fontId="18" fillId="0" borderId="432" xfId="0" applyFont="1" applyBorder="1" applyAlignment="1" applyProtection="1">
      <alignment vertical="top" wrapText="1"/>
      <protection locked="0"/>
    </xf>
    <xf numFmtId="0" fontId="18" fillId="0" borderId="433" xfId="0" applyFont="1" applyBorder="1" applyAlignment="1" applyProtection="1">
      <alignment vertical="top" wrapText="1"/>
      <protection locked="0"/>
    </xf>
    <xf numFmtId="0" fontId="18" fillId="0" borderId="1"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2" xfId="0" applyFont="1" applyBorder="1" applyAlignment="1" applyProtection="1">
      <alignment vertical="top" wrapText="1"/>
      <protection locked="0"/>
    </xf>
    <xf numFmtId="0" fontId="18" fillId="0" borderId="10" xfId="0" applyFont="1" applyBorder="1" applyAlignment="1" applyProtection="1">
      <alignment vertical="top" wrapText="1"/>
      <protection locked="0"/>
    </xf>
    <xf numFmtId="0" fontId="18" fillId="0" borderId="455" xfId="0" applyFont="1" applyBorder="1" applyAlignment="1" applyProtection="1">
      <alignment vertical="top" wrapText="1"/>
      <protection locked="0"/>
    </xf>
    <xf numFmtId="0" fontId="18" fillId="0" borderId="456" xfId="0" applyFont="1" applyBorder="1" applyAlignment="1" applyProtection="1">
      <alignment vertical="top" wrapText="1"/>
      <protection locked="0"/>
    </xf>
    <xf numFmtId="0" fontId="18" fillId="0" borderId="76" xfId="0" applyFont="1" applyFill="1" applyBorder="1" applyAlignment="1" applyProtection="1">
      <protection locked="0"/>
    </xf>
    <xf numFmtId="0" fontId="18" fillId="0" borderId="70" xfId="0" applyFont="1" applyFill="1" applyBorder="1" applyAlignment="1" applyProtection="1">
      <protection locked="0"/>
    </xf>
    <xf numFmtId="0" fontId="18" fillId="0" borderId="5" xfId="0" applyFont="1" applyFill="1" applyBorder="1" applyAlignment="1" applyProtection="1">
      <protection locked="0"/>
    </xf>
    <xf numFmtId="0" fontId="18" fillId="0" borderId="27" xfId="0" applyFont="1" applyFill="1" applyBorder="1" applyAlignment="1" applyProtection="1">
      <protection locked="0"/>
    </xf>
    <xf numFmtId="0" fontId="72" fillId="0" borderId="258" xfId="0" applyFont="1" applyFill="1" applyBorder="1" applyProtection="1"/>
    <xf numFmtId="0" fontId="72" fillId="0" borderId="259" xfId="0" applyFont="1" applyFill="1" applyBorder="1" applyProtection="1"/>
    <xf numFmtId="0" fontId="72" fillId="0" borderId="260" xfId="0" applyFont="1" applyFill="1" applyBorder="1" applyProtection="1"/>
    <xf numFmtId="0" fontId="18" fillId="0" borderId="76" xfId="0" applyFont="1" applyFill="1" applyBorder="1" applyAlignment="1" applyProtection="1">
      <alignment horizontal="left"/>
      <protection locked="0"/>
    </xf>
    <xf numFmtId="0" fontId="18" fillId="0" borderId="70" xfId="0" applyFont="1" applyFill="1" applyBorder="1" applyAlignment="1" applyProtection="1">
      <alignment horizontal="left"/>
      <protection locked="0"/>
    </xf>
    <xf numFmtId="0" fontId="18" fillId="0" borderId="472" xfId="0" applyFont="1" applyFill="1" applyBorder="1" applyAlignment="1" applyProtection="1">
      <protection locked="0"/>
    </xf>
    <xf numFmtId="0" fontId="18" fillId="0" borderId="473" xfId="0" applyFont="1" applyFill="1" applyBorder="1" applyAlignment="1" applyProtection="1">
      <protection locked="0"/>
    </xf>
    <xf numFmtId="0" fontId="72" fillId="0" borderId="332" xfId="0" applyFont="1" applyFill="1" applyBorder="1" applyProtection="1"/>
    <xf numFmtId="0" fontId="18" fillId="0" borderId="27" xfId="0" applyFont="1" applyFill="1" applyBorder="1" applyProtection="1">
      <protection locked="0"/>
    </xf>
    <xf numFmtId="0" fontId="18" fillId="6" borderId="472" xfId="0" applyFont="1" applyFill="1" applyBorder="1" applyAlignment="1" applyProtection="1"/>
    <xf numFmtId="0" fontId="18" fillId="6" borderId="473" xfId="0" applyFont="1" applyFill="1" applyBorder="1" applyAlignment="1" applyProtection="1"/>
    <xf numFmtId="0" fontId="18" fillId="6" borderId="5" xfId="0" applyFont="1" applyFill="1" applyBorder="1" applyAlignment="1" applyProtection="1"/>
    <xf numFmtId="0" fontId="18" fillId="6" borderId="27" xfId="0" applyFont="1" applyFill="1" applyBorder="1" applyAlignment="1" applyProtection="1"/>
    <xf numFmtId="0" fontId="18" fillId="6" borderId="472" xfId="0" applyFont="1" applyFill="1" applyBorder="1" applyProtection="1"/>
    <xf numFmtId="0" fontId="17" fillId="6" borderId="27" xfId="0" applyFont="1" applyFill="1" applyBorder="1" applyAlignment="1" applyProtection="1"/>
    <xf numFmtId="0" fontId="23" fillId="0" borderId="29" xfId="0" applyFont="1" applyFill="1" applyBorder="1" applyAlignment="1" applyProtection="1">
      <alignment horizontal="center" wrapText="1"/>
    </xf>
    <xf numFmtId="0" fontId="23" fillId="0" borderId="29" xfId="0" applyFont="1" applyFill="1" applyBorder="1" applyAlignment="1" applyProtection="1">
      <alignment horizontal="center"/>
    </xf>
    <xf numFmtId="0" fontId="23" fillId="0" borderId="30" xfId="0" applyFont="1" applyFill="1" applyBorder="1" applyAlignment="1" applyProtection="1">
      <alignment horizontal="center"/>
    </xf>
    <xf numFmtId="0" fontId="18" fillId="0" borderId="17" xfId="0" applyFont="1" applyFill="1" applyBorder="1" applyAlignment="1" applyProtection="1">
      <alignment horizontal="left" textRotation="90" wrapText="1"/>
    </xf>
    <xf numFmtId="0" fontId="18" fillId="0" borderId="305" xfId="0" applyFont="1" applyFill="1" applyBorder="1" applyAlignment="1" applyProtection="1">
      <alignment horizontal="left" textRotation="90" wrapText="1"/>
    </xf>
    <xf numFmtId="0" fontId="18" fillId="0" borderId="0" xfId="0" applyFont="1" applyFill="1" applyBorder="1" applyAlignment="1" applyProtection="1">
      <alignment horizontal="left" textRotation="90" wrapText="1"/>
    </xf>
    <xf numFmtId="0" fontId="18" fillId="0" borderId="17" xfId="0" applyFont="1" applyFill="1" applyBorder="1" applyAlignment="1" applyProtection="1">
      <alignment horizontal="left" textRotation="90"/>
    </xf>
    <xf numFmtId="0" fontId="0" fillId="0" borderId="0" xfId="0" applyFont="1" applyFill="1" applyBorder="1" applyProtection="1"/>
    <xf numFmtId="0" fontId="0" fillId="0" borderId="305" xfId="0" applyFont="1" applyFill="1" applyBorder="1" applyProtection="1"/>
    <xf numFmtId="0" fontId="18" fillId="21" borderId="78" xfId="0" applyFont="1" applyFill="1" applyBorder="1" applyAlignment="1" applyProtection="1">
      <alignment horizontal="left" vertical="top" wrapText="1"/>
    </xf>
    <xf numFmtId="0" fontId="18" fillId="21" borderId="79" xfId="0" applyFont="1" applyFill="1" applyBorder="1" applyAlignment="1" applyProtection="1">
      <alignment horizontal="left" vertical="top" wrapText="1"/>
    </xf>
    <xf numFmtId="0" fontId="18" fillId="18" borderId="24" xfId="0" applyFont="1" applyFill="1" applyBorder="1" applyAlignment="1" applyProtection="1">
      <alignment horizontal="left" textRotation="90"/>
    </xf>
    <xf numFmtId="0" fontId="18" fillId="18" borderId="416" xfId="0" applyFont="1" applyFill="1" applyBorder="1" applyAlignment="1" applyProtection="1">
      <alignment horizontal="left" textRotation="90"/>
    </xf>
    <xf numFmtId="0" fontId="18" fillId="0" borderId="127" xfId="0" applyFont="1" applyFill="1" applyBorder="1" applyAlignment="1" applyProtection="1">
      <alignment horizontal="left" textRotation="90"/>
      <protection locked="0"/>
    </xf>
    <xf numFmtId="0" fontId="18" fillId="0" borderId="128" xfId="0" applyFont="1" applyFill="1" applyBorder="1" applyAlignment="1" applyProtection="1">
      <alignment horizontal="left" textRotation="90"/>
      <protection locked="0"/>
    </xf>
    <xf numFmtId="0" fontId="18" fillId="0" borderId="3" xfId="0" applyFont="1" applyFill="1" applyBorder="1" applyAlignment="1" applyProtection="1">
      <alignment horizontal="left" textRotation="90"/>
      <protection locked="0"/>
    </xf>
    <xf numFmtId="0" fontId="46" fillId="18" borderId="281" xfId="0" applyFont="1" applyFill="1" applyBorder="1" applyAlignment="1" applyProtection="1">
      <alignment horizontal="left" vertical="center"/>
    </xf>
    <xf numFmtId="0" fontId="46" fillId="18" borderId="296" xfId="0" applyFont="1" applyFill="1" applyBorder="1" applyAlignment="1" applyProtection="1">
      <alignment horizontal="left" vertical="center"/>
    </xf>
    <xf numFmtId="0" fontId="18" fillId="5" borderId="153" xfId="0" applyFont="1" applyFill="1" applyBorder="1" applyAlignment="1" applyProtection="1">
      <alignment wrapText="1"/>
      <protection locked="0"/>
    </xf>
    <xf numFmtId="0" fontId="18" fillId="5" borderId="406" xfId="0" applyFont="1" applyFill="1" applyBorder="1" applyAlignment="1" applyProtection="1">
      <alignment wrapText="1"/>
      <protection locked="0"/>
    </xf>
    <xf numFmtId="0" fontId="18" fillId="5" borderId="59" xfId="0" applyFont="1" applyFill="1" applyBorder="1" applyAlignment="1" applyProtection="1">
      <alignment wrapText="1"/>
      <protection locked="0"/>
    </xf>
    <xf numFmtId="0" fontId="18" fillId="5" borderId="58" xfId="0" applyFont="1" applyFill="1" applyBorder="1" applyAlignment="1" applyProtection="1">
      <alignment wrapText="1"/>
      <protection locked="0"/>
    </xf>
    <xf numFmtId="0" fontId="22" fillId="5" borderId="60" xfId="0" applyFont="1" applyFill="1" applyBorder="1" applyAlignment="1" applyProtection="1">
      <alignment horizontal="left"/>
      <protection locked="0"/>
    </xf>
    <xf numFmtId="0" fontId="22" fillId="5" borderId="407" xfId="0" applyFont="1" applyFill="1" applyBorder="1" applyAlignment="1" applyProtection="1">
      <alignment horizontal="left"/>
      <protection locked="0"/>
    </xf>
    <xf numFmtId="0" fontId="18" fillId="5" borderId="59" xfId="0" applyFont="1" applyFill="1" applyBorder="1" applyAlignment="1" applyProtection="1">
      <alignment horizontal="left"/>
      <protection locked="0"/>
    </xf>
    <xf numFmtId="0" fontId="18" fillId="5" borderId="58" xfId="0" applyFont="1" applyFill="1" applyBorder="1" applyAlignment="1" applyProtection="1">
      <alignment horizontal="left"/>
      <protection locked="0"/>
    </xf>
    <xf numFmtId="0" fontId="22" fillId="5" borderId="60" xfId="0" applyFont="1" applyFill="1" applyBorder="1" applyAlignment="1" applyProtection="1">
      <alignment wrapText="1"/>
      <protection locked="0"/>
    </xf>
    <xf numFmtId="0" fontId="22" fillId="5" borderId="407" xfId="0" applyFont="1" applyFill="1" applyBorder="1" applyAlignment="1" applyProtection="1">
      <alignment wrapText="1"/>
      <protection locked="0"/>
    </xf>
    <xf numFmtId="0" fontId="18" fillId="5" borderId="153" xfId="0" applyFont="1" applyFill="1" applyBorder="1" applyAlignment="1" applyProtection="1">
      <alignment horizontal="left"/>
      <protection locked="0"/>
    </xf>
    <xf numFmtId="0" fontId="18" fillId="5" borderId="406" xfId="0" applyFont="1" applyFill="1" applyBorder="1" applyAlignment="1" applyProtection="1">
      <alignment horizontal="left"/>
      <protection locked="0"/>
    </xf>
    <xf numFmtId="0" fontId="18" fillId="5" borderId="59" xfId="0" applyFont="1" applyFill="1" applyBorder="1" applyAlignment="1" applyProtection="1">
      <alignment horizontal="left" wrapText="1"/>
      <protection locked="0"/>
    </xf>
    <xf numFmtId="0" fontId="18" fillId="5" borderId="58" xfId="0" applyFont="1" applyFill="1" applyBorder="1" applyAlignment="1" applyProtection="1">
      <alignment horizontal="left" wrapText="1"/>
      <protection locked="0"/>
    </xf>
    <xf numFmtId="0" fontId="18" fillId="18" borderId="78" xfId="0" applyFont="1" applyFill="1" applyBorder="1" applyAlignment="1" applyProtection="1"/>
    <xf numFmtId="0" fontId="18" fillId="18" borderId="79" xfId="0" applyFont="1" applyFill="1" applyBorder="1" applyAlignment="1" applyProtection="1"/>
    <xf numFmtId="0" fontId="18" fillId="0" borderId="59" xfId="0" applyFont="1" applyFill="1" applyBorder="1" applyAlignment="1" applyProtection="1">
      <protection locked="0"/>
    </xf>
    <xf numFmtId="0" fontId="18" fillId="0" borderId="58" xfId="0" applyFont="1" applyFill="1" applyBorder="1" applyAlignment="1" applyProtection="1">
      <protection locked="0"/>
    </xf>
    <xf numFmtId="0" fontId="18" fillId="0" borderId="60" xfId="0" applyFont="1" applyBorder="1" applyAlignment="1" applyProtection="1">
      <protection locked="0"/>
    </xf>
    <xf numFmtId="0" fontId="18" fillId="0" borderId="407" xfId="0" applyFont="1" applyBorder="1" applyAlignment="1" applyProtection="1">
      <protection locked="0"/>
    </xf>
    <xf numFmtId="0" fontId="18" fillId="0" borderId="153" xfId="0" applyFont="1" applyBorder="1" applyAlignment="1" applyProtection="1">
      <protection locked="0"/>
    </xf>
    <xf numFmtId="0" fontId="18" fillId="0" borderId="406" xfId="0" applyFont="1" applyBorder="1" applyAlignment="1" applyProtection="1">
      <protection locked="0"/>
    </xf>
    <xf numFmtId="0" fontId="18" fillId="0" borderId="59" xfId="0" applyFont="1" applyBorder="1" applyAlignment="1" applyProtection="1">
      <protection locked="0"/>
    </xf>
    <xf numFmtId="0" fontId="18" fillId="0" borderId="58" xfId="0" applyFont="1" applyBorder="1" applyAlignment="1" applyProtection="1">
      <protection locked="0"/>
    </xf>
    <xf numFmtId="0" fontId="18" fillId="0" borderId="80" xfId="0" applyFont="1" applyFill="1" applyBorder="1" applyAlignment="1" applyProtection="1">
      <alignment wrapText="1"/>
      <protection locked="0"/>
    </xf>
    <xf numFmtId="0" fontId="18" fillId="0" borderId="179" xfId="0" applyFont="1" applyFill="1" applyBorder="1" applyAlignment="1" applyProtection="1">
      <alignment wrapText="1"/>
      <protection locked="0"/>
    </xf>
    <xf numFmtId="0" fontId="18" fillId="0" borderId="87" xfId="0" applyFont="1" applyFill="1" applyBorder="1" applyAlignment="1" applyProtection="1">
      <alignment wrapText="1"/>
      <protection locked="0"/>
    </xf>
    <xf numFmtId="0" fontId="18" fillId="0" borderId="443" xfId="0" applyFont="1" applyFill="1" applyBorder="1" applyAlignment="1" applyProtection="1">
      <alignment wrapText="1"/>
      <protection locked="0"/>
    </xf>
    <xf numFmtId="0" fontId="18" fillId="0" borderId="80" xfId="0" applyFont="1" applyBorder="1" applyAlignment="1" applyProtection="1">
      <alignment wrapText="1"/>
      <protection locked="0"/>
    </xf>
    <xf numFmtId="0" fontId="18" fillId="0" borderId="179" xfId="0" applyFont="1" applyBorder="1" applyAlignment="1" applyProtection="1">
      <alignment wrapText="1"/>
      <protection locked="0"/>
    </xf>
    <xf numFmtId="0" fontId="47" fillId="6" borderId="76" xfId="0" applyFont="1" applyFill="1" applyBorder="1" applyAlignment="1" applyProtection="1">
      <alignment horizontal="left" vertical="center" wrapText="1"/>
    </xf>
    <xf numFmtId="0" fontId="47" fillId="6" borderId="79" xfId="0" applyFont="1" applyFill="1" applyBorder="1" applyAlignment="1" applyProtection="1">
      <alignment horizontal="left" vertical="center" wrapText="1"/>
    </xf>
    <xf numFmtId="0" fontId="18" fillId="0" borderId="387" xfId="0" applyFont="1" applyBorder="1" applyAlignment="1" applyProtection="1">
      <alignment wrapText="1"/>
      <protection locked="0"/>
    </xf>
    <xf numFmtId="0" fontId="18" fillId="0" borderId="463" xfId="0" applyFont="1" applyBorder="1" applyAlignment="1" applyProtection="1">
      <alignment wrapText="1"/>
      <protection locked="0"/>
    </xf>
    <xf numFmtId="0" fontId="57" fillId="0" borderId="471" xfId="0" applyFont="1" applyFill="1" applyBorder="1" applyAlignment="1" applyProtection="1">
      <alignment horizontal="left"/>
      <protection locked="0"/>
    </xf>
    <xf numFmtId="0" fontId="18" fillId="0" borderId="0" xfId="0" applyFont="1" applyFill="1" applyBorder="1" applyAlignment="1" applyProtection="1">
      <alignment horizontal="left" wrapText="1"/>
    </xf>
    <xf numFmtId="0" fontId="57" fillId="0" borderId="471" xfId="0" applyFont="1" applyFill="1" applyBorder="1" applyAlignment="1" applyProtection="1">
      <protection locked="0"/>
    </xf>
    <xf numFmtId="37" fontId="47" fillId="0" borderId="471" xfId="0" applyNumberFormat="1" applyFont="1" applyFill="1" applyBorder="1" applyAlignment="1" applyProtection="1">
      <alignment horizontal="left"/>
      <protection locked="0"/>
    </xf>
    <xf numFmtId="0" fontId="47" fillId="0" borderId="471" xfId="0" applyFont="1" applyFill="1" applyBorder="1" applyAlignment="1" applyProtection="1">
      <alignment horizontal="left"/>
      <protection locked="0"/>
    </xf>
    <xf numFmtId="169" fontId="47" fillId="0" borderId="471" xfId="0" applyNumberFormat="1" applyFont="1" applyFill="1" applyBorder="1" applyAlignment="1" applyProtection="1">
      <alignment horizontal="left"/>
      <protection locked="0"/>
    </xf>
    <xf numFmtId="169" fontId="47" fillId="6" borderId="471" xfId="0" applyNumberFormat="1" applyFont="1" applyFill="1" applyBorder="1" applyAlignment="1" applyProtection="1">
      <alignment horizontal="left"/>
    </xf>
    <xf numFmtId="0" fontId="17" fillId="0" borderId="471" xfId="0" applyFont="1" applyFill="1" applyBorder="1" applyAlignment="1" applyProtection="1">
      <alignment horizontal="left"/>
      <protection locked="0"/>
    </xf>
    <xf numFmtId="9" fontId="47" fillId="6" borderId="471" xfId="0" applyNumberFormat="1" applyFont="1" applyFill="1" applyBorder="1" applyAlignment="1" applyProtection="1">
      <alignment horizontal="right"/>
    </xf>
    <xf numFmtId="0" fontId="17" fillId="0" borderId="471" xfId="0" applyFont="1" applyFill="1" applyBorder="1" applyAlignment="1" applyProtection="1">
      <protection locked="0"/>
    </xf>
    <xf numFmtId="0" fontId="18" fillId="0" borderId="0" xfId="0" applyFont="1" applyFill="1" applyBorder="1" applyAlignment="1" applyProtection="1">
      <alignment horizontal="left"/>
    </xf>
    <xf numFmtId="0" fontId="0" fillId="0" borderId="471" xfId="0" applyFont="1" applyFill="1" applyBorder="1" applyAlignment="1" applyProtection="1">
      <alignment horizontal="left"/>
      <protection locked="0"/>
    </xf>
    <xf numFmtId="0" fontId="20" fillId="18" borderId="281" xfId="0" applyFont="1" applyFill="1" applyBorder="1" applyAlignment="1" applyProtection="1">
      <alignment horizontal="left" vertical="center"/>
    </xf>
    <xf numFmtId="0" fontId="20" fillId="18" borderId="245" xfId="0" applyFont="1" applyFill="1" applyBorder="1" applyAlignment="1" applyProtection="1">
      <alignment horizontal="left" vertical="center"/>
    </xf>
    <xf numFmtId="0" fontId="20" fillId="18" borderId="464" xfId="0" applyFont="1" applyFill="1" applyBorder="1" applyAlignment="1" applyProtection="1">
      <alignment horizontal="left" vertical="center"/>
    </xf>
    <xf numFmtId="0" fontId="17" fillId="0" borderId="471" xfId="0" applyFont="1" applyFill="1" applyBorder="1" applyProtection="1">
      <protection locked="0"/>
    </xf>
    <xf numFmtId="0" fontId="57" fillId="0" borderId="471" xfId="0" applyFont="1" applyFill="1" applyBorder="1" applyAlignment="1" applyProtection="1">
      <alignment horizontal="left" vertical="top"/>
      <protection locked="0"/>
    </xf>
    <xf numFmtId="0" fontId="57" fillId="0" borderId="78" xfId="0" applyFont="1" applyFill="1" applyBorder="1" applyAlignment="1" applyProtection="1">
      <alignment horizontal="left"/>
      <protection locked="0"/>
    </xf>
    <xf numFmtId="0" fontId="57" fillId="0" borderId="472" xfId="0" applyFont="1" applyFill="1" applyBorder="1" applyAlignment="1" applyProtection="1">
      <alignment horizontal="left"/>
      <protection locked="0"/>
    </xf>
    <xf numFmtId="0" fontId="57" fillId="0" borderId="79" xfId="0" applyFont="1" applyFill="1" applyBorder="1" applyAlignment="1" applyProtection="1">
      <alignment horizontal="left"/>
      <protection locked="0"/>
    </xf>
    <xf numFmtId="169" fontId="47" fillId="0" borderId="471" xfId="0" applyNumberFormat="1" applyFont="1" applyFill="1" applyBorder="1" applyAlignment="1" applyProtection="1">
      <alignment horizontal="left"/>
    </xf>
    <xf numFmtId="9" fontId="47" fillId="0" borderId="471" xfId="0" applyNumberFormat="1" applyFont="1" applyFill="1" applyBorder="1" applyAlignment="1" applyProtection="1">
      <alignment horizontal="right"/>
    </xf>
    <xf numFmtId="0" fontId="18" fillId="0" borderId="0" xfId="0" applyFont="1" applyFill="1" applyBorder="1" applyAlignment="1" applyProtection="1">
      <alignment horizontal="left" vertical="top" wrapText="1"/>
    </xf>
    <xf numFmtId="0" fontId="18" fillId="0" borderId="0" xfId="0" applyFont="1" applyFill="1" applyBorder="1" applyAlignment="1" applyProtection="1">
      <alignment wrapText="1"/>
    </xf>
  </cellXfs>
  <cellStyles count="7">
    <cellStyle name="Comma" xfId="6" builtinId="3"/>
    <cellStyle name="Currency" xfId="2" builtinId="4"/>
    <cellStyle name="Currency 2" xfId="5"/>
    <cellStyle name="Hyperlink" xfId="1" builtinId="8"/>
    <cellStyle name="Normal" xfId="0" builtinId="0"/>
    <cellStyle name="Normal 2" xfId="4"/>
    <cellStyle name="Percent" xfId="3" builtinId="5"/>
  </cellStyles>
  <dxfs count="80">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b/>
        <i val="0"/>
        <color auto="1"/>
      </font>
    </dxf>
    <dxf>
      <font>
        <b/>
        <i val="0"/>
        <color auto="1"/>
      </font>
    </dxf>
    <dxf>
      <font>
        <color rgb="FF9C6500"/>
      </font>
      <fill>
        <patternFill>
          <bgColor rgb="FFFFEB9C"/>
        </patternFill>
      </fill>
    </dxf>
    <dxf>
      <font>
        <color rgb="FF990000"/>
      </font>
      <fill>
        <patternFill>
          <bgColor theme="5" tint="0.79998168889431442"/>
        </patternFill>
      </fill>
    </dxf>
    <dxf>
      <font>
        <color rgb="FF990000"/>
      </font>
      <fill>
        <patternFill>
          <bgColor theme="5" tint="0.79998168889431442"/>
        </patternFill>
      </fill>
    </dxf>
    <dxf>
      <font>
        <color theme="5" tint="-0.499984740745262"/>
      </font>
      <fill>
        <patternFill>
          <bgColor theme="5" tint="0.79998168889431442"/>
        </patternFill>
      </fill>
    </dxf>
    <dxf>
      <font>
        <b/>
        <i val="0"/>
        <color rgb="FFFF0000"/>
      </font>
      <fill>
        <patternFill>
          <bgColor rgb="FFFFFF00"/>
        </patternFill>
      </fill>
    </dxf>
    <dxf>
      <font>
        <color rgb="FF990000"/>
      </font>
      <fill>
        <patternFill>
          <bgColor theme="5" tint="0.79998168889431442"/>
        </patternFill>
      </fill>
    </dxf>
    <dxf>
      <font>
        <color rgb="FF996600"/>
      </font>
      <fill>
        <patternFill>
          <bgColor rgb="FFFFFFCC"/>
        </patternFill>
      </fill>
    </dxf>
    <dxf>
      <font>
        <b/>
        <i val="0"/>
      </font>
      <fill>
        <patternFill>
          <bgColor theme="9" tint="0.39994506668294322"/>
        </patternFill>
      </fill>
      <border>
        <left/>
        <right/>
        <top/>
        <bottom/>
      </border>
    </dxf>
    <dxf>
      <font>
        <b/>
        <i val="0"/>
      </font>
      <fill>
        <patternFill>
          <bgColor rgb="FFCCFFCC"/>
        </patternFill>
      </fill>
      <border>
        <left/>
        <right/>
        <top/>
        <bottom/>
      </border>
    </dxf>
    <dxf>
      <font>
        <color rgb="FF990000"/>
      </font>
      <fill>
        <patternFill>
          <bgColor theme="5" tint="0.79998168889431442"/>
        </patternFill>
      </fill>
    </dxf>
    <dxf>
      <font>
        <color rgb="FF990000"/>
      </font>
      <fill>
        <patternFill>
          <bgColor theme="5" tint="0.79998168889431442"/>
        </patternFill>
      </fill>
    </dxf>
    <dxf>
      <font>
        <color auto="1"/>
      </font>
      <fill>
        <patternFill patternType="darkUp">
          <bgColor theme="5" tint="0.79995117038483843"/>
        </patternFill>
      </fill>
    </dxf>
    <dxf>
      <font>
        <color auto="1"/>
      </font>
      <fill>
        <patternFill patternType="darkUp">
          <bgColor theme="5" tint="0.79995117038483843"/>
        </patternFill>
      </fill>
    </dxf>
    <dxf>
      <font>
        <color auto="1"/>
      </font>
      <fill>
        <patternFill patternType="darkUp">
          <bgColor theme="5" tint="0.79995117038483843"/>
        </patternFill>
      </fill>
    </dxf>
    <dxf>
      <font>
        <color auto="1"/>
      </font>
      <fill>
        <patternFill patternType="darkUp">
          <bgColor theme="5" tint="0.79995117038483843"/>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theme="0"/>
      </font>
      <border>
        <left/>
        <right/>
        <top/>
        <bottom/>
        <vertical/>
        <horizontal/>
      </border>
    </dxf>
    <dxf>
      <font>
        <color theme="0"/>
      </font>
    </dxf>
    <dxf>
      <font>
        <color rgb="FF996600"/>
      </font>
      <fill>
        <patternFill>
          <bgColor rgb="FFFFFFCC"/>
        </patternFill>
      </fill>
    </dxf>
    <dxf>
      <font>
        <b/>
        <i val="0"/>
      </font>
      <fill>
        <patternFill>
          <bgColor theme="9" tint="0.39994506668294322"/>
        </patternFill>
      </fill>
      <border>
        <left/>
        <right/>
        <top/>
        <bottom/>
      </border>
    </dxf>
    <dxf>
      <font>
        <b/>
        <i val="0"/>
      </font>
      <fill>
        <patternFill>
          <bgColor rgb="FFCCFFCC"/>
        </patternFill>
      </fill>
      <border>
        <left/>
        <right/>
        <top/>
        <bottom/>
      </border>
    </dxf>
    <dxf>
      <font>
        <color rgb="FF990000"/>
      </font>
      <fill>
        <patternFill>
          <bgColor theme="5" tint="0.79998168889431442"/>
        </patternFill>
      </fill>
    </dxf>
    <dxf>
      <font>
        <color rgb="FF990000"/>
      </font>
      <fill>
        <patternFill>
          <bgColor theme="5" tint="0.79998168889431442"/>
        </patternFill>
      </fill>
    </dxf>
    <dxf>
      <font>
        <color auto="1"/>
      </font>
      <fill>
        <patternFill patternType="darkUp">
          <bgColor theme="5" tint="0.79995117038483843"/>
        </patternFill>
      </fill>
    </dxf>
    <dxf>
      <font>
        <color auto="1"/>
      </font>
      <fill>
        <patternFill patternType="darkUp">
          <bgColor theme="5" tint="0.79995117038483843"/>
        </patternFill>
      </fill>
    </dxf>
    <dxf>
      <font>
        <color auto="1"/>
      </font>
      <fill>
        <patternFill patternType="darkUp">
          <bgColor theme="5" tint="0.79995117038483843"/>
        </patternFill>
      </fill>
    </dxf>
    <dxf>
      <font>
        <color auto="1"/>
      </font>
      <fill>
        <patternFill patternType="darkUp">
          <bgColor theme="5" tint="0.79995117038483843"/>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theme="0"/>
      </font>
      <border>
        <left/>
        <right/>
        <top/>
        <bottom/>
        <vertical/>
        <horizontal/>
      </border>
    </dxf>
    <dxf>
      <font>
        <color theme="0"/>
      </font>
    </dxf>
    <dxf>
      <font>
        <color rgb="FF006100"/>
      </font>
      <fill>
        <patternFill>
          <bgColor rgb="FFC6EFCE"/>
        </patternFill>
      </fill>
    </dxf>
  </dxfs>
  <tableStyles count="0" defaultTableStyle="TableStyleMedium2" defaultPivotStyle="PivotStyleLight16"/>
  <colors>
    <mruColors>
      <color rgb="FFFFFFCC"/>
      <color rgb="FFFFFF99"/>
      <color rgb="FFCCFFCC"/>
      <color rgb="FFCCECFF"/>
      <color rgb="FF996600"/>
      <color rgb="FF990000"/>
      <color rgb="FF339933"/>
      <color rgb="FF0066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3.xml.rels><?xml version="1.0" encoding="UTF-8" standalone="yes"?>
<Relationships xmlns="http://schemas.openxmlformats.org/package/2006/relationships"><Relationship Id="rId1" Type="http://schemas.openxmlformats.org/officeDocument/2006/relationships/hyperlink" Target="http://www.commerce.wa.gov/Documents/ESDS-2.2.pdf"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www.commerce.wa.gov/Documents/ESDS-2.2.pdf" TargetMode="External"/></Relationships>
</file>

<file path=xl/drawings/_rels/drawing24.xml.rels><?xml version="1.0" encoding="UTF-8" standalone="yes"?>
<Relationships xmlns="http://schemas.openxmlformats.org/package/2006/relationships"><Relationship Id="rId1" Type="http://schemas.openxmlformats.org/officeDocument/2006/relationships/hyperlink" Target="http://www.wshfc.org/mhcf/9percent/application/c_Policies.pdf" TargetMode="External"/></Relationships>
</file>

<file path=xl/drawings/_rels/drawing25.xml.rels><?xml version="1.0" encoding="UTF-8" standalone="yes"?>
<Relationships xmlns="http://schemas.openxmlformats.org/package/2006/relationships"><Relationship Id="rId1" Type="http://schemas.openxmlformats.org/officeDocument/2006/relationships/hyperlink" Target="http://www.wshfc.org/mhcf/4percent/2014TaxCreditBondPolicies.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2015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781050</xdr:colOff>
      <xdr:row>134</xdr:row>
      <xdr:rowOff>0</xdr:rowOff>
    </xdr:from>
    <xdr:to>
      <xdr:col>5</xdr:col>
      <xdr:colOff>1200150</xdr:colOff>
      <xdr:row>143</xdr:row>
      <xdr:rowOff>0</xdr:rowOff>
    </xdr:to>
    <xdr:sp macro="" textlink="">
      <xdr:nvSpPr>
        <xdr:cNvPr id="2" name="TextBox 1"/>
        <xdr:cNvSpPr txBox="1"/>
      </xdr:nvSpPr>
      <xdr:spPr>
        <a:xfrm>
          <a:off x="1962150" y="24345900"/>
          <a:ext cx="3276600" cy="1762126"/>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10</xdr:col>
      <xdr:colOff>9525</xdr:colOff>
      <xdr:row>9</xdr:row>
      <xdr:rowOff>47625</xdr:rowOff>
    </xdr:to>
    <xdr:sp macro="" textlink="">
      <xdr:nvSpPr>
        <xdr:cNvPr id="3" name="TextBox 2"/>
        <xdr:cNvSpPr txBox="1"/>
      </xdr:nvSpPr>
      <xdr:spPr bwMode="auto">
        <a:xfrm>
          <a:off x="123825" y="63497"/>
          <a:ext cx="8210550"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2C Evergreen Standard (v2.2)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an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6</xdr:col>
      <xdr:colOff>273051</xdr:colOff>
      <xdr:row>1</xdr:row>
      <xdr:rowOff>31750</xdr:rowOff>
    </xdr:from>
    <xdr:to>
      <xdr:col>6</xdr:col>
      <xdr:colOff>2009776</xdr:colOff>
      <xdr:row>4</xdr:row>
      <xdr:rowOff>111125</xdr:rowOff>
    </xdr:to>
    <xdr:sp macro="" textlink="">
      <xdr:nvSpPr>
        <xdr:cNvPr id="4" name="TextBox 3">
          <a:hlinkClick xmlns:r="http://schemas.openxmlformats.org/officeDocument/2006/relationships" r:id="rId1"/>
        </xdr:cNvPr>
        <xdr:cNvSpPr txBox="1"/>
      </xdr:nvSpPr>
      <xdr:spPr bwMode="auto">
        <a:xfrm>
          <a:off x="5864226" y="2222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781050</xdr:colOff>
      <xdr:row>134</xdr:row>
      <xdr:rowOff>0</xdr:rowOff>
    </xdr:from>
    <xdr:to>
      <xdr:col>5</xdr:col>
      <xdr:colOff>1200150</xdr:colOff>
      <xdr:row>143</xdr:row>
      <xdr:rowOff>0</xdr:rowOff>
    </xdr:to>
    <xdr:sp macro="" textlink="">
      <xdr:nvSpPr>
        <xdr:cNvPr id="2" name="TextBox 1"/>
        <xdr:cNvSpPr txBox="1"/>
      </xdr:nvSpPr>
      <xdr:spPr>
        <a:xfrm>
          <a:off x="1962150" y="24069675"/>
          <a:ext cx="3276600"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10</xdr:col>
      <xdr:colOff>9525</xdr:colOff>
      <xdr:row>9</xdr:row>
      <xdr:rowOff>47625</xdr:rowOff>
    </xdr:to>
    <xdr:sp macro="" textlink="">
      <xdr:nvSpPr>
        <xdr:cNvPr id="3" name="TextBox 2"/>
        <xdr:cNvSpPr txBox="1"/>
      </xdr:nvSpPr>
      <xdr:spPr bwMode="auto">
        <a:xfrm>
          <a:off x="123825" y="63497"/>
          <a:ext cx="8210550"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Form 2C Evergreen Standard (v2.2)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an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Insert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6</xdr:col>
      <xdr:colOff>273051</xdr:colOff>
      <xdr:row>1</xdr:row>
      <xdr:rowOff>31750</xdr:rowOff>
    </xdr:from>
    <xdr:to>
      <xdr:col>6</xdr:col>
      <xdr:colOff>2009776</xdr:colOff>
      <xdr:row>4</xdr:row>
      <xdr:rowOff>111125</xdr:rowOff>
    </xdr:to>
    <xdr:sp macro="" textlink="">
      <xdr:nvSpPr>
        <xdr:cNvPr id="4" name="TextBox 3">
          <a:hlinkClick xmlns:r="http://schemas.openxmlformats.org/officeDocument/2006/relationships" r:id="rId1"/>
        </xdr:cNvPr>
        <xdr:cNvSpPr txBox="1"/>
      </xdr:nvSpPr>
      <xdr:spPr bwMode="auto">
        <a:xfrm>
          <a:off x="5740401" y="2222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Criteria</a:t>
          </a:r>
          <a:endParaRPr lang="en-US" sz="1400" u="sng">
            <a:solidFill>
              <a:srgbClr val="0000FF"/>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85726</xdr:rowOff>
    </xdr:from>
    <xdr:to>
      <xdr:col>8</xdr:col>
      <xdr:colOff>104775</xdr:colOff>
      <xdr:row>8</xdr:row>
      <xdr:rowOff>95250</xdr:rowOff>
    </xdr:to>
    <xdr:sp macro="" textlink="">
      <xdr:nvSpPr>
        <xdr:cNvPr id="2" name="TextBox 1"/>
        <xdr:cNvSpPr txBox="1"/>
      </xdr:nvSpPr>
      <xdr:spPr>
        <a:xfrm>
          <a:off x="95250" y="85726"/>
          <a:ext cx="5400675" cy="15335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7</xdr:col>
      <xdr:colOff>85725</xdr:colOff>
      <xdr:row>5</xdr:row>
      <xdr:rowOff>161926</xdr:rowOff>
    </xdr:to>
    <xdr:sp macro="" textlink="">
      <xdr:nvSpPr>
        <xdr:cNvPr id="2" name="TextBox 1"/>
        <xdr:cNvSpPr txBox="1"/>
      </xdr:nvSpPr>
      <xdr:spPr>
        <a:xfrm>
          <a:off x="104775" y="85726"/>
          <a:ext cx="8181975" cy="10287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column, also enter the appropriate category in the first column.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25</xdr:col>
      <xdr:colOff>9525</xdr:colOff>
      <xdr:row>7</xdr:row>
      <xdr:rowOff>161925</xdr:rowOff>
    </xdr:to>
    <xdr:sp macro="" textlink="">
      <xdr:nvSpPr>
        <xdr:cNvPr id="2" name="TextBox 1"/>
        <xdr:cNvSpPr txBox="1"/>
      </xdr:nvSpPr>
      <xdr:spPr>
        <a:xfrm>
          <a:off x="76199" y="95250"/>
          <a:ext cx="10782301" cy="1400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a:p>
          <a:endParaRPr lang="en-US">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171450</xdr:colOff>
      <xdr:row>0</xdr:row>
      <xdr:rowOff>76200</xdr:rowOff>
    </xdr:from>
    <xdr:to>
      <xdr:col>21</xdr:col>
      <xdr:colOff>161925</xdr:colOff>
      <xdr:row>4</xdr:row>
      <xdr:rowOff>142875</xdr:rowOff>
    </xdr:to>
    <xdr:sp macro="" textlink="">
      <xdr:nvSpPr>
        <xdr:cNvPr id="2" name="TextBox 1"/>
        <xdr:cNvSpPr txBox="1"/>
      </xdr:nvSpPr>
      <xdr:spPr>
        <a:xfrm>
          <a:off x="171450" y="76200"/>
          <a:ext cx="10220325" cy="8286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 Development Budget by Site - </a:t>
          </a:r>
          <a:r>
            <a:rPr lang="en-US" sz="1400" b="1" i="1">
              <a:solidFill>
                <a:schemeClr val="dk1"/>
              </a:solidFill>
              <a:effectLst/>
              <a:latin typeface="+mn-lt"/>
              <a:ea typeface="+mn-ea"/>
              <a:cs typeface="+mn-cs"/>
            </a:rPr>
            <a:t>for</a:t>
          </a:r>
          <a:r>
            <a:rPr lang="en-US" sz="1400" b="1" i="1" baseline="0">
              <a:solidFill>
                <a:schemeClr val="dk1"/>
              </a:solidFill>
              <a:effectLst/>
              <a:latin typeface="+mn-lt"/>
              <a:ea typeface="+mn-ea"/>
              <a:cs typeface="+mn-cs"/>
            </a:rPr>
            <a:t> Multi-Site projects only</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multi-site projects, allocate</a:t>
          </a:r>
          <a:r>
            <a:rPr lang="en-US" sz="1100" b="0" i="0" u="none" strike="noStrike" baseline="0">
              <a:solidFill>
                <a:schemeClr val="dk1"/>
              </a:solidFill>
              <a:effectLst/>
              <a:latin typeface="+mn-lt"/>
              <a:ea typeface="+mn-ea"/>
              <a:cs typeface="+mn-cs"/>
            </a:rPr>
            <a:t> costs by site. If your project consists of only one Site, disregard this form.</a:t>
          </a:r>
        </a:p>
        <a:p>
          <a:r>
            <a:rPr lang="en-US" sz="1100" b="0" i="0">
              <a:solidFill>
                <a:schemeClr val="dk1"/>
              </a:solidFill>
              <a:effectLst/>
              <a:latin typeface="+mn-lt"/>
              <a:ea typeface="+mn-ea"/>
              <a:cs typeface="+mn-cs"/>
            </a:rPr>
            <a:t>● </a:t>
          </a:r>
          <a:r>
            <a:rPr lang="en-US" sz="1100" b="0" i="0" u="none" strike="noStrike" baseline="0">
              <a:solidFill>
                <a:schemeClr val="dk1"/>
              </a:solidFill>
              <a:effectLst/>
              <a:latin typeface="+mn-lt"/>
              <a:ea typeface="+mn-ea"/>
              <a:cs typeface="+mn-cs"/>
            </a:rPr>
            <a:t>If line-item totals on this form do not match the line-item totals on Form 6A, those line item totals will be automatically formatted in red</a:t>
          </a:r>
          <a:endParaRPr lang="en-US" sz="1100" b="0" i="0">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14</xdr:col>
      <xdr:colOff>104775</xdr:colOff>
      <xdr:row>5</xdr:row>
      <xdr:rowOff>120649</xdr:rowOff>
    </xdr:to>
    <xdr:sp macro="" textlink="">
      <xdr:nvSpPr>
        <xdr:cNvPr id="2" name="TextBox 1"/>
        <xdr:cNvSpPr txBox="1"/>
      </xdr:nvSpPr>
      <xdr:spPr>
        <a:xfrm>
          <a:off x="85725" y="57150"/>
          <a:ext cx="10572750" cy="10159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6E.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p>
        <a:p>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13</xdr:col>
      <xdr:colOff>85725</xdr:colOff>
      <xdr:row>7</xdr:row>
      <xdr:rowOff>180974</xdr:rowOff>
    </xdr:to>
    <xdr:sp macro="" textlink="">
      <xdr:nvSpPr>
        <xdr:cNvPr id="2" name="TextBox 1"/>
        <xdr:cNvSpPr txBox="1"/>
      </xdr:nvSpPr>
      <xdr:spPr>
        <a:xfrm>
          <a:off x="104774" y="57149"/>
          <a:ext cx="8877301" cy="1457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0</xdr:row>
      <xdr:rowOff>95250</xdr:rowOff>
    </xdr:from>
    <xdr:to>
      <xdr:col>9</xdr:col>
      <xdr:colOff>95250</xdr:colOff>
      <xdr:row>4</xdr:row>
      <xdr:rowOff>0</xdr:rowOff>
    </xdr:to>
    <xdr:sp macro="" textlink="">
      <xdr:nvSpPr>
        <xdr:cNvPr id="2" name="TextBox 1"/>
        <xdr:cNvSpPr txBox="1"/>
      </xdr:nvSpPr>
      <xdr:spPr>
        <a:xfrm>
          <a:off x="123825" y="95250"/>
          <a:ext cx="8429625" cy="67627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completes Form 8C</a:t>
          </a:r>
          <a:endParaRPr lang="en-US" sz="1100" b="0" i="0" u="none" strike="noStrike">
            <a:solidFill>
              <a:schemeClr val="dk1"/>
            </a:solidFill>
            <a:effectLst/>
            <a:latin typeface="+mn-lt"/>
            <a:ea typeface="+mn-ea"/>
            <a:cs typeface="+mn-cs"/>
          </a:endParaRPr>
        </a:p>
        <a:p>
          <a:endParaRPr lang="en-US" sz="1100" b="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xdr:colOff>
      <xdr:row>0</xdr:row>
      <xdr:rowOff>76201</xdr:rowOff>
    </xdr:from>
    <xdr:to>
      <xdr:col>13</xdr:col>
      <xdr:colOff>19050</xdr:colOff>
      <xdr:row>6</xdr:row>
      <xdr:rowOff>104775</xdr:rowOff>
    </xdr:to>
    <xdr:sp macro="" textlink="">
      <xdr:nvSpPr>
        <xdr:cNvPr id="2" name="TextBox 1"/>
        <xdr:cNvSpPr txBox="1"/>
      </xdr:nvSpPr>
      <xdr:spPr>
        <a:xfrm>
          <a:off x="123825" y="76201"/>
          <a:ext cx="7077075" cy="11715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Operating Personnel Expenses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Enter the title of every paid operating staff person working on this project. </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Staff should correspond to the on-site and off-site management</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Titles must correspond to job descriptions included with your application.</a:t>
          </a: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0</xdr:row>
      <xdr:rowOff>57149</xdr:rowOff>
    </xdr:from>
    <xdr:to>
      <xdr:col>17</xdr:col>
      <xdr:colOff>47625</xdr:colOff>
      <xdr:row>10</xdr:row>
      <xdr:rowOff>28574</xdr:rowOff>
    </xdr:to>
    <xdr:sp macro="" textlink="">
      <xdr:nvSpPr>
        <xdr:cNvPr id="2" name="TextBox 1"/>
        <xdr:cNvSpPr txBox="1"/>
      </xdr:nvSpPr>
      <xdr:spPr>
        <a:xfrm>
          <a:off x="142875" y="57149"/>
          <a:ext cx="10191750" cy="18764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Service</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Enter the title of every paid service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Client Assistance costs should be used for one-time expenses. Costs may include: background checks, security deposits, moving costs, costs for apartment set-up</a:t>
          </a:r>
        </a:p>
        <a:p>
          <a:r>
            <a:rPr lang="en-US" sz="1100">
              <a:solidFill>
                <a:schemeClr val="dk1"/>
              </a:solidFill>
              <a:effectLst/>
              <a:latin typeface="+mn-lt"/>
              <a:ea typeface="+mn-ea"/>
              <a:cs typeface="+mn-cs"/>
            </a:rPr>
            <a:t>     (furniture bedding, dishes, etc.), and utility assistance. This figure should represent an annual estimate.</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Projects in King County Only</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Equipment is allowed as a one-time expense in the first year of the budget  </a:t>
          </a:r>
          <a:endParaRPr lang="en-US">
            <a:effectLst/>
          </a:endParaRPr>
        </a:p>
        <a:p>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 Administrative costs are capped .  Please consult with your funders to confirm</a:t>
          </a:r>
          <a:r>
            <a:rPr lang="en-US" sz="1100" baseline="0">
              <a:solidFill>
                <a:schemeClr val="dk1"/>
              </a:solidFill>
              <a:effectLst/>
              <a:latin typeface="+mn-lt"/>
              <a:ea typeface="+mn-ea"/>
              <a:cs typeface="+mn-cs"/>
            </a:rPr>
            <a:t> the limits.</a:t>
          </a:r>
          <a:endParaRPr lang="en-US">
            <a:effectLst/>
          </a:endParaRPr>
        </a:p>
        <a:p>
          <a:pPr eaLnBrk="1" fontAlgn="auto" latinLnBrk="0" hangingPunct="1"/>
          <a:endParaRPr lang="en-US" sz="1100">
            <a:solidFill>
              <a:schemeClr val="dk1"/>
            </a:solidFill>
            <a:effectLst/>
            <a:latin typeface="+mn-lt"/>
            <a:ea typeface="+mn-ea"/>
            <a:cs typeface="+mn-cs"/>
          </a:endParaRPr>
        </a:p>
        <a:p>
          <a:pPr eaLnBrk="1" fontAlgn="auto" latinLnBrk="0" hangingPunct="1"/>
          <a:r>
            <a:rPr lang="en-US" sz="1100" b="0" i="0">
              <a:solidFill>
                <a:schemeClr val="dk1"/>
              </a:solidFill>
              <a:effectLst/>
              <a:latin typeface="+mn-lt"/>
              <a:ea typeface="+mn-ea"/>
              <a:cs typeface="+mn-cs"/>
            </a:rPr>
            <a:t>● </a:t>
          </a:r>
          <a:r>
            <a:rPr lang="en-US" sz="1100">
              <a:solidFill>
                <a:schemeClr val="dk1"/>
              </a:solidFill>
              <a:effectLst/>
              <a:latin typeface="+mn-lt"/>
              <a:ea typeface="+mn-ea"/>
              <a:cs typeface="+mn-cs"/>
            </a:rPr>
            <a:t>If you propose to use operating revenue to subsidize services, please indicate the amount of operating revenue used to cover service expenses in the narrative section below.  </a:t>
          </a:r>
          <a:endParaRPr lang="en-US">
            <a:effectLst/>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0</xdr:row>
      <xdr:rowOff>76200</xdr:rowOff>
    </xdr:from>
    <xdr:to>
      <xdr:col>16</xdr:col>
      <xdr:colOff>66675</xdr:colOff>
      <xdr:row>15</xdr:row>
      <xdr:rowOff>142875</xdr:rowOff>
    </xdr:to>
    <xdr:sp macro="" textlink="">
      <xdr:nvSpPr>
        <xdr:cNvPr id="2" name="TextBox 1"/>
        <xdr:cNvSpPr txBox="1"/>
      </xdr:nvSpPr>
      <xdr:spPr>
        <a:xfrm>
          <a:off x="104775" y="76200"/>
          <a:ext cx="8667750" cy="2924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a:t>
          </a:r>
          <a:r>
            <a:rPr lang="en-US" sz="1100" b="0" i="0" u="none" strike="noStrike">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If the proposed project has rental </a:t>
          </a:r>
          <a:r>
            <a:rPr lang="en-US" sz="1100" b="0" i="0" u="none" strike="noStrike">
              <a:solidFill>
                <a:sysClr val="windowText" lastClr="000000"/>
              </a:solidFill>
              <a:effectLst/>
              <a:latin typeface="+mn-lt"/>
              <a:ea typeface="+mn-ea"/>
              <a:cs typeface="+mn-cs"/>
            </a:rPr>
            <a:t>subsidies, use this Form</a:t>
          </a:r>
          <a:r>
            <a:rPr lang="en-US" sz="1100" b="0" i="0" u="none" strike="noStrike" baseline="0">
              <a:solidFill>
                <a:sysClr val="windowText" lastClr="000000"/>
              </a:solidFill>
              <a:effectLst/>
              <a:latin typeface="+mn-lt"/>
              <a:ea typeface="+mn-ea"/>
              <a:cs typeface="+mn-cs"/>
            </a:rPr>
            <a:t> to </a:t>
          </a:r>
          <a:r>
            <a:rPr lang="en-US" sz="1100" b="0" i="0" u="none" strike="noStrike">
              <a:solidFill>
                <a:sysClr val="windowText" lastClr="000000"/>
              </a:solidFill>
              <a:effectLst/>
              <a:latin typeface="+mn-lt"/>
              <a:ea typeface="+mn-ea"/>
              <a:cs typeface="+mn-cs"/>
            </a:rPr>
            <a:t>provide a Pro Forma that assumes the subsidy. Use Form 8E(2) to provide a budget</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ysClr val="windowText" lastClr="000000"/>
              </a:solidFill>
              <a:effectLst/>
              <a:latin typeface="+mn-lt"/>
              <a:ea typeface="+mn-ea"/>
              <a:cs typeface="+mn-cs"/>
            </a:rPr>
            <a:t>   that does not include the subsidy. If the project does not include rental subsidies,</a:t>
          </a:r>
          <a:r>
            <a:rPr lang="en-US" sz="1100" b="0" i="0" u="none" strike="noStrike" baseline="0">
              <a:solidFill>
                <a:sysClr val="windowText" lastClr="000000"/>
              </a:solidFill>
              <a:effectLst/>
              <a:latin typeface="+mn-lt"/>
              <a:ea typeface="+mn-ea"/>
              <a:cs typeface="+mn-cs"/>
            </a:rPr>
            <a:t>  please enable the "No Rent Subsidy" checkbox.</a:t>
          </a:r>
          <a:endParaRPr lang="en-US" sz="1100" b="0" i="0" u="none" strike="noStrike">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 percentage values for all cost and revenue escalators in the fields provided. </a:t>
          </a:r>
          <a:r>
            <a:rPr lang="en-US" sz="1100">
              <a:solidFill>
                <a:schemeClr val="dk1"/>
              </a:solidFill>
              <a:effectLst/>
              <a:latin typeface="+mn-lt"/>
              <a:ea typeface="+mn-ea"/>
              <a:cs typeface="+mn-cs"/>
            </a:rPr>
            <a:t>In the </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a:p>
          <a:pPr marL="0" marR="0" indent="0" defTabSz="914400" eaLnBrk="1" fontAlgn="auto" latinLnBrk="0" hangingPunct="1">
            <a:lnSpc>
              <a:spcPct val="100000"/>
            </a:lnSpc>
            <a:spcBef>
              <a:spcPts val="0"/>
            </a:spcBef>
            <a:spcAft>
              <a:spcPts val="0"/>
            </a:spcAft>
            <a:buClrTx/>
            <a:buSzTx/>
            <a:buFontTx/>
            <a:buNone/>
            <a:tabLst/>
            <a:defRPr/>
          </a:pPr>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16</xdr:col>
      <xdr:colOff>66675</xdr:colOff>
      <xdr:row>6</xdr:row>
      <xdr:rowOff>142874</xdr:rowOff>
    </xdr:to>
    <xdr:sp macro="" textlink="">
      <xdr:nvSpPr>
        <xdr:cNvPr id="2" name="TextBox 1"/>
        <xdr:cNvSpPr txBox="1"/>
      </xdr:nvSpPr>
      <xdr:spPr>
        <a:xfrm>
          <a:off x="104775" y="76199"/>
          <a:ext cx="8667750" cy="1019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8E(2): Operating</a:t>
          </a:r>
          <a:r>
            <a:rPr lang="en-US" sz="1400" b="1" i="0" u="none" strike="noStrike" baseline="0">
              <a:solidFill>
                <a:schemeClr val="dk1"/>
              </a:solidFill>
              <a:effectLst/>
              <a:latin typeface="+mn-lt"/>
              <a:ea typeface="+mn-ea"/>
              <a:cs typeface="+mn-cs"/>
            </a:rPr>
            <a:t> Pro Forma (Alternate Without Subsidy)</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a:t>
          </a:r>
          <a:r>
            <a:rPr lang="en-US" sz="1100" b="0" i="0" u="none" strike="noStrike">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Use this Form</a:t>
          </a:r>
          <a:r>
            <a:rPr lang="en-US" sz="1100" b="0" i="0" u="none" strike="noStrike" baseline="0">
              <a:solidFill>
                <a:sysClr val="windowText" lastClr="000000"/>
              </a:solidFill>
              <a:effectLst/>
              <a:latin typeface="+mn-lt"/>
              <a:ea typeface="+mn-ea"/>
              <a:cs typeface="+mn-cs"/>
            </a:rPr>
            <a:t> only if your project includes rent subsidies, and you accounted for those subsidies in completing Form 8E</a:t>
          </a:r>
          <a:r>
            <a:rPr lang="en-US" sz="1100" b="0" i="0" u="none" strike="noStrike">
              <a:solidFill>
                <a:sysClr val="windowText" lastClr="000000"/>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ysClr val="windowText" lastClr="000000"/>
              </a:solidFill>
              <a:effectLst/>
              <a:latin typeface="+mn-lt"/>
              <a:ea typeface="+mn-ea"/>
              <a:cs typeface="+mn-cs"/>
            </a:rPr>
            <a:t>• For your convenience, the Year 1 expenses</a:t>
          </a:r>
          <a:r>
            <a:rPr lang="en-US" sz="1100" b="0" i="0" baseline="0">
              <a:solidFill>
                <a:sysClr val="windowText" lastClr="000000"/>
              </a:solidFill>
              <a:effectLst/>
              <a:latin typeface="+mn-lt"/>
              <a:ea typeface="+mn-ea"/>
              <a:cs typeface="+mn-cs"/>
            </a:rPr>
            <a:t> entered on Form 8E will auto-populate here. You may alter them as needed, and assign alternate</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n-lt"/>
              <a:ea typeface="+mn-ea"/>
              <a:cs typeface="+mn-cs"/>
            </a:rPr>
            <a:t>   escalators to each, or leave them as per Form 8E</a:t>
          </a:r>
          <a:r>
            <a:rPr lang="en-US" sz="1100" b="0" i="0">
              <a:solidFill>
                <a:sysClr val="windowText" lastClr="000000"/>
              </a:solidFill>
              <a:effectLst/>
              <a:latin typeface="+mn-lt"/>
              <a:ea typeface="+mn-ea"/>
              <a:cs typeface="+mn-cs"/>
            </a:rPr>
            <a:t>.</a:t>
          </a:r>
          <a:endParaRPr lang="en-US" b="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8F: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76199</xdr:colOff>
      <xdr:row>0</xdr:row>
      <xdr:rowOff>66675</xdr:rowOff>
    </xdr:from>
    <xdr:to>
      <xdr:col>12</xdr:col>
      <xdr:colOff>104774</xdr:colOff>
      <xdr:row>9</xdr:row>
      <xdr:rowOff>95250</xdr:rowOff>
    </xdr:to>
    <xdr:sp macro="" textlink="">
      <xdr:nvSpPr>
        <xdr:cNvPr id="2" name="TextBox 1"/>
        <xdr:cNvSpPr txBox="1"/>
      </xdr:nvSpPr>
      <xdr:spPr>
        <a:xfrm>
          <a:off x="76199" y="66675"/>
          <a:ext cx="8486775" cy="1743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xdr:colOff>
      <xdr:row>0</xdr:row>
      <xdr:rowOff>95250</xdr:rowOff>
    </xdr:from>
    <xdr:to>
      <xdr:col>11</xdr:col>
      <xdr:colOff>28576</xdr:colOff>
      <xdr:row>4</xdr:row>
      <xdr:rowOff>171450</xdr:rowOff>
    </xdr:to>
    <xdr:sp macro="" textlink="">
      <xdr:nvSpPr>
        <xdr:cNvPr id="2" name="TextBox 1"/>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28575</xdr:colOff>
      <xdr:row>0</xdr:row>
      <xdr:rowOff>66674</xdr:rowOff>
    </xdr:from>
    <xdr:to>
      <xdr:col>15</xdr:col>
      <xdr:colOff>28575</xdr:colOff>
      <xdr:row>11</xdr:row>
      <xdr:rowOff>190499</xdr:rowOff>
    </xdr:to>
    <xdr:sp macro="" textlink="">
      <xdr:nvSpPr>
        <xdr:cNvPr id="2" name="TextBox 1"/>
        <xdr:cNvSpPr txBox="1"/>
      </xdr:nvSpPr>
      <xdr:spPr>
        <a:xfrm>
          <a:off x="142875" y="66674"/>
          <a:ext cx="7277100" cy="22193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11A:</a:t>
          </a:r>
          <a:r>
            <a:rPr lang="en-US" sz="1400" b="1" baseline="0">
              <a:solidFill>
                <a:schemeClr val="dk1"/>
              </a:solidFill>
              <a:effectLst/>
              <a:latin typeface="+mn-lt"/>
              <a:ea typeface="+mn-ea"/>
              <a:cs typeface="+mn-cs"/>
            </a:rPr>
            <a:t>  </a:t>
          </a:r>
          <a:r>
            <a:rPr lang="en-US" sz="1400" b="1">
              <a:solidFill>
                <a:schemeClr val="dk1"/>
              </a:solidFill>
              <a:effectLst/>
              <a:latin typeface="+mn-lt"/>
              <a:ea typeface="+mn-ea"/>
              <a:cs typeface="+mn-cs"/>
            </a:rPr>
            <a:t>9% LIHTC SCORING SYNOPSIS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applying for 9% Low-Income Housing Tax Credits.  </a:t>
          </a:r>
          <a:endParaRPr lang="en-US" sz="1400" b="1">
            <a:effectLst/>
          </a:endParaRPr>
        </a:p>
        <a:p>
          <a:r>
            <a:rPr lang="en-US" sz="1100">
              <a:solidFill>
                <a:schemeClr val="dk1"/>
              </a:solidFill>
              <a:effectLst/>
              <a:latin typeface="+mn-lt"/>
              <a:ea typeface="+mn-ea"/>
              <a:cs typeface="+mn-cs"/>
            </a:rPr>
            <a:t>The following scoring</a:t>
          </a:r>
          <a:r>
            <a:rPr lang="en-US" sz="1100" baseline="0">
              <a:solidFill>
                <a:schemeClr val="dk1"/>
              </a:solidFill>
              <a:effectLst/>
              <a:latin typeface="+mn-lt"/>
              <a:ea typeface="+mn-ea"/>
              <a:cs typeface="+mn-cs"/>
            </a:rPr>
            <a:t> synopsis is meant for estimating purposes only.  The scoring criteria are based on the 2014 9% Housing Credit Policies and are subject to change for the 2015 allocation round.  Additionally, a number of the scoring criteria require preapproval by the Commission before a project is eligible for the points.  </a:t>
          </a: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Please refer to Chapter 6 of the Policies for definitions and specific details on each </a:t>
          </a:r>
        </a:p>
        <a:p>
          <a:r>
            <a:rPr lang="en-US" sz="1100">
              <a:solidFill>
                <a:schemeClr val="dk1"/>
              </a:solidFill>
              <a:effectLst/>
              <a:latin typeface="+mn-lt"/>
              <a:ea typeface="+mn-ea"/>
              <a:cs typeface="+mn-cs"/>
            </a:rPr>
            <a:t>allocation criterion.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4% Tax Credits and Bond financing, please </a:t>
          </a:r>
        </a:p>
        <a:p>
          <a:r>
            <a:rPr lang="en-US" sz="1100" baseline="0">
              <a:solidFill>
                <a:schemeClr val="dk1"/>
              </a:solidFill>
              <a:effectLst/>
              <a:latin typeface="+mn-lt"/>
              <a:ea typeface="+mn-ea"/>
              <a:cs typeface="+mn-cs"/>
            </a:rPr>
            <a:t>complete Form 11B.</a:t>
          </a:r>
          <a:endParaRPr lang="en-US" sz="1100">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twoCellAnchor>
    <xdr:from>
      <xdr:col>11</xdr:col>
      <xdr:colOff>438149</xdr:colOff>
      <xdr:row>7</xdr:row>
      <xdr:rowOff>1</xdr:rowOff>
    </xdr:from>
    <xdr:to>
      <xdr:col>14</xdr:col>
      <xdr:colOff>28575</xdr:colOff>
      <xdr:row>10</xdr:row>
      <xdr:rowOff>85726</xdr:rowOff>
    </xdr:to>
    <xdr:sp macro="" textlink="">
      <xdr:nvSpPr>
        <xdr:cNvPr id="3" name="TextBox 2">
          <a:hlinkClick xmlns:r="http://schemas.openxmlformats.org/officeDocument/2006/relationships" r:id="rId1"/>
        </xdr:cNvPr>
        <xdr:cNvSpPr txBox="1"/>
      </xdr:nvSpPr>
      <xdr:spPr bwMode="auto">
        <a:xfrm>
          <a:off x="5333999" y="1333501"/>
          <a:ext cx="1971676" cy="65722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a:t>
          </a:r>
          <a:r>
            <a:rPr lang="en-US" sz="1400" u="sng">
              <a:solidFill>
                <a:srgbClr val="0000FF"/>
              </a:solidFill>
              <a:latin typeface="+mn-lt"/>
              <a:ea typeface="+mn-ea"/>
              <a:cs typeface="+mn-cs"/>
            </a:rPr>
            <a:t>to 2014 9% Housing Credit Policies </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104775</xdr:colOff>
      <xdr:row>0</xdr:row>
      <xdr:rowOff>76200</xdr:rowOff>
    </xdr:from>
    <xdr:to>
      <xdr:col>14</xdr:col>
      <xdr:colOff>104775</xdr:colOff>
      <xdr:row>11</xdr:row>
      <xdr:rowOff>85725</xdr:rowOff>
    </xdr:to>
    <xdr:sp macro="" textlink="">
      <xdr:nvSpPr>
        <xdr:cNvPr id="2" name="TextBox 1"/>
        <xdr:cNvSpPr txBox="1"/>
      </xdr:nvSpPr>
      <xdr:spPr>
        <a:xfrm>
          <a:off x="104775" y="76200"/>
          <a:ext cx="7277100" cy="21050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11B:  4% LIHTC and</a:t>
          </a:r>
          <a:r>
            <a:rPr lang="en-US" sz="1400" b="1" baseline="0">
              <a:solidFill>
                <a:schemeClr val="dk1"/>
              </a:solidFill>
              <a:effectLst/>
              <a:latin typeface="+mn-lt"/>
              <a:ea typeface="+mn-ea"/>
              <a:cs typeface="+mn-cs"/>
            </a:rPr>
            <a:t> Bond Scoring Synopsis</a:t>
          </a:r>
          <a:endParaRPr lang="en-US" sz="14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Please</a:t>
          </a:r>
          <a:r>
            <a:rPr lang="en-US" sz="1100" b="1" baseline="0">
              <a:solidFill>
                <a:schemeClr val="dk1"/>
              </a:solidFill>
              <a:effectLst/>
              <a:latin typeface="+mn-lt"/>
              <a:ea typeface="+mn-ea"/>
              <a:cs typeface="+mn-cs"/>
            </a:rPr>
            <a:t> complete the following </a:t>
          </a:r>
          <a:r>
            <a:rPr lang="en-US" sz="1100" b="1" u="sng" baseline="0">
              <a:solidFill>
                <a:schemeClr val="dk1"/>
              </a:solidFill>
              <a:effectLst/>
              <a:latin typeface="+mn-lt"/>
              <a:ea typeface="+mn-ea"/>
              <a:cs typeface="+mn-cs"/>
            </a:rPr>
            <a:t>only</a:t>
          </a:r>
          <a:r>
            <a:rPr lang="en-US" sz="1100" b="1" baseline="0">
              <a:solidFill>
                <a:schemeClr val="dk1"/>
              </a:solidFill>
              <a:effectLst/>
              <a:latin typeface="+mn-lt"/>
              <a:ea typeface="+mn-ea"/>
              <a:cs typeface="+mn-cs"/>
            </a:rPr>
            <a:t> if the project anticipates being financed with 4% Low-Income Housing Tax Credits and bonds.  A minimum of 30 points is required.  </a:t>
          </a:r>
        </a:p>
        <a:p>
          <a:endParaRPr lang="en-US" sz="1100" b="1" baseline="0">
            <a:solidFill>
              <a:schemeClr val="dk1"/>
            </a:solidFill>
            <a:effectLst/>
            <a:latin typeface="+mn-lt"/>
            <a:ea typeface="+mn-ea"/>
            <a:cs typeface="+mn-cs"/>
          </a:endParaRPr>
        </a:p>
        <a:p>
          <a:r>
            <a:rPr lang="en-US" sz="1100">
              <a:solidFill>
                <a:schemeClr val="dk1"/>
              </a:solidFill>
              <a:effectLst/>
              <a:latin typeface="+mn-lt"/>
              <a:ea typeface="+mn-ea"/>
              <a:cs typeface="+mn-cs"/>
            </a:rPr>
            <a:t>The following scoring</a:t>
          </a:r>
          <a:r>
            <a:rPr lang="en-US" sz="1100" baseline="0">
              <a:solidFill>
                <a:schemeClr val="dk1"/>
              </a:solidFill>
              <a:effectLst/>
              <a:latin typeface="+mn-lt"/>
              <a:ea typeface="+mn-ea"/>
              <a:cs typeface="+mn-cs"/>
            </a:rPr>
            <a:t> synopsis is meant for estimating purposes only.  The scoring </a:t>
          </a:r>
        </a:p>
        <a:p>
          <a:r>
            <a:rPr lang="en-US" sz="1100" baseline="0">
              <a:solidFill>
                <a:schemeClr val="dk1"/>
              </a:solidFill>
              <a:effectLst/>
              <a:latin typeface="+mn-lt"/>
              <a:ea typeface="+mn-ea"/>
              <a:cs typeface="+mn-cs"/>
            </a:rPr>
            <a:t>criteria are based on the 2014 Tax Credit/Bond Policies and are subject to change </a:t>
          </a:r>
        </a:p>
        <a:p>
          <a:r>
            <a:rPr lang="en-US" sz="1100" baseline="0">
              <a:solidFill>
                <a:schemeClr val="dk1"/>
              </a:solidFill>
              <a:effectLst/>
              <a:latin typeface="+mn-lt"/>
              <a:ea typeface="+mn-ea"/>
              <a:cs typeface="+mn-cs"/>
            </a:rPr>
            <a:t>for the 2015 program year.  </a:t>
          </a:r>
          <a:r>
            <a:rPr lang="en-US" sz="1100">
              <a:solidFill>
                <a:schemeClr val="dk1"/>
              </a:solidFill>
              <a:effectLst/>
              <a:latin typeface="+mn-lt"/>
              <a:ea typeface="+mn-ea"/>
              <a:cs typeface="+mn-cs"/>
            </a:rPr>
            <a:t>Please refer to Chapter 6 of the</a:t>
          </a:r>
          <a:r>
            <a:rPr lang="en-US" sz="1100" baseline="0">
              <a:solidFill>
                <a:schemeClr val="dk1"/>
              </a:solidFill>
              <a:effectLst/>
              <a:latin typeface="+mn-lt"/>
              <a:ea typeface="+mn-ea"/>
              <a:cs typeface="+mn-cs"/>
            </a:rPr>
            <a:t> Multifamily Housing </a:t>
          </a:r>
        </a:p>
        <a:p>
          <a:r>
            <a:rPr lang="en-US" sz="1100" baseline="0">
              <a:solidFill>
                <a:schemeClr val="dk1"/>
              </a:solidFill>
              <a:effectLst/>
              <a:latin typeface="+mn-lt"/>
              <a:ea typeface="+mn-ea"/>
              <a:cs typeface="+mn-cs"/>
            </a:rPr>
            <a:t>Bonds and 4% Tax Credit </a:t>
          </a:r>
          <a:r>
            <a:rPr lang="en-US" sz="1100">
              <a:solidFill>
                <a:schemeClr val="dk1"/>
              </a:solidFill>
              <a:effectLst/>
              <a:latin typeface="+mn-lt"/>
              <a:ea typeface="+mn-ea"/>
              <a:cs typeface="+mn-cs"/>
            </a:rPr>
            <a:t>Policies for definitions and specific details on each </a:t>
          </a:r>
        </a:p>
        <a:p>
          <a:r>
            <a:rPr lang="en-US" sz="1100">
              <a:solidFill>
                <a:schemeClr val="dk1"/>
              </a:solidFill>
              <a:effectLst/>
              <a:latin typeface="+mn-lt"/>
              <a:ea typeface="+mn-ea"/>
              <a:cs typeface="+mn-cs"/>
            </a:rPr>
            <a:t>allocation criterion.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your project</a:t>
          </a:r>
          <a:r>
            <a:rPr lang="en-US" sz="1100" baseline="0">
              <a:solidFill>
                <a:schemeClr val="dk1"/>
              </a:solidFill>
              <a:effectLst/>
              <a:latin typeface="+mn-lt"/>
              <a:ea typeface="+mn-ea"/>
              <a:cs typeface="+mn-cs"/>
            </a:rPr>
            <a:t> will be applying for 9% Tax Credits, please complete Form 11A.</a:t>
          </a:r>
          <a:endParaRPr lang="en-US" sz="1100">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twoCellAnchor>
    <xdr:from>
      <xdr:col>11</xdr:col>
      <xdr:colOff>409575</xdr:colOff>
      <xdr:row>5</xdr:row>
      <xdr:rowOff>9526</xdr:rowOff>
    </xdr:from>
    <xdr:to>
      <xdr:col>13</xdr:col>
      <xdr:colOff>561976</xdr:colOff>
      <xdr:row>9</xdr:row>
      <xdr:rowOff>95250</xdr:rowOff>
    </xdr:to>
    <xdr:sp macro="" textlink="">
      <xdr:nvSpPr>
        <xdr:cNvPr id="3" name="TextBox 2">
          <a:hlinkClick xmlns:r="http://schemas.openxmlformats.org/officeDocument/2006/relationships" r:id="rId1"/>
        </xdr:cNvPr>
        <xdr:cNvSpPr txBox="1"/>
      </xdr:nvSpPr>
      <xdr:spPr bwMode="auto">
        <a:xfrm>
          <a:off x="5305425" y="962026"/>
          <a:ext cx="1962151" cy="847724"/>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a:t>
          </a:r>
          <a:r>
            <a:rPr lang="en-US" sz="1400" u="sng">
              <a:solidFill>
                <a:srgbClr val="0000FF"/>
              </a:solidFill>
              <a:latin typeface="+mn-lt"/>
              <a:ea typeface="+mn-ea"/>
              <a:cs typeface="+mn-cs"/>
            </a:rPr>
            <a:t>Multifamily Housing Bonds and 4% Tax Credit Policies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wshfc.org/mhcf/9percent/application/f2_9percentAddendumForm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CTS/Active/13.%20Othello%20Station/OH%20Funding/2014%20NOFA/Final%20Application%20-%20Submitted%20to%20City/5_2014_CFA_Forms_MHNW_Othello_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HTC Info"/>
      <sheetName val="LIHTC Scoring"/>
      <sheetName val="ScoringLists"/>
      <sheetName val="TDC Limit"/>
      <sheetName val="LIHTC Rents"/>
      <sheetName val="LIHTC Pro Forma"/>
      <sheetName val="Units by Building"/>
      <sheetName val="Acquisition Credit"/>
      <sheetName val="Historic TCs"/>
      <sheetName val="Admin Requirements"/>
      <sheetName val="Signature Page"/>
    </sheetNames>
    <sheetDataSet>
      <sheetData sheetId="0"/>
      <sheetData sheetId="1"/>
      <sheetData sheetId="2">
        <row r="2">
          <cell r="B2" t="str">
            <v>Select Higher Income County</v>
          </cell>
        </row>
        <row r="3">
          <cell r="B3" t="str">
            <v>Not located in a Higher Income County</v>
          </cell>
        </row>
        <row r="4">
          <cell r="B4" t="str">
            <v>Benton</v>
          </cell>
        </row>
        <row r="5">
          <cell r="B5" t="str">
            <v>Clark</v>
          </cell>
        </row>
        <row r="6">
          <cell r="B6" t="str">
            <v>Franklin</v>
          </cell>
        </row>
        <row r="7">
          <cell r="B7" t="str">
            <v>Island</v>
          </cell>
        </row>
        <row r="8">
          <cell r="B8" t="str">
            <v>King</v>
          </cell>
        </row>
        <row r="9">
          <cell r="B9" t="str">
            <v>Kitsap</v>
          </cell>
        </row>
        <row r="10">
          <cell r="B10" t="str">
            <v xml:space="preserve">Pierce </v>
          </cell>
        </row>
        <row r="11">
          <cell r="B11" t="str">
            <v>San Juan</v>
          </cell>
        </row>
        <row r="12">
          <cell r="B12" t="str">
            <v>Skagit</v>
          </cell>
        </row>
        <row r="13">
          <cell r="B13" t="str">
            <v>Skamania</v>
          </cell>
        </row>
        <row r="14">
          <cell r="B14" t="str">
            <v>Snohomish</v>
          </cell>
        </row>
        <row r="15">
          <cell r="B15" t="str">
            <v>Thurston</v>
          </cell>
        </row>
        <row r="16">
          <cell r="B16" t="str">
            <v>Whatcom</v>
          </cell>
        </row>
        <row r="18">
          <cell r="B18" t="str">
            <v>None</v>
          </cell>
        </row>
        <row r="19">
          <cell r="B19" t="str">
            <v>Option 1:  50% @ 30% AMI, 25% @ 40% AMI, 25% @ 60% AMI (60 Points)</v>
          </cell>
        </row>
        <row r="20">
          <cell r="B20" t="str">
            <v>Option 2:  50% @ 30% AMI, 50% @ 50% AMI (60 Points)</v>
          </cell>
        </row>
        <row r="21">
          <cell r="B21" t="str">
            <v>Option 3:  50% @ 30% AMI, 30% @ 50% AMI, 20% @ 60% AMI (58 Points)</v>
          </cell>
        </row>
        <row r="22">
          <cell r="B22" t="str">
            <v>Option 4:  40% @ 30% AMI, 60% @ 50% AMI (58 Points)</v>
          </cell>
        </row>
        <row r="23">
          <cell r="B23" t="str">
            <v>Option 5:  40% @ 30%, 30% @ 40% AMI, 30% @ 60% AMI (58 Points)</v>
          </cell>
        </row>
        <row r="24">
          <cell r="B24" t="str">
            <v>Option 6:  Not Available in Higher Income Counties</v>
          </cell>
        </row>
        <row r="25">
          <cell r="B25" t="str">
            <v>Option 7:  25% @ 30% AMI, 25% @ 40% AMI, 50% @ 50% AMI (56 Points)</v>
          </cell>
        </row>
        <row r="26">
          <cell r="B26" t="str">
            <v>Option 8:  25% @ 30% AMI, 50% @ 40% AMI, 25% @ 60% AMI (56 Points)</v>
          </cell>
        </row>
        <row r="27">
          <cell r="B27" t="str">
            <v>Option 9:  50% @ 30% AMI, 25% @ 50% AMI, 25% @ 60% AMI (56 Points)</v>
          </cell>
        </row>
        <row r="28">
          <cell r="B28" t="str">
            <v>Option 10:  50% @ 30% AMI, 10% @ 40% AMI, 40% @ 60% AMI (54 Points)</v>
          </cell>
        </row>
        <row r="29">
          <cell r="B29" t="str">
            <v>Option 11:  40% @ 30a5 ami, 50% @ 50% AMI, 10% @ 60% AMI (54 Points)</v>
          </cell>
        </row>
        <row r="30">
          <cell r="B30" t="str">
            <v>Option 12:  Not Available in Higher Income Counties</v>
          </cell>
        </row>
        <row r="31">
          <cell r="B31" t="str">
            <v>Option 13:  40% @ 30% AMI, 40% @ 50% AMI, 20% @ 60% AMI (52 Points)</v>
          </cell>
        </row>
        <row r="32">
          <cell r="B32" t="str">
            <v>Option 14:  40% @ 30% AMI, 20% @ 40% AMI, 40% @ 60% AMI (52 Points)</v>
          </cell>
        </row>
        <row r="33">
          <cell r="B33" t="str">
            <v>Option 15:  50% @ 30% AMI, 50% @ 60% AMI (50 Points)</v>
          </cell>
        </row>
        <row r="34">
          <cell r="B34" t="str">
            <v>Option 16:  25% @ 30% AMI, 75% @ 50% AMI (50 Points)</v>
          </cell>
        </row>
        <row r="35">
          <cell r="B35" t="str">
            <v>Option 17:  40% @ 30% AMI, 30@ 50% AMI, 30% @ 60% AMI (50 Points)</v>
          </cell>
        </row>
        <row r="36">
          <cell r="B36" t="str">
            <v>Option 18:  Not Available in Higher Income Counties</v>
          </cell>
        </row>
        <row r="37">
          <cell r="B37" t="str">
            <v>Option 19:  Not Available in Higher Income Counties</v>
          </cell>
        </row>
        <row r="38">
          <cell r="B38" t="str">
            <v>Option 20:  Not Available in Higher Income Counties</v>
          </cell>
        </row>
        <row r="40">
          <cell r="B40" t="str">
            <v>Select Lower Income County</v>
          </cell>
        </row>
        <row r="41">
          <cell r="B41" t="str">
            <v>Not located in a Lower Income County</v>
          </cell>
        </row>
        <row r="42">
          <cell r="B42" t="str">
            <v>Adams</v>
          </cell>
        </row>
        <row r="43">
          <cell r="B43" t="str">
            <v>Asotin</v>
          </cell>
        </row>
        <row r="44">
          <cell r="B44" t="str">
            <v>Chelan</v>
          </cell>
        </row>
        <row r="45">
          <cell r="B45" t="str">
            <v>Clallam</v>
          </cell>
        </row>
        <row r="46">
          <cell r="B46" t="str">
            <v>Columbia</v>
          </cell>
        </row>
        <row r="47">
          <cell r="B47" t="str">
            <v>Cowlitz</v>
          </cell>
        </row>
        <row r="48">
          <cell r="B48" t="str">
            <v>Douglas</v>
          </cell>
        </row>
        <row r="49">
          <cell r="B49" t="str">
            <v>Ferry</v>
          </cell>
        </row>
        <row r="50">
          <cell r="B50" t="str">
            <v>Garfield</v>
          </cell>
        </row>
        <row r="51">
          <cell r="B51" t="str">
            <v>Grant</v>
          </cell>
        </row>
        <row r="52">
          <cell r="B52" t="str">
            <v>Grays Harbor</v>
          </cell>
        </row>
        <row r="53">
          <cell r="B53" t="str">
            <v>Jefferson</v>
          </cell>
        </row>
        <row r="54">
          <cell r="B54" t="str">
            <v>Kittitas</v>
          </cell>
        </row>
        <row r="55">
          <cell r="B55" t="str">
            <v>Klickitat</v>
          </cell>
        </row>
        <row r="56">
          <cell r="B56" t="str">
            <v>Lewis</v>
          </cell>
        </row>
        <row r="57">
          <cell r="B57" t="str">
            <v>Lincoln</v>
          </cell>
        </row>
        <row r="58">
          <cell r="B58" t="str">
            <v>Mason</v>
          </cell>
        </row>
        <row r="59">
          <cell r="B59" t="str">
            <v>Okanogan</v>
          </cell>
        </row>
        <row r="60">
          <cell r="B60" t="str">
            <v>Pacific</v>
          </cell>
        </row>
        <row r="61">
          <cell r="B61" t="str">
            <v>Pend Oreille</v>
          </cell>
        </row>
        <row r="62">
          <cell r="B62" t="str">
            <v>Spokane</v>
          </cell>
        </row>
        <row r="63">
          <cell r="B63" t="str">
            <v>Stevens</v>
          </cell>
        </row>
        <row r="64">
          <cell r="B64" t="str">
            <v>Wahkiakum</v>
          </cell>
        </row>
        <row r="65">
          <cell r="B65" t="str">
            <v>Walla Walla</v>
          </cell>
        </row>
        <row r="66">
          <cell r="B66" t="str">
            <v>Whitman</v>
          </cell>
        </row>
        <row r="67">
          <cell r="B67" t="str">
            <v>Yakima</v>
          </cell>
        </row>
        <row r="69">
          <cell r="B69" t="str">
            <v>None</v>
          </cell>
        </row>
        <row r="70">
          <cell r="B70" t="str">
            <v>Option 1:  Not Available in Lower Income Counties</v>
          </cell>
        </row>
        <row r="71">
          <cell r="B71" t="str">
            <v>Option 2:  Not Available in Lower Income Counties</v>
          </cell>
        </row>
        <row r="72">
          <cell r="B72" t="str">
            <v>Option 3:  Not Available in Lower Income Counties</v>
          </cell>
        </row>
        <row r="73">
          <cell r="B73" t="str">
            <v>Option 4:  40% @ 30% AMI, 60% @ 50% AMI (60 Points)</v>
          </cell>
        </row>
        <row r="74">
          <cell r="B74" t="str">
            <v>Option 5:  40% @ 30%, 30% @ 40% AMI, 30% @ 60% AMI (60 Points)</v>
          </cell>
        </row>
        <row r="75">
          <cell r="B75" t="str">
            <v>Option 6:  10% @ 30% AMI, 60% @ 40% AMI, 30% @ 50% AMI (60 Points)</v>
          </cell>
        </row>
        <row r="76">
          <cell r="B76" t="str">
            <v>Option 7:  25% @ 30% AMI, 25% @ 40% AMI, 50% @ 50% AMI (58 Points)</v>
          </cell>
        </row>
        <row r="77">
          <cell r="B77" t="str">
            <v>Option 8:  25% @ 30% AMI, 50% @ 40% AMI, 25% @ 60% AMI (58 Points)</v>
          </cell>
        </row>
        <row r="78">
          <cell r="B78" t="str">
            <v>Option 9:  Not Available in Lower Income Counties</v>
          </cell>
        </row>
        <row r="79">
          <cell r="B79" t="str">
            <v>Option 10:  Not Available in Lower Income Counties</v>
          </cell>
        </row>
        <row r="80">
          <cell r="B80" t="str">
            <v>Option 11:  40% @ 30% AMI, 50% @ 50% AMI, 10% @ 60% AMI (56 Points)</v>
          </cell>
        </row>
        <row r="81">
          <cell r="B81" t="str">
            <v>Option 12:  10% @ 30% AMI, 50% @ 40% AMI, 40% @ 50% AMI (56 Points)</v>
          </cell>
        </row>
        <row r="82">
          <cell r="B82" t="str">
            <v>Option 13:  40% @ 30% AMI, 40% @ 50% AMI, 20% @ 60% AMI (54 Points)</v>
          </cell>
        </row>
        <row r="83">
          <cell r="B83" t="str">
            <v>Option 14:  40% @ 30% AMI, 20% @ 40% AMI, 40% @ 60% AMI (54 Points)</v>
          </cell>
        </row>
        <row r="84">
          <cell r="B84" t="str">
            <v>Option 15:  Not Available in Lower Income Counties</v>
          </cell>
        </row>
        <row r="85">
          <cell r="B85" t="str">
            <v>Option 16:  25% @ 30% AMI, 75% @ 50% AMI (52 Points)</v>
          </cell>
        </row>
        <row r="86">
          <cell r="B86" t="str">
            <v>Option 17:  40% @ 30% AMI, 30@ 50% AMI, 30% @ 60% AMI (52 Points)</v>
          </cell>
        </row>
        <row r="87">
          <cell r="B87" t="str">
            <v>Option 18:  10% @ 30% AMI, 60% @ 40% AMI, 30% @ 60% AMI (52 Points)</v>
          </cell>
        </row>
        <row r="88">
          <cell r="B88" t="str">
            <v>Option 19:  50% @ 40% AMI, 50% @ 50% AMI (52 Points)</v>
          </cell>
        </row>
        <row r="89">
          <cell r="B89" t="str">
            <v>Option 20:  40% @ 40% AMI, 60% @ 50% AMI (50 Points)</v>
          </cell>
        </row>
        <row r="102">
          <cell r="B102" t="str">
            <v>No Points Taken</v>
          </cell>
        </row>
        <row r="103">
          <cell r="B103" t="str">
            <v>• 1 year - 2 points</v>
          </cell>
        </row>
        <row r="104">
          <cell r="B104" t="str">
            <v>• 2 years - 4 points</v>
          </cell>
        </row>
        <row r="105">
          <cell r="B105" t="str">
            <v>• 3 years - 6 points</v>
          </cell>
        </row>
        <row r="106">
          <cell r="B106" t="str">
            <v>• 4 years - 8 points</v>
          </cell>
        </row>
        <row r="107">
          <cell r="B107" t="str">
            <v>• 5 years - 10 points</v>
          </cell>
        </row>
        <row r="108">
          <cell r="B108" t="str">
            <v>• 6 years - 12 points</v>
          </cell>
        </row>
        <row r="109">
          <cell r="B109" t="str">
            <v>• 7 years - 14 points</v>
          </cell>
        </row>
        <row r="110">
          <cell r="B110" t="str">
            <v>• 8 years - 16 points</v>
          </cell>
        </row>
        <row r="111">
          <cell r="B111" t="str">
            <v>• 9 years - 18 points</v>
          </cell>
        </row>
        <row r="112">
          <cell r="B112" t="str">
            <v>• 10 years - 20 points</v>
          </cell>
        </row>
        <row r="113">
          <cell r="B113" t="str">
            <v>• 11 years - 22 points</v>
          </cell>
        </row>
        <row r="114">
          <cell r="B114" t="str">
            <v>• 12 years - 24 points</v>
          </cell>
        </row>
        <row r="115">
          <cell r="B115" t="str">
            <v>• 13 years -  26 points</v>
          </cell>
        </row>
        <row r="116">
          <cell r="B116" t="str">
            <v>• 14 years - 28 points</v>
          </cell>
        </row>
        <row r="117">
          <cell r="B117" t="str">
            <v>• 15 years - 30 points</v>
          </cell>
        </row>
        <row r="118">
          <cell r="B118" t="str">
            <v>• 16 years - 32 points</v>
          </cell>
        </row>
        <row r="119">
          <cell r="B119" t="str">
            <v>• 17 years - 34 points</v>
          </cell>
        </row>
        <row r="120">
          <cell r="B120" t="str">
            <v>• 18 years - 36 points</v>
          </cell>
        </row>
        <row r="121">
          <cell r="B121" t="str">
            <v>• 19 years - 38 points</v>
          </cell>
        </row>
        <row r="122">
          <cell r="B122" t="str">
            <v>• 20 years - 40 points</v>
          </cell>
        </row>
        <row r="123">
          <cell r="B123" t="str">
            <v>• 21 years - 42 points</v>
          </cell>
        </row>
        <row r="124">
          <cell r="B124" t="str">
            <v>• 22 years - 44 points</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mp; Definitions"/>
      <sheetName val="Form 0"/>
      <sheetName val="Form 1A"/>
      <sheetName val="Form 1B"/>
      <sheetName val="UnderTheHood"/>
      <sheetName val="Form 2A"/>
      <sheetName val="Form 2B"/>
      <sheetName val="Form 2C (Rural-NC)"/>
      <sheetName val="Form 2C (Rural-Rehab)"/>
      <sheetName val="Form 2C (Urban-NC)"/>
      <sheetName val="Form 2C (Urban-Rehab)"/>
      <sheetName val="Form 3"/>
      <sheetName val="Form 4"/>
      <sheetName val="Form 5"/>
      <sheetName val="Form 6A"/>
      <sheetName val="Form 6B (2)"/>
      <sheetName val="Form 6B"/>
      <sheetName val="Form 6C"/>
      <sheetName val="Form 6D (2)"/>
      <sheetName val="Form 6E"/>
      <sheetName val="Form 7A (2)"/>
      <sheetName val="Form 7A"/>
      <sheetName val="Form 7B"/>
      <sheetName val="Form 8A  (2)"/>
      <sheetName val="Form 8A "/>
      <sheetName val="Form 8B"/>
      <sheetName val="Form 8C"/>
      <sheetName val="Form 8D"/>
      <sheetName val="Form 8E"/>
      <sheetName val="Form 9A"/>
      <sheetName val="Form 9B"/>
      <sheetName val="Form 9C"/>
      <sheetName val="Form 9D"/>
      <sheetName val="Form 9E"/>
      <sheetName val="Form 10"/>
      <sheetName val="Form 11A"/>
      <sheetName val="Form 11B"/>
      <sheetName val="4percentScoring"/>
      <sheetName val="LIHTC_ScoringLists"/>
      <sheetName val="HTF Rollup"/>
    </sheetNames>
    <sheetDataSet>
      <sheetData sheetId="0"/>
      <sheetData sheetId="1"/>
      <sheetData sheetId="2">
        <row r="7">
          <cell r="G7" t="str">
            <v>Mercy Othello Station</v>
          </cell>
        </row>
      </sheetData>
      <sheetData sheetId="3"/>
      <sheetData sheetId="4">
        <row r="3">
          <cell r="C3" t="str">
            <v>General</v>
          </cell>
        </row>
        <row r="4">
          <cell r="C4" t="str">
            <v>Individuals</v>
          </cell>
        </row>
        <row r="5">
          <cell r="C5" t="str">
            <v>Households with Children</v>
          </cell>
        </row>
        <row r="6">
          <cell r="C6" t="str">
            <v>Developmental Disabilities</v>
          </cell>
        </row>
        <row r="7">
          <cell r="C7" t="str">
            <v>Physical Disabilities</v>
          </cell>
        </row>
        <row r="8">
          <cell r="C8" t="str">
            <v>Chronic Mental Illness</v>
          </cell>
        </row>
        <row r="9">
          <cell r="C9" t="str">
            <v>Substance Abuse</v>
          </cell>
        </row>
        <row r="10">
          <cell r="C10" t="str">
            <v>HIV/AIDS</v>
          </cell>
        </row>
        <row r="11">
          <cell r="C11" t="str">
            <v>Multiple Special Needs</v>
          </cell>
        </row>
        <row r="12">
          <cell r="C12" t="str">
            <v>Domestic Violence</v>
          </cell>
        </row>
        <row r="13">
          <cell r="C13" t="str">
            <v>Youth Under 18</v>
          </cell>
        </row>
        <row r="14">
          <cell r="C14" t="str">
            <v>Young Adults 18-24</v>
          </cell>
        </row>
        <row r="15">
          <cell r="C15" t="str">
            <v>Veteran</v>
          </cell>
        </row>
        <row r="16">
          <cell r="C16" t="str">
            <v>Senior</v>
          </cell>
        </row>
        <row r="17">
          <cell r="C17" t="str">
            <v>Frail Elderly</v>
          </cell>
        </row>
        <row r="18">
          <cell r="C18" t="str">
            <v>Farmworkers</v>
          </cell>
        </row>
        <row r="19">
          <cell r="C19" t="str">
            <v>Seasonal/Migrant Farmworkers</v>
          </cell>
        </row>
      </sheetData>
      <sheetData sheetId="5">
        <row r="40">
          <cell r="N40">
            <v>68</v>
          </cell>
        </row>
      </sheetData>
      <sheetData sheetId="6"/>
      <sheetData sheetId="7"/>
      <sheetData sheetId="8"/>
      <sheetData sheetId="9"/>
      <sheetData sheetId="10"/>
      <sheetData sheetId="11"/>
      <sheetData sheetId="12"/>
      <sheetData sheetId="13"/>
      <sheetData sheetId="14">
        <row r="17">
          <cell r="Q17">
            <v>1912259</v>
          </cell>
        </row>
      </sheetData>
      <sheetData sheetId="15"/>
      <sheetData sheetId="16">
        <row r="23">
          <cell r="T23">
            <v>9902131.7799999993</v>
          </cell>
        </row>
      </sheetData>
      <sheetData sheetId="17"/>
      <sheetData sheetId="18"/>
      <sheetData sheetId="19">
        <row r="40">
          <cell r="F40">
            <v>1.03</v>
          </cell>
        </row>
      </sheetData>
      <sheetData sheetId="20"/>
      <sheetData sheetId="21">
        <row r="26">
          <cell r="P26">
            <v>2322623</v>
          </cell>
        </row>
      </sheetData>
      <sheetData sheetId="22"/>
      <sheetData sheetId="23"/>
      <sheetData sheetId="24">
        <row r="12">
          <cell r="M12">
            <v>98280</v>
          </cell>
        </row>
      </sheetData>
      <sheetData sheetId="25">
        <row r="17">
          <cell r="G17">
            <v>0</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luber@mercyhousing.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mailto:hbunn@rafn.com"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3.xml"/><Relationship Id="rId1" Type="http://schemas.openxmlformats.org/officeDocument/2006/relationships/printerSettings" Target="../printerSettings/printerSettings30.bin"/><Relationship Id="rId4" Type="http://schemas.openxmlformats.org/officeDocument/2006/relationships/comments" Target="../comments4.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1"/>
  <sheetViews>
    <sheetView workbookViewId="0">
      <selection activeCell="B26" sqref="B26"/>
    </sheetView>
  </sheetViews>
  <sheetFormatPr defaultColWidth="9.140625" defaultRowHeight="15" x14ac:dyDescent="0.25"/>
  <cols>
    <col min="1" max="1" width="17.42578125" style="1522" bestFit="1" customWidth="1"/>
    <col min="2" max="2" width="33.140625" style="1522" bestFit="1" customWidth="1"/>
    <col min="3" max="16384" width="9.140625" style="1522"/>
  </cols>
  <sheetData>
    <row r="3" spans="1:2" x14ac:dyDescent="0.25">
      <c r="A3" s="642" t="s">
        <v>724</v>
      </c>
      <c r="B3" s="587"/>
    </row>
    <row r="4" spans="1:2" x14ac:dyDescent="0.25">
      <c r="B4" s="584" t="s">
        <v>709</v>
      </c>
    </row>
    <row r="5" spans="1:2" x14ac:dyDescent="0.25">
      <c r="B5" s="584" t="s">
        <v>710</v>
      </c>
    </row>
    <row r="6" spans="1:2" x14ac:dyDescent="0.25">
      <c r="B6" s="584" t="s">
        <v>711</v>
      </c>
    </row>
    <row r="7" spans="1:2" x14ac:dyDescent="0.25">
      <c r="B7" s="584" t="s">
        <v>712</v>
      </c>
    </row>
    <row r="8" spans="1:2" x14ac:dyDescent="0.25">
      <c r="B8" s="584" t="s">
        <v>713</v>
      </c>
    </row>
    <row r="9" spans="1:2" x14ac:dyDescent="0.25">
      <c r="B9" s="584" t="s">
        <v>714</v>
      </c>
    </row>
    <row r="10" spans="1:2" x14ac:dyDescent="0.25">
      <c r="B10" s="584" t="s">
        <v>715</v>
      </c>
    </row>
    <row r="11" spans="1:2" x14ac:dyDescent="0.25">
      <c r="B11" s="584" t="s">
        <v>716</v>
      </c>
    </row>
    <row r="12" spans="1:2" x14ac:dyDescent="0.25">
      <c r="B12" s="584" t="s">
        <v>1353</v>
      </c>
    </row>
    <row r="13" spans="1:2" x14ac:dyDescent="0.25">
      <c r="B13" s="584" t="s">
        <v>717</v>
      </c>
    </row>
    <row r="14" spans="1:2" x14ac:dyDescent="0.25">
      <c r="B14" s="584" t="s">
        <v>718</v>
      </c>
    </row>
    <row r="15" spans="1:2" x14ac:dyDescent="0.25">
      <c r="B15" s="584" t="s">
        <v>719</v>
      </c>
    </row>
    <row r="16" spans="1:2" x14ac:dyDescent="0.25">
      <c r="B16" s="584" t="s">
        <v>720</v>
      </c>
    </row>
    <row r="17" spans="2:2" x14ac:dyDescent="0.25">
      <c r="B17" s="584" t="s">
        <v>721</v>
      </c>
    </row>
    <row r="18" spans="2:2" x14ac:dyDescent="0.25">
      <c r="B18" s="584" t="s">
        <v>722</v>
      </c>
    </row>
    <row r="19" spans="2:2" x14ac:dyDescent="0.25">
      <c r="B19" s="584" t="s">
        <v>723</v>
      </c>
    </row>
    <row r="20" spans="2:2" x14ac:dyDescent="0.25">
      <c r="B20" s="584" t="s">
        <v>641</v>
      </c>
    </row>
    <row r="21" spans="2:2" x14ac:dyDescent="0.25">
      <c r="B21" s="585" t="s">
        <v>1352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
  <sheetViews>
    <sheetView showGridLines="0" zoomScaleNormal="100" workbookViewId="0">
      <selection activeCell="P19" sqref="P19"/>
    </sheetView>
  </sheetViews>
  <sheetFormatPr defaultRowHeight="15" x14ac:dyDescent="0.25"/>
  <sheetData/>
  <pageMargins left="0.7" right="0.7" top="0.75" bottom="0.75" header="0.3" footer="0.3"/>
  <pageSetup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4"/>
  <sheetViews>
    <sheetView showGridLines="0" zoomScaleNormal="100" workbookViewId="0">
      <selection activeCell="G12" sqref="G12:O12"/>
    </sheetView>
  </sheetViews>
  <sheetFormatPr defaultColWidth="9.140625" defaultRowHeight="15" x14ac:dyDescent="0.25"/>
  <cols>
    <col min="1" max="1" width="2.85546875" style="734" customWidth="1"/>
    <col min="2" max="3" width="1.42578125" style="734" customWidth="1"/>
    <col min="4" max="4" width="11" style="734" customWidth="1"/>
    <col min="5" max="5" width="17.42578125" style="734" customWidth="1"/>
    <col min="6" max="6" width="4.85546875" style="734" customWidth="1"/>
    <col min="7" max="9" width="9.140625" style="734"/>
    <col min="10" max="10" width="4" style="734" customWidth="1"/>
    <col min="11" max="12" width="9.140625" style="734"/>
    <col min="13" max="13" width="4" style="734" bestFit="1" customWidth="1"/>
    <col min="14" max="14" width="6" style="734" customWidth="1"/>
    <col min="15" max="15" width="9.140625" style="734"/>
    <col min="16" max="17" width="1.42578125" style="734" customWidth="1"/>
    <col min="18" max="16384" width="9.140625" style="734"/>
  </cols>
  <sheetData>
    <row r="1" spans="2:17" ht="15.75" thickBot="1" x14ac:dyDescent="0.3"/>
    <row r="2" spans="2:17" ht="7.5" customHeight="1" x14ac:dyDescent="0.25">
      <c r="B2" s="698"/>
      <c r="C2" s="699"/>
      <c r="D2" s="699"/>
      <c r="E2" s="699"/>
      <c r="F2" s="699"/>
      <c r="G2" s="699"/>
      <c r="H2" s="699"/>
      <c r="I2" s="699"/>
      <c r="J2" s="699"/>
      <c r="K2" s="699"/>
      <c r="L2" s="699"/>
      <c r="M2" s="699"/>
      <c r="N2" s="699"/>
      <c r="O2" s="699"/>
      <c r="P2" s="699"/>
      <c r="Q2" s="737"/>
    </row>
    <row r="3" spans="2:17" ht="18.75" x14ac:dyDescent="0.3">
      <c r="B3" s="700"/>
      <c r="C3" s="2208" t="s">
        <v>0</v>
      </c>
      <c r="D3" s="2208"/>
      <c r="E3" s="2208"/>
      <c r="F3" s="2208"/>
      <c r="G3" s="2208"/>
      <c r="H3" s="2208"/>
      <c r="I3" s="2208"/>
      <c r="J3" s="2208"/>
      <c r="K3" s="2208"/>
      <c r="L3" s="2208"/>
      <c r="M3" s="2208"/>
      <c r="N3" s="2208"/>
      <c r="O3" s="2208"/>
      <c r="P3" s="2208"/>
      <c r="Q3" s="738"/>
    </row>
    <row r="4" spans="2:17" x14ac:dyDescent="0.25">
      <c r="B4" s="700"/>
      <c r="C4" s="146"/>
      <c r="D4" s="146"/>
      <c r="E4" s="146"/>
      <c r="F4" s="146"/>
      <c r="G4" s="146"/>
      <c r="H4" s="146"/>
      <c r="I4" s="146"/>
      <c r="J4" s="146"/>
      <c r="K4" s="146"/>
      <c r="L4" s="146"/>
      <c r="M4" s="146"/>
      <c r="N4" s="146"/>
      <c r="O4" s="146"/>
      <c r="P4" s="146"/>
      <c r="Q4" s="738"/>
    </row>
    <row r="5" spans="2:17" x14ac:dyDescent="0.25">
      <c r="B5" s="700"/>
      <c r="C5" s="193" t="s">
        <v>1393</v>
      </c>
      <c r="D5" s="40"/>
      <c r="E5" s="841"/>
      <c r="F5" s="841"/>
      <c r="G5" s="2224" t="s">
        <v>1396</v>
      </c>
      <c r="H5" s="2224"/>
      <c r="I5" s="2224"/>
      <c r="J5" s="2224"/>
      <c r="K5" s="2224"/>
      <c r="L5" s="2224"/>
      <c r="M5" s="2224"/>
      <c r="N5" s="2224"/>
      <c r="O5" s="2224"/>
      <c r="P5" s="146"/>
      <c r="Q5" s="738"/>
    </row>
    <row r="6" spans="2:17" ht="3" customHeight="1" x14ac:dyDescent="0.25">
      <c r="B6" s="700"/>
      <c r="C6" s="146"/>
      <c r="D6" s="146"/>
      <c r="E6" s="146"/>
      <c r="F6" s="146"/>
      <c r="G6" s="193"/>
      <c r="H6" s="193"/>
      <c r="I6" s="193"/>
      <c r="J6" s="193"/>
      <c r="K6" s="193"/>
      <c r="L6" s="193"/>
      <c r="M6" s="193"/>
      <c r="N6" s="193"/>
      <c r="O6" s="193"/>
      <c r="P6" s="146"/>
      <c r="Q6" s="738"/>
    </row>
    <row r="7" spans="2:17" x14ac:dyDescent="0.25">
      <c r="B7" s="700"/>
      <c r="C7" s="193" t="s">
        <v>1394</v>
      </c>
      <c r="D7" s="40"/>
      <c r="E7" s="841"/>
      <c r="F7" s="841"/>
      <c r="G7" s="2224" t="s">
        <v>1534</v>
      </c>
      <c r="H7" s="2224"/>
      <c r="I7" s="2224"/>
      <c r="J7" s="2224"/>
      <c r="K7" s="2224"/>
      <c r="L7" s="2224"/>
      <c r="M7" s="2224"/>
      <c r="N7" s="2224"/>
      <c r="O7" s="2224"/>
      <c r="P7" s="146"/>
      <c r="Q7" s="738"/>
    </row>
    <row r="8" spans="2:17" ht="3.75" customHeight="1" x14ac:dyDescent="0.25">
      <c r="B8" s="700"/>
      <c r="C8" s="146"/>
      <c r="D8" s="146"/>
      <c r="E8" s="146"/>
      <c r="F8" s="146"/>
      <c r="G8" s="193"/>
      <c r="H8" s="193"/>
      <c r="I8" s="193"/>
      <c r="J8" s="193"/>
      <c r="K8" s="193"/>
      <c r="L8" s="193"/>
      <c r="M8" s="193"/>
      <c r="N8" s="193"/>
      <c r="O8" s="193"/>
      <c r="P8" s="146"/>
      <c r="Q8" s="738"/>
    </row>
    <row r="9" spans="2:17" x14ac:dyDescent="0.25">
      <c r="B9" s="700"/>
      <c r="C9" s="193" t="s">
        <v>1395</v>
      </c>
      <c r="D9" s="40"/>
      <c r="E9" s="250"/>
      <c r="F9" s="250"/>
      <c r="G9" s="2224" t="s">
        <v>1535</v>
      </c>
      <c r="H9" s="2224"/>
      <c r="I9" s="2224"/>
      <c r="J9" s="2224"/>
      <c r="K9" s="2224"/>
      <c r="L9" s="2224"/>
      <c r="M9" s="2224"/>
      <c r="N9" s="2224"/>
      <c r="O9" s="2224"/>
      <c r="P9" s="146"/>
      <c r="Q9" s="738"/>
    </row>
    <row r="10" spans="2:17" ht="3.75" customHeight="1" x14ac:dyDescent="0.25">
      <c r="B10" s="700"/>
      <c r="C10" s="151"/>
      <c r="D10" s="250"/>
      <c r="E10" s="250"/>
      <c r="F10" s="250"/>
      <c r="G10" s="2160"/>
      <c r="H10" s="2160"/>
      <c r="I10" s="2160"/>
      <c r="J10" s="2160"/>
      <c r="K10" s="2160"/>
      <c r="L10" s="2160"/>
      <c r="M10" s="2160"/>
      <c r="N10" s="2160"/>
      <c r="O10" s="2160"/>
      <c r="P10" s="146"/>
      <c r="Q10" s="738"/>
    </row>
    <row r="11" spans="2:17" x14ac:dyDescent="0.25">
      <c r="B11" s="700"/>
      <c r="C11" s="702" t="s">
        <v>2</v>
      </c>
      <c r="D11" s="250"/>
      <c r="E11" s="250"/>
      <c r="F11" s="250"/>
      <c r="G11" s="2160"/>
      <c r="H11" s="2160"/>
      <c r="I11" s="2160"/>
      <c r="J11" s="2160"/>
      <c r="K11" s="2160"/>
      <c r="L11" s="2160"/>
      <c r="M11" s="2160"/>
      <c r="N11" s="2160"/>
      <c r="O11" s="2160"/>
      <c r="P11" s="146"/>
      <c r="Q11" s="738"/>
    </row>
    <row r="12" spans="2:17" x14ac:dyDescent="0.25">
      <c r="B12" s="700"/>
      <c r="C12" s="703" t="s">
        <v>3</v>
      </c>
      <c r="D12" s="250"/>
      <c r="E12" s="250"/>
      <c r="F12" s="250"/>
      <c r="G12" s="2226" t="s">
        <v>1386</v>
      </c>
      <c r="H12" s="2226"/>
      <c r="I12" s="2226"/>
      <c r="J12" s="2226"/>
      <c r="K12" s="2226"/>
      <c r="L12" s="2226"/>
      <c r="M12" s="2226"/>
      <c r="N12" s="2226"/>
      <c r="O12" s="2226"/>
      <c r="P12" s="146"/>
      <c r="Q12" s="738"/>
    </row>
    <row r="13" spans="2:17" ht="3.75" customHeight="1" x14ac:dyDescent="0.25">
      <c r="B13" s="700"/>
      <c r="C13" s="703"/>
      <c r="D13" s="250"/>
      <c r="E13" s="250"/>
      <c r="F13" s="250"/>
      <c r="G13" s="2160"/>
      <c r="H13" s="2160"/>
      <c r="I13" s="2160"/>
      <c r="J13" s="2160"/>
      <c r="K13" s="2160"/>
      <c r="L13" s="2160"/>
      <c r="M13" s="2160"/>
      <c r="N13" s="2160"/>
      <c r="O13" s="2160"/>
      <c r="P13" s="146"/>
      <c r="Q13" s="738"/>
    </row>
    <row r="14" spans="2:17" x14ac:dyDescent="0.25">
      <c r="B14" s="700"/>
      <c r="C14" s="703" t="s">
        <v>4</v>
      </c>
      <c r="D14" s="250"/>
      <c r="E14" s="250"/>
      <c r="F14" s="250"/>
      <c r="G14" s="2222" t="s">
        <v>1387</v>
      </c>
      <c r="H14" s="2222"/>
      <c r="I14" s="2222"/>
      <c r="J14" s="2222"/>
      <c r="K14" s="2222"/>
      <c r="L14" s="2222"/>
      <c r="M14" s="2222"/>
      <c r="N14" s="2222"/>
      <c r="O14" s="2222"/>
      <c r="P14" s="146"/>
      <c r="Q14" s="738"/>
    </row>
    <row r="15" spans="2:17" ht="3.75" customHeight="1" x14ac:dyDescent="0.25">
      <c r="B15" s="700"/>
      <c r="C15" s="704"/>
      <c r="D15" s="250"/>
      <c r="E15" s="250"/>
      <c r="F15" s="250"/>
      <c r="G15" s="2160"/>
      <c r="H15" s="2160"/>
      <c r="I15" s="2160"/>
      <c r="J15" s="2160"/>
      <c r="K15" s="2160"/>
      <c r="L15" s="2160"/>
      <c r="M15" s="2160"/>
      <c r="N15" s="2160"/>
      <c r="O15" s="2160"/>
      <c r="P15" s="146"/>
      <c r="Q15" s="738"/>
    </row>
    <row r="16" spans="2:17" x14ac:dyDescent="0.25">
      <c r="B16" s="700"/>
      <c r="C16" s="703" t="s">
        <v>5</v>
      </c>
      <c r="D16" s="250"/>
      <c r="E16" s="250"/>
      <c r="F16" s="250"/>
      <c r="G16" s="2222" t="s">
        <v>1388</v>
      </c>
      <c r="H16" s="2222"/>
      <c r="I16" s="705" t="s">
        <v>6</v>
      </c>
      <c r="J16" s="2227" t="s">
        <v>1389</v>
      </c>
      <c r="K16" s="2223"/>
      <c r="L16" s="2223"/>
      <c r="M16" s="2223"/>
      <c r="N16" s="2223"/>
      <c r="O16" s="2223"/>
      <c r="P16" s="146"/>
      <c r="Q16" s="738"/>
    </row>
    <row r="17" spans="2:17" ht="3.75" customHeight="1" x14ac:dyDescent="0.25">
      <c r="B17" s="700"/>
      <c r="C17" s="703"/>
      <c r="D17" s="250"/>
      <c r="E17" s="250"/>
      <c r="F17" s="250"/>
      <c r="G17" s="2160"/>
      <c r="H17" s="2160"/>
      <c r="I17" s="2160"/>
      <c r="J17" s="2160"/>
      <c r="K17" s="2160"/>
      <c r="L17" s="2160"/>
      <c r="M17" s="2160"/>
      <c r="N17" s="2160"/>
      <c r="O17" s="2160"/>
      <c r="P17" s="146"/>
      <c r="Q17" s="738"/>
    </row>
    <row r="18" spans="2:17" x14ac:dyDescent="0.25">
      <c r="B18" s="700"/>
      <c r="C18" s="702" t="s">
        <v>7</v>
      </c>
      <c r="D18" s="250"/>
      <c r="E18" s="250"/>
      <c r="F18" s="250"/>
      <c r="G18" s="2160"/>
      <c r="H18" s="2160"/>
      <c r="I18" s="2160"/>
      <c r="J18" s="2160"/>
      <c r="K18" s="2160"/>
      <c r="L18" s="2160"/>
      <c r="M18" s="2160"/>
      <c r="N18" s="2160"/>
      <c r="O18" s="2160"/>
      <c r="P18" s="146"/>
      <c r="Q18" s="738"/>
    </row>
    <row r="19" spans="2:17" x14ac:dyDescent="0.25">
      <c r="B19" s="700"/>
      <c r="C19" s="703" t="s">
        <v>8</v>
      </c>
      <c r="D19" s="250"/>
      <c r="E19" s="250"/>
      <c r="F19" s="250"/>
      <c r="G19" s="2226"/>
      <c r="H19" s="2226"/>
      <c r="I19" s="2226"/>
      <c r="J19" s="2226"/>
      <c r="K19" s="2226"/>
      <c r="L19" s="2226"/>
      <c r="M19" s="2226"/>
      <c r="N19" s="2226"/>
      <c r="O19" s="2226"/>
      <c r="P19" s="146"/>
      <c r="Q19" s="738"/>
    </row>
    <row r="20" spans="2:17" ht="3.75" customHeight="1" x14ac:dyDescent="0.25">
      <c r="B20" s="700"/>
      <c r="C20" s="703"/>
      <c r="D20" s="250"/>
      <c r="E20" s="250"/>
      <c r="F20" s="250"/>
      <c r="G20" s="707"/>
      <c r="H20" s="707"/>
      <c r="I20" s="2160"/>
      <c r="J20" s="707"/>
      <c r="K20" s="2160"/>
      <c r="L20" s="2160"/>
      <c r="M20" s="2160"/>
      <c r="N20" s="2160"/>
      <c r="O20" s="2160"/>
      <c r="P20" s="146"/>
      <c r="Q20" s="738"/>
    </row>
    <row r="21" spans="2:17" x14ac:dyDescent="0.25">
      <c r="B21" s="700"/>
      <c r="C21" s="703" t="s">
        <v>9</v>
      </c>
      <c r="D21" s="250"/>
      <c r="E21" s="250"/>
      <c r="F21" s="250"/>
      <c r="G21" s="2222"/>
      <c r="H21" s="2222"/>
      <c r="I21" s="2222"/>
      <c r="J21" s="2222"/>
      <c r="K21" s="2222"/>
      <c r="L21" s="2222"/>
      <c r="M21" s="2222"/>
      <c r="N21" s="2222"/>
      <c r="O21" s="2222"/>
      <c r="P21" s="146"/>
      <c r="Q21" s="738"/>
    </row>
    <row r="22" spans="2:17" ht="3.75" customHeight="1" x14ac:dyDescent="0.25">
      <c r="B22" s="700"/>
      <c r="C22" s="704"/>
      <c r="D22" s="250"/>
      <c r="E22" s="250"/>
      <c r="F22" s="250"/>
      <c r="G22" s="707"/>
      <c r="H22" s="707"/>
      <c r="I22" s="2160"/>
      <c r="J22" s="707"/>
      <c r="K22" s="2160"/>
      <c r="L22" s="2160"/>
      <c r="M22" s="2160"/>
      <c r="N22" s="2160"/>
      <c r="O22" s="2160"/>
      <c r="P22" s="146"/>
      <c r="Q22" s="738"/>
    </row>
    <row r="23" spans="2:17" x14ac:dyDescent="0.25">
      <c r="B23" s="700"/>
      <c r="C23" s="703" t="s">
        <v>5</v>
      </c>
      <c r="D23" s="250"/>
      <c r="E23" s="250"/>
      <c r="F23" s="250"/>
      <c r="G23" s="2222"/>
      <c r="H23" s="2222"/>
      <c r="I23" s="705" t="s">
        <v>6</v>
      </c>
      <c r="J23" s="2227"/>
      <c r="K23" s="2223"/>
      <c r="L23" s="2223"/>
      <c r="M23" s="2223"/>
      <c r="N23" s="2223"/>
      <c r="O23" s="2223"/>
      <c r="P23" s="146"/>
      <c r="Q23" s="738"/>
    </row>
    <row r="24" spans="2:17" ht="3.75" customHeight="1" x14ac:dyDescent="0.25">
      <c r="B24" s="700"/>
      <c r="C24" s="703"/>
      <c r="D24" s="250"/>
      <c r="E24" s="250"/>
      <c r="F24" s="250"/>
      <c r="G24" s="2160"/>
      <c r="H24" s="2160"/>
      <c r="I24" s="2160"/>
      <c r="J24" s="2160"/>
      <c r="K24" s="2160"/>
      <c r="L24" s="2160"/>
      <c r="M24" s="2160"/>
      <c r="N24" s="2160"/>
      <c r="O24" s="2160"/>
      <c r="P24" s="146"/>
      <c r="Q24" s="738"/>
    </row>
    <row r="25" spans="2:17" x14ac:dyDescent="0.25">
      <c r="B25" s="700"/>
      <c r="C25" s="146"/>
      <c r="D25" s="250" t="s">
        <v>10</v>
      </c>
      <c r="E25" s="250"/>
      <c r="F25" s="250"/>
      <c r="G25" s="841"/>
      <c r="H25" s="841"/>
      <c r="I25" s="841"/>
      <c r="J25" s="841"/>
      <c r="K25" s="841"/>
      <c r="L25" s="731"/>
      <c r="M25" s="2207"/>
      <c r="N25" s="841"/>
      <c r="O25" s="841"/>
      <c r="P25" s="146"/>
      <c r="Q25" s="738"/>
    </row>
    <row r="26" spans="2:17" ht="7.5" customHeight="1" x14ac:dyDescent="0.25">
      <c r="B26" s="700"/>
      <c r="C26" s="146"/>
      <c r="D26" s="250"/>
      <c r="E26" s="250"/>
      <c r="F26" s="250"/>
      <c r="G26" s="841"/>
      <c r="H26" s="841"/>
      <c r="I26" s="841"/>
      <c r="J26" s="841"/>
      <c r="K26" s="841"/>
      <c r="L26" s="709"/>
      <c r="M26" s="841"/>
      <c r="N26" s="709"/>
      <c r="O26" s="841"/>
      <c r="P26" s="146"/>
      <c r="Q26" s="738"/>
    </row>
    <row r="27" spans="2:17" x14ac:dyDescent="0.25">
      <c r="B27" s="700"/>
      <c r="C27" s="193" t="s">
        <v>11</v>
      </c>
      <c r="D27" s="250"/>
      <c r="E27" s="250"/>
      <c r="F27" s="250"/>
      <c r="G27" s="2222"/>
      <c r="H27" s="2222"/>
      <c r="I27" s="2222"/>
      <c r="J27" s="2222"/>
      <c r="K27" s="2222"/>
      <c r="L27" s="2222"/>
      <c r="M27" s="2222"/>
      <c r="N27" s="2222"/>
      <c r="O27" s="2222"/>
      <c r="P27" s="146"/>
      <c r="Q27" s="738"/>
    </row>
    <row r="28" spans="2:17" x14ac:dyDescent="0.25">
      <c r="B28" s="700"/>
      <c r="C28" s="146"/>
      <c r="D28" s="250"/>
      <c r="E28" s="250"/>
      <c r="F28" s="250"/>
      <c r="G28" s="707"/>
      <c r="H28" s="707"/>
      <c r="I28" s="707"/>
      <c r="J28" s="707"/>
      <c r="K28" s="707"/>
      <c r="L28" s="707"/>
      <c r="M28" s="707"/>
      <c r="N28" s="707"/>
      <c r="O28" s="707"/>
      <c r="P28" s="146"/>
      <c r="Q28" s="738"/>
    </row>
    <row r="29" spans="2:17" ht="15.75" thickBot="1" x14ac:dyDescent="0.3">
      <c r="B29" s="700"/>
      <c r="C29" s="710" t="s">
        <v>12</v>
      </c>
      <c r="D29" s="711"/>
      <c r="E29" s="711"/>
      <c r="F29" s="711"/>
      <c r="G29" s="711"/>
      <c r="H29" s="711"/>
      <c r="I29" s="711"/>
      <c r="J29" s="711"/>
      <c r="K29" s="711"/>
      <c r="L29" s="711"/>
      <c r="M29" s="711"/>
      <c r="N29" s="711"/>
      <c r="O29" s="711"/>
      <c r="P29" s="146"/>
      <c r="Q29" s="738"/>
    </row>
    <row r="30" spans="2:17" ht="3.75" customHeight="1" x14ac:dyDescent="0.25">
      <c r="B30" s="700"/>
      <c r="C30" s="712"/>
      <c r="D30" s="713"/>
      <c r="E30" s="250"/>
      <c r="F30" s="250"/>
      <c r="G30" s="2160"/>
      <c r="H30" s="2160"/>
      <c r="I30" s="2160"/>
      <c r="J30" s="2160"/>
      <c r="K30" s="2160"/>
      <c r="L30" s="2160"/>
      <c r="M30" s="2160"/>
      <c r="N30" s="2160"/>
      <c r="O30" s="2160"/>
      <c r="P30" s="146"/>
      <c r="Q30" s="738"/>
    </row>
    <row r="31" spans="2:17" x14ac:dyDescent="0.25">
      <c r="B31" s="700"/>
      <c r="C31" s="712"/>
      <c r="D31" s="2209" t="s">
        <v>13</v>
      </c>
      <c r="E31" s="2209"/>
      <c r="F31" s="250"/>
      <c r="G31" s="2222" t="s">
        <v>1391</v>
      </c>
      <c r="H31" s="2222"/>
      <c r="I31" s="2222"/>
      <c r="J31" s="2222"/>
      <c r="K31" s="2222"/>
      <c r="L31" s="2222"/>
      <c r="M31" s="2222"/>
      <c r="N31" s="2222"/>
      <c r="O31" s="2222"/>
      <c r="P31" s="146"/>
      <c r="Q31" s="738"/>
    </row>
    <row r="32" spans="2:17" ht="3.75" customHeight="1" x14ac:dyDescent="0.25">
      <c r="B32" s="700"/>
      <c r="C32" s="703"/>
      <c r="D32" s="297"/>
      <c r="E32" s="250"/>
      <c r="F32" s="250"/>
      <c r="G32" s="707"/>
      <c r="H32" s="707"/>
      <c r="I32" s="707"/>
      <c r="J32" s="707"/>
      <c r="K32" s="707"/>
      <c r="L32" s="707"/>
      <c r="M32" s="707"/>
      <c r="N32" s="707"/>
      <c r="O32" s="707"/>
      <c r="P32" s="146"/>
      <c r="Q32" s="738"/>
    </row>
    <row r="33" spans="2:17" x14ac:dyDescent="0.25">
      <c r="B33" s="700"/>
      <c r="C33" s="703"/>
      <c r="D33" s="297" t="s">
        <v>14</v>
      </c>
      <c r="E33" s="250"/>
      <c r="F33" s="250"/>
      <c r="G33" s="2223" t="s">
        <v>1392</v>
      </c>
      <c r="H33" s="2223"/>
      <c r="I33" s="705" t="s">
        <v>15</v>
      </c>
      <c r="J33" s="2222" t="s">
        <v>807</v>
      </c>
      <c r="K33" s="2222"/>
      <c r="L33" s="705" t="s">
        <v>16</v>
      </c>
      <c r="M33" s="2222">
        <v>98115</v>
      </c>
      <c r="N33" s="2222"/>
      <c r="O33" s="2222"/>
      <c r="P33" s="146"/>
      <c r="Q33" s="738"/>
    </row>
    <row r="34" spans="2:17" ht="3.75" customHeight="1" x14ac:dyDescent="0.25">
      <c r="B34" s="700"/>
      <c r="C34" s="712"/>
      <c r="D34" s="297"/>
      <c r="E34" s="250"/>
      <c r="F34" s="250"/>
      <c r="G34" s="2160"/>
      <c r="H34" s="2160"/>
      <c r="I34" s="2160"/>
      <c r="J34" s="2160"/>
      <c r="K34" s="2160"/>
      <c r="L34" s="2160"/>
      <c r="M34" s="2160"/>
      <c r="N34" s="2160"/>
      <c r="O34" s="2160"/>
      <c r="P34" s="146"/>
      <c r="Q34" s="738"/>
    </row>
    <row r="35" spans="2:17" x14ac:dyDescent="0.25">
      <c r="B35" s="700"/>
      <c r="C35" s="712"/>
      <c r="D35" s="297" t="s">
        <v>17</v>
      </c>
      <c r="E35" s="250"/>
      <c r="F35" s="250"/>
      <c r="G35" s="2222">
        <v>46</v>
      </c>
      <c r="H35" s="2222"/>
      <c r="I35" s="841"/>
      <c r="J35" s="841"/>
      <c r="K35" s="705" t="s">
        <v>18</v>
      </c>
      <c r="L35" s="2222">
        <v>7</v>
      </c>
      <c r="M35" s="2222"/>
      <c r="N35" s="2222"/>
      <c r="O35" s="2222"/>
      <c r="P35" s="146"/>
      <c r="Q35" s="738"/>
    </row>
    <row r="36" spans="2:17" ht="3.75" customHeight="1" x14ac:dyDescent="0.25">
      <c r="B36" s="700"/>
      <c r="C36" s="712"/>
      <c r="D36" s="297"/>
      <c r="E36" s="250"/>
      <c r="F36" s="250"/>
      <c r="G36" s="2160"/>
      <c r="H36" s="2160"/>
      <c r="I36" s="2160"/>
      <c r="J36" s="2160"/>
      <c r="K36" s="2160"/>
      <c r="L36" s="2160"/>
      <c r="M36" s="2160"/>
      <c r="N36" s="2160"/>
      <c r="O36" s="2160"/>
      <c r="P36" s="146"/>
      <c r="Q36" s="738"/>
    </row>
    <row r="37" spans="2:17" x14ac:dyDescent="0.25">
      <c r="B37" s="700"/>
      <c r="C37" s="712"/>
      <c r="D37" s="297" t="s">
        <v>19</v>
      </c>
      <c r="E37" s="250"/>
      <c r="F37" s="250"/>
      <c r="G37" s="732">
        <v>40</v>
      </c>
      <c r="H37" s="705" t="s">
        <v>20</v>
      </c>
      <c r="I37" s="2155">
        <v>47.680599999999998</v>
      </c>
      <c r="J37" s="841"/>
      <c r="K37" s="705" t="s">
        <v>21</v>
      </c>
      <c r="L37" s="2222">
        <v>-122.2629</v>
      </c>
      <c r="M37" s="2222"/>
      <c r="N37" s="2222"/>
      <c r="O37" s="2222"/>
      <c r="P37" s="146"/>
      <c r="Q37" s="738"/>
    </row>
    <row r="38" spans="2:17" ht="3.75" customHeight="1" x14ac:dyDescent="0.25">
      <c r="B38" s="700"/>
      <c r="C38" s="555"/>
      <c r="D38" s="297"/>
      <c r="E38" s="250"/>
      <c r="F38" s="250"/>
      <c r="G38" s="2160"/>
      <c r="H38" s="2160"/>
      <c r="I38" s="2160"/>
      <c r="J38" s="2160"/>
      <c r="K38" s="2160"/>
      <c r="L38" s="2160"/>
      <c r="M38" s="2160"/>
      <c r="N38" s="2160"/>
      <c r="O38" s="2160"/>
      <c r="P38" s="146"/>
      <c r="Q38" s="738"/>
    </row>
    <row r="39" spans="2:17" x14ac:dyDescent="0.25">
      <c r="B39" s="700"/>
      <c r="C39" s="712"/>
      <c r="D39" s="297" t="s">
        <v>22</v>
      </c>
      <c r="E39" s="250"/>
      <c r="F39" s="250"/>
      <c r="G39" s="2222" t="s">
        <v>1554</v>
      </c>
      <c r="H39" s="2222"/>
      <c r="I39" s="2222"/>
      <c r="J39" s="2222"/>
      <c r="K39" s="2222"/>
      <c r="L39" s="2222"/>
      <c r="M39" s="2222"/>
      <c r="N39" s="2222"/>
      <c r="O39" s="2222"/>
      <c r="P39" s="146"/>
      <c r="Q39" s="738"/>
    </row>
    <row r="40" spans="2:17" ht="7.5" customHeight="1" x14ac:dyDescent="0.25">
      <c r="B40" s="700"/>
      <c r="C40" s="555"/>
      <c r="D40" s="250"/>
      <c r="E40" s="250"/>
      <c r="F40" s="250"/>
      <c r="G40" s="2160"/>
      <c r="H40" s="2160"/>
      <c r="I40" s="2160"/>
      <c r="J40" s="2160"/>
      <c r="K40" s="2160"/>
      <c r="L40" s="2160"/>
      <c r="M40" s="2160"/>
      <c r="N40" s="2160"/>
      <c r="O40" s="2160"/>
      <c r="P40" s="146"/>
      <c r="Q40" s="738"/>
    </row>
    <row r="41" spans="2:17" ht="15.75" thickBot="1" x14ac:dyDescent="0.3">
      <c r="B41" s="700"/>
      <c r="C41" s="710" t="s">
        <v>638</v>
      </c>
      <c r="D41" s="711"/>
      <c r="E41" s="711"/>
      <c r="F41" s="711"/>
      <c r="G41" s="2204"/>
      <c r="H41" s="2204"/>
      <c r="I41" s="2204"/>
      <c r="J41" s="2204"/>
      <c r="K41" s="2204"/>
      <c r="L41" s="2204"/>
      <c r="M41" s="2204"/>
      <c r="N41" s="2204"/>
      <c r="O41" s="2204"/>
      <c r="P41" s="146"/>
      <c r="Q41" s="738"/>
    </row>
    <row r="42" spans="2:17" ht="3.75" customHeight="1" x14ac:dyDescent="0.25">
      <c r="B42" s="700"/>
      <c r="C42" s="146"/>
      <c r="D42" s="250"/>
      <c r="E42" s="297"/>
      <c r="F42" s="297"/>
      <c r="G42" s="979"/>
      <c r="H42" s="979"/>
      <c r="I42" s="979"/>
      <c r="J42" s="979"/>
      <c r="K42" s="979"/>
      <c r="L42" s="40"/>
      <c r="M42" s="40"/>
      <c r="N42" s="40"/>
      <c r="O42" s="40"/>
      <c r="P42" s="146"/>
      <c r="Q42" s="738"/>
    </row>
    <row r="43" spans="2:17" x14ac:dyDescent="0.25">
      <c r="B43" s="700"/>
      <c r="C43" s="146"/>
      <c r="D43" s="841"/>
      <c r="E43" s="2153" t="s">
        <v>23</v>
      </c>
      <c r="F43" s="733" t="s">
        <v>1223</v>
      </c>
      <c r="G43" s="2220" t="s">
        <v>24</v>
      </c>
      <c r="H43" s="2210"/>
      <c r="I43" s="2221"/>
      <c r="J43" s="733"/>
      <c r="K43" s="709"/>
      <c r="L43" s="2153" t="s">
        <v>25</v>
      </c>
      <c r="M43" s="733" t="s">
        <v>1223</v>
      </c>
      <c r="N43" s="2205"/>
      <c r="O43" s="841"/>
      <c r="P43" s="146"/>
      <c r="Q43" s="738"/>
    </row>
    <row r="44" spans="2:17" ht="3.75" customHeight="1" x14ac:dyDescent="0.25">
      <c r="B44" s="700"/>
      <c r="C44" s="146"/>
      <c r="D44" s="841"/>
      <c r="E44" s="2153"/>
      <c r="F44" s="715"/>
      <c r="G44" s="2210"/>
      <c r="H44" s="2210"/>
      <c r="I44" s="2210"/>
      <c r="J44" s="716"/>
      <c r="K44" s="715"/>
      <c r="L44" s="2152"/>
      <c r="M44" s="2152"/>
      <c r="N44" s="2205"/>
      <c r="O44" s="841"/>
      <c r="P44" s="146"/>
      <c r="Q44" s="738"/>
    </row>
    <row r="45" spans="2:17" x14ac:dyDescent="0.25">
      <c r="B45" s="700"/>
      <c r="C45" s="146"/>
      <c r="D45" s="841"/>
      <c r="E45" s="2153" t="s">
        <v>26</v>
      </c>
      <c r="F45" s="733" t="s">
        <v>1223</v>
      </c>
      <c r="G45" s="2220" t="s">
        <v>27</v>
      </c>
      <c r="H45" s="2210"/>
      <c r="I45" s="2221"/>
      <c r="J45" s="733"/>
      <c r="K45" s="717"/>
      <c r="L45" s="2153" t="s">
        <v>28</v>
      </c>
      <c r="M45" s="733"/>
      <c r="N45" s="2205"/>
      <c r="O45" s="841"/>
      <c r="P45" s="146"/>
      <c r="Q45" s="738"/>
    </row>
    <row r="46" spans="2:17" ht="3.75" customHeight="1" x14ac:dyDescent="0.25">
      <c r="B46" s="700"/>
      <c r="C46" s="146"/>
      <c r="D46" s="841"/>
      <c r="E46" s="2153"/>
      <c r="F46" s="715"/>
      <c r="G46" s="2210"/>
      <c r="H46" s="2210"/>
      <c r="I46" s="2210"/>
      <c r="J46" s="716"/>
      <c r="K46" s="715"/>
      <c r="L46" s="841"/>
      <c r="M46" s="841"/>
      <c r="N46" s="841"/>
      <c r="O46" s="841"/>
      <c r="P46" s="146"/>
      <c r="Q46" s="738"/>
    </row>
    <row r="47" spans="2:17" x14ac:dyDescent="0.25">
      <c r="B47" s="700"/>
      <c r="C47" s="146"/>
      <c r="D47" s="841"/>
      <c r="E47" s="2153" t="s">
        <v>29</v>
      </c>
      <c r="F47" s="733"/>
      <c r="G47" s="2220" t="s">
        <v>30</v>
      </c>
      <c r="H47" s="2210"/>
      <c r="I47" s="2221"/>
      <c r="J47" s="733"/>
      <c r="K47" s="709"/>
      <c r="L47" s="715"/>
      <c r="M47" s="715"/>
      <c r="N47" s="841"/>
      <c r="O47" s="841"/>
      <c r="P47" s="146"/>
      <c r="Q47" s="738"/>
    </row>
    <row r="48" spans="2:17" ht="3.75" customHeight="1" x14ac:dyDescent="0.25">
      <c r="B48" s="700"/>
      <c r="C48" s="146"/>
      <c r="D48" s="841"/>
      <c r="E48" s="715"/>
      <c r="F48" s="715"/>
      <c r="G48" s="715"/>
      <c r="H48" s="715"/>
      <c r="I48" s="715"/>
      <c r="J48" s="715"/>
      <c r="K48" s="715"/>
      <c r="L48" s="841"/>
      <c r="M48" s="841"/>
      <c r="N48" s="841"/>
      <c r="O48" s="841"/>
      <c r="P48" s="146"/>
      <c r="Q48" s="738"/>
    </row>
    <row r="49" spans="2:17" x14ac:dyDescent="0.25">
      <c r="B49" s="700"/>
      <c r="C49" s="146"/>
      <c r="D49" s="841"/>
      <c r="E49" s="2154" t="s">
        <v>31</v>
      </c>
      <c r="F49" s="733" t="s">
        <v>1223</v>
      </c>
      <c r="G49" s="2220" t="s">
        <v>32</v>
      </c>
      <c r="H49" s="2210"/>
      <c r="I49" s="2221"/>
      <c r="J49" s="733"/>
      <c r="K49" s="718"/>
      <c r="L49" s="841"/>
      <c r="M49" s="841"/>
      <c r="N49" s="841"/>
      <c r="O49" s="841"/>
      <c r="P49" s="146"/>
      <c r="Q49" s="738"/>
    </row>
    <row r="50" spans="2:17" ht="3.75" customHeight="1" x14ac:dyDescent="0.25">
      <c r="B50" s="700"/>
      <c r="C50" s="146"/>
      <c r="D50" s="841"/>
      <c r="E50" s="2153"/>
      <c r="F50" s="709"/>
      <c r="G50" s="2153"/>
      <c r="H50" s="2153"/>
      <c r="I50" s="2153"/>
      <c r="J50" s="718"/>
      <c r="K50" s="718"/>
      <c r="L50" s="841"/>
      <c r="M50" s="841"/>
      <c r="N50" s="841"/>
      <c r="O50" s="841"/>
      <c r="P50" s="146"/>
      <c r="Q50" s="738"/>
    </row>
    <row r="51" spans="2:17" x14ac:dyDescent="0.25">
      <c r="B51" s="700"/>
      <c r="C51" s="146"/>
      <c r="D51" s="841" t="s">
        <v>33</v>
      </c>
      <c r="E51" s="841"/>
      <c r="F51" s="841"/>
      <c r="G51" s="715"/>
      <c r="H51" s="841"/>
      <c r="I51" s="719"/>
      <c r="J51" s="718"/>
      <c r="K51" s="718"/>
      <c r="L51" s="841"/>
      <c r="M51" s="841"/>
      <c r="N51" s="841"/>
      <c r="O51" s="841"/>
      <c r="P51" s="146"/>
      <c r="Q51" s="738"/>
    </row>
    <row r="52" spans="2:17" ht="3.75" customHeight="1" x14ac:dyDescent="0.25">
      <c r="B52" s="700"/>
      <c r="C52" s="146"/>
      <c r="D52" s="841"/>
      <c r="E52" s="2152"/>
      <c r="F52" s="715"/>
      <c r="G52" s="715"/>
      <c r="H52" s="841"/>
      <c r="I52" s="719"/>
      <c r="J52" s="718"/>
      <c r="K52" s="718"/>
      <c r="L52" s="841"/>
      <c r="M52" s="841"/>
      <c r="N52" s="841"/>
      <c r="O52" s="841"/>
      <c r="P52" s="146"/>
      <c r="Q52" s="738"/>
    </row>
    <row r="53" spans="2:17" x14ac:dyDescent="0.25">
      <c r="B53" s="700"/>
      <c r="C53" s="146"/>
      <c r="D53" s="2211" t="s">
        <v>1553</v>
      </c>
      <c r="E53" s="2212"/>
      <c r="F53" s="2212"/>
      <c r="G53" s="2212"/>
      <c r="H53" s="2212"/>
      <c r="I53" s="2212"/>
      <c r="J53" s="2212"/>
      <c r="K53" s="2212"/>
      <c r="L53" s="2212"/>
      <c r="M53" s="2212"/>
      <c r="N53" s="2212"/>
      <c r="O53" s="2213"/>
      <c r="P53" s="146"/>
      <c r="Q53" s="738"/>
    </row>
    <row r="54" spans="2:17" x14ac:dyDescent="0.25">
      <c r="B54" s="700"/>
      <c r="C54" s="146"/>
      <c r="D54" s="2214"/>
      <c r="E54" s="2215"/>
      <c r="F54" s="2215"/>
      <c r="G54" s="2215"/>
      <c r="H54" s="2215"/>
      <c r="I54" s="2215"/>
      <c r="J54" s="2215"/>
      <c r="K54" s="2215"/>
      <c r="L54" s="2215"/>
      <c r="M54" s="2215"/>
      <c r="N54" s="2215"/>
      <c r="O54" s="2216"/>
      <c r="P54" s="146"/>
      <c r="Q54" s="738"/>
    </row>
    <row r="55" spans="2:17" x14ac:dyDescent="0.25">
      <c r="B55" s="700"/>
      <c r="C55" s="146"/>
      <c r="D55" s="2214"/>
      <c r="E55" s="2215"/>
      <c r="F55" s="2215"/>
      <c r="G55" s="2215"/>
      <c r="H55" s="2215"/>
      <c r="I55" s="2215"/>
      <c r="J55" s="2215"/>
      <c r="K55" s="2215"/>
      <c r="L55" s="2215"/>
      <c r="M55" s="2215"/>
      <c r="N55" s="2215"/>
      <c r="O55" s="2216"/>
      <c r="P55" s="146"/>
      <c r="Q55" s="738"/>
    </row>
    <row r="56" spans="2:17" x14ac:dyDescent="0.25">
      <c r="B56" s="700"/>
      <c r="C56" s="146"/>
      <c r="D56" s="2214"/>
      <c r="E56" s="2215"/>
      <c r="F56" s="2215"/>
      <c r="G56" s="2215"/>
      <c r="H56" s="2215"/>
      <c r="I56" s="2215"/>
      <c r="J56" s="2215"/>
      <c r="K56" s="2215"/>
      <c r="L56" s="2215"/>
      <c r="M56" s="2215"/>
      <c r="N56" s="2215"/>
      <c r="O56" s="2216"/>
      <c r="P56" s="146"/>
      <c r="Q56" s="738"/>
    </row>
    <row r="57" spans="2:17" x14ac:dyDescent="0.25">
      <c r="B57" s="700"/>
      <c r="C57" s="146"/>
      <c r="D57" s="2217"/>
      <c r="E57" s="2218"/>
      <c r="F57" s="2218"/>
      <c r="G57" s="2218"/>
      <c r="H57" s="2218"/>
      <c r="I57" s="2218"/>
      <c r="J57" s="2218"/>
      <c r="K57" s="2218"/>
      <c r="L57" s="2218"/>
      <c r="M57" s="2218"/>
      <c r="N57" s="2218"/>
      <c r="O57" s="2219"/>
      <c r="P57" s="146"/>
      <c r="Q57" s="738"/>
    </row>
    <row r="58" spans="2:17" ht="15" customHeight="1" thickBot="1" x14ac:dyDescent="0.3">
      <c r="B58" s="700"/>
      <c r="C58" s="146"/>
      <c r="D58" s="720"/>
      <c r="E58" s="720"/>
      <c r="F58" s="721"/>
      <c r="G58" s="720"/>
      <c r="H58" s="721"/>
      <c r="I58" s="721"/>
      <c r="J58" s="721"/>
      <c r="K58" s="721"/>
      <c r="L58" s="721"/>
      <c r="M58" s="721"/>
      <c r="N58" s="721"/>
      <c r="O58" s="721"/>
      <c r="P58" s="146"/>
      <c r="Q58" s="738"/>
    </row>
    <row r="59" spans="2:17" ht="15" customHeight="1" thickBot="1" x14ac:dyDescent="0.3">
      <c r="B59" s="700"/>
      <c r="C59" s="146"/>
      <c r="D59" s="1038" t="s">
        <v>34</v>
      </c>
      <c r="E59" s="720"/>
      <c r="F59" s="1353">
        <v>1</v>
      </c>
      <c r="G59" s="2206" t="str">
        <f>IF(F59&gt;1,"STOP!","")</f>
        <v/>
      </c>
      <c r="H59" s="2225" t="str">
        <f>IF(G59="STOP!","Projects incorporating more than one Site must submit a multiple-Site set of Forms. Please contact Sean Harrington via email at sean.harrington@commerce.wa.gov to request a set tailored for your Project","")</f>
        <v/>
      </c>
      <c r="I59" s="2225"/>
      <c r="J59" s="2225"/>
      <c r="K59" s="2225"/>
      <c r="L59" s="2225"/>
      <c r="M59" s="2225"/>
      <c r="N59" s="2225"/>
      <c r="O59" s="722"/>
      <c r="P59" s="146"/>
      <c r="Q59" s="738"/>
    </row>
    <row r="60" spans="2:17" ht="15" customHeight="1" thickBot="1" x14ac:dyDescent="0.3">
      <c r="B60" s="700"/>
      <c r="C60" s="146"/>
      <c r="D60" s="720"/>
      <c r="E60" s="720"/>
      <c r="F60" s="721"/>
      <c r="G60" s="720"/>
      <c r="H60" s="2225"/>
      <c r="I60" s="2225"/>
      <c r="J60" s="2225"/>
      <c r="K60" s="2225"/>
      <c r="L60" s="2225"/>
      <c r="M60" s="2225"/>
      <c r="N60" s="2225"/>
      <c r="O60" s="722"/>
      <c r="P60" s="146"/>
      <c r="Q60" s="738"/>
    </row>
    <row r="61" spans="2:17" ht="15" customHeight="1" thickTop="1" thickBot="1" x14ac:dyDescent="0.3">
      <c r="B61" s="700"/>
      <c r="C61" s="146"/>
      <c r="D61" s="151" t="s">
        <v>36</v>
      </c>
      <c r="E61" s="841"/>
      <c r="F61" s="723">
        <v>128</v>
      </c>
      <c r="G61" s="841"/>
      <c r="H61" s="2225"/>
      <c r="I61" s="2225"/>
      <c r="J61" s="2225"/>
      <c r="K61" s="2225"/>
      <c r="L61" s="2225"/>
      <c r="M61" s="2225"/>
      <c r="N61" s="2225"/>
      <c r="O61" s="722"/>
      <c r="P61" s="146"/>
      <c r="Q61" s="738"/>
    </row>
    <row r="62" spans="2:17" ht="15" customHeight="1" thickTop="1" x14ac:dyDescent="0.25">
      <c r="B62" s="700"/>
      <c r="C62" s="146"/>
      <c r="D62" s="724"/>
      <c r="E62" s="146"/>
      <c r="F62" s="841"/>
      <c r="G62" s="841"/>
      <c r="H62" s="2225"/>
      <c r="I62" s="2225"/>
      <c r="J62" s="2225"/>
      <c r="K62" s="2225"/>
      <c r="L62" s="2225"/>
      <c r="M62" s="2225"/>
      <c r="N62" s="2225"/>
      <c r="O62" s="722"/>
      <c r="P62" s="146"/>
      <c r="Q62" s="738"/>
    </row>
    <row r="63" spans="2:17" ht="15" customHeight="1" x14ac:dyDescent="0.25">
      <c r="B63" s="700"/>
      <c r="C63" s="146"/>
      <c r="D63" s="146"/>
      <c r="E63" s="725"/>
      <c r="F63" s="726"/>
      <c r="G63" s="725"/>
      <c r="H63" s="725"/>
      <c r="I63" s="725"/>
      <c r="J63" s="727"/>
      <c r="K63" s="727"/>
      <c r="L63" s="146"/>
      <c r="M63" s="146"/>
      <c r="N63" s="146"/>
      <c r="O63" s="146"/>
      <c r="P63" s="146"/>
      <c r="Q63" s="738"/>
    </row>
    <row r="64" spans="2:17" ht="3.75" customHeight="1" thickBot="1" x14ac:dyDescent="0.3">
      <c r="B64" s="728"/>
      <c r="C64" s="729"/>
      <c r="D64" s="729"/>
      <c r="E64" s="729"/>
      <c r="F64" s="598"/>
      <c r="G64" s="729"/>
      <c r="H64" s="729"/>
      <c r="I64" s="729"/>
      <c r="J64" s="729"/>
      <c r="K64" s="730"/>
      <c r="L64" s="598"/>
      <c r="M64" s="598"/>
      <c r="N64" s="598"/>
      <c r="O64" s="729"/>
      <c r="P64" s="729"/>
      <c r="Q64" s="739"/>
    </row>
  </sheetData>
  <sheetProtection algorithmName="SHA-512" hashValue="rSNlxBXQFOk/1cXw03ScQRYqN3ouhiyT8DqDZook6uknkgs4W+Hup0E8rYvcrcCrm/AjgCCYGcCRDBYDgoD+qg==" saltValue="/i2fIuRwFJGgFza6YY2ZNw==" spinCount="100000" sheet="1" objects="1" scenarios="1" formatCells="0" formatColumns="0" formatRows="0"/>
  <mergeCells count="30">
    <mergeCell ref="G7:O7"/>
    <mergeCell ref="G9:O9"/>
    <mergeCell ref="G39:O39"/>
    <mergeCell ref="H59:N62"/>
    <mergeCell ref="G5:O5"/>
    <mergeCell ref="G12:O12"/>
    <mergeCell ref="G14:O14"/>
    <mergeCell ref="G19:O19"/>
    <mergeCell ref="G21:O21"/>
    <mergeCell ref="G27:O27"/>
    <mergeCell ref="G16:H16"/>
    <mergeCell ref="J16:O16"/>
    <mergeCell ref="G23:H23"/>
    <mergeCell ref="J23:O23"/>
    <mergeCell ref="C3:P3"/>
    <mergeCell ref="D31:E31"/>
    <mergeCell ref="G44:I44"/>
    <mergeCell ref="D53:O57"/>
    <mergeCell ref="G45:I45"/>
    <mergeCell ref="G46:I46"/>
    <mergeCell ref="G47:I47"/>
    <mergeCell ref="G49:I49"/>
    <mergeCell ref="G43:I43"/>
    <mergeCell ref="G35:H35"/>
    <mergeCell ref="L35:O35"/>
    <mergeCell ref="G31:O31"/>
    <mergeCell ref="G33:H33"/>
    <mergeCell ref="J33:K33"/>
    <mergeCell ref="M33:O33"/>
    <mergeCell ref="L37:O37"/>
  </mergeCells>
  <conditionalFormatting sqref="F43 F45 F47 F49 J43 J45 J47 J49 M43 M45">
    <cfRule type="cellIs" dxfId="79" priority="1" operator="equal">
      <formula>"X"</formula>
    </cfRule>
  </conditionalFormatting>
  <dataValidations count="2">
    <dataValidation type="list" allowBlank="1" showInputMessage="1" showErrorMessage="1" sqref="L25">
      <formula1>"Yes,No"</formula1>
    </dataValidation>
    <dataValidation type="list" allowBlank="1" showInputMessage="1" showErrorMessage="1" sqref="F43 F45 M45 M43 J49 J47 J45 J43 F49 F47">
      <formula1>"X"</formula1>
    </dataValidation>
  </dataValidations>
  <hyperlinks>
    <hyperlink ref="J16" r:id="rId1"/>
  </hyperlinks>
  <pageMargins left="0.7" right="0.7" top="0.75" bottom="0.75" header="0.3" footer="0.3"/>
  <pageSetup scale="83" orientation="portrait" r:id="rId2"/>
  <headerFooter>
    <oddFooter>&amp;LForm 1A
Project Summary&amp;CCFA Forms&amp;REdition 2015
Version 1.0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72"/>
  <sheetViews>
    <sheetView showGridLines="0" view="pageBreakPreview" zoomScale="60" zoomScaleNormal="100" workbookViewId="0">
      <selection activeCell="T32" sqref="T32"/>
    </sheetView>
  </sheetViews>
  <sheetFormatPr defaultColWidth="9.140625" defaultRowHeight="15" x14ac:dyDescent="0.25"/>
  <cols>
    <col min="1" max="2" width="1.7109375" style="740" customWidth="1"/>
    <col min="3" max="3" width="14" style="740" bestFit="1" customWidth="1"/>
    <col min="4" max="11" width="9.140625" style="740"/>
    <col min="12" max="12" width="15.5703125" style="740" customWidth="1"/>
    <col min="13" max="14" width="1.7109375" style="740" customWidth="1"/>
    <col min="15" max="16384" width="9.140625" style="740"/>
  </cols>
  <sheetData>
    <row r="1" spans="2:13" ht="9" customHeight="1" thickBot="1" x14ac:dyDescent="0.3"/>
    <row r="2" spans="2:13" ht="9" customHeight="1" x14ac:dyDescent="0.25">
      <c r="B2" s="698"/>
      <c r="C2" s="699"/>
      <c r="D2" s="699"/>
      <c r="E2" s="699"/>
      <c r="F2" s="699"/>
      <c r="G2" s="699"/>
      <c r="H2" s="699"/>
      <c r="I2" s="699"/>
      <c r="J2" s="699"/>
      <c r="K2" s="699"/>
      <c r="L2" s="699"/>
      <c r="M2" s="737"/>
    </row>
    <row r="3" spans="2:13" ht="18.75" x14ac:dyDescent="0.3">
      <c r="B3" s="700"/>
      <c r="C3" s="2229" t="s">
        <v>37</v>
      </c>
      <c r="D3" s="2229"/>
      <c r="E3" s="2229"/>
      <c r="F3" s="2229"/>
      <c r="G3" s="2229"/>
      <c r="H3" s="2229"/>
      <c r="I3" s="2229"/>
      <c r="J3" s="2229"/>
      <c r="K3" s="2229"/>
      <c r="L3" s="2229"/>
      <c r="M3" s="738"/>
    </row>
    <row r="4" spans="2:13" x14ac:dyDescent="0.25">
      <c r="B4" s="700"/>
      <c r="C4" s="555" t="s">
        <v>1</v>
      </c>
      <c r="D4" s="2228" t="str">
        <f>IF('1A'!G7="","Enter Project Name on Form 1A",'1A'!G7)</f>
        <v>Building 9 South (4%)</v>
      </c>
      <c r="E4" s="2228"/>
      <c r="F4" s="2228"/>
      <c r="G4" s="2228"/>
      <c r="H4" s="2228"/>
      <c r="I4" s="146"/>
      <c r="J4" s="146"/>
      <c r="K4" s="146"/>
      <c r="L4" s="146"/>
      <c r="M4" s="738"/>
    </row>
    <row r="5" spans="2:13" ht="22.7" customHeight="1" thickBot="1" x14ac:dyDescent="0.3">
      <c r="B5" s="700"/>
      <c r="C5" s="151"/>
      <c r="D5" s="146"/>
      <c r="E5" s="146"/>
      <c r="F5" s="146"/>
      <c r="G5" s="146"/>
      <c r="H5" s="146"/>
      <c r="I5" s="146"/>
      <c r="J5" s="146"/>
      <c r="K5" s="146"/>
      <c r="L5" s="146"/>
      <c r="M5" s="738"/>
    </row>
    <row r="6" spans="2:13" ht="30.75" thickBot="1" x14ac:dyDescent="0.3">
      <c r="B6" s="753"/>
      <c r="C6" s="1651" t="s">
        <v>38</v>
      </c>
      <c r="D6" s="754" t="s">
        <v>39</v>
      </c>
      <c r="E6" s="1652" t="s">
        <v>40</v>
      </c>
      <c r="F6" s="1652" t="s">
        <v>41</v>
      </c>
      <c r="G6" s="1652" t="s">
        <v>42</v>
      </c>
      <c r="H6" s="1652" t="s">
        <v>43</v>
      </c>
      <c r="I6" s="1653" t="s">
        <v>44</v>
      </c>
      <c r="J6" s="1653" t="s">
        <v>45</v>
      </c>
      <c r="K6" s="1358" t="s">
        <v>46</v>
      </c>
      <c r="L6" s="1364" t="s">
        <v>47</v>
      </c>
      <c r="M6" s="755"/>
    </row>
    <row r="7" spans="2:13" x14ac:dyDescent="0.25">
      <c r="B7" s="753"/>
      <c r="C7" s="756">
        <v>0.25</v>
      </c>
      <c r="D7" s="741"/>
      <c r="E7" s="742"/>
      <c r="F7" s="742"/>
      <c r="G7" s="742"/>
      <c r="H7" s="742"/>
      <c r="I7" s="743"/>
      <c r="J7" s="743"/>
      <c r="K7" s="1359"/>
      <c r="L7" s="1365">
        <f t="shared" ref="L7:L16" si="0">SUM(D7:K7)</f>
        <v>0</v>
      </c>
      <c r="M7" s="755"/>
    </row>
    <row r="8" spans="2:13" x14ac:dyDescent="0.25">
      <c r="B8" s="753"/>
      <c r="C8" s="1354">
        <v>0.3</v>
      </c>
      <c r="D8" s="1355"/>
      <c r="E8" s="744"/>
      <c r="F8" s="744"/>
      <c r="G8" s="744"/>
      <c r="H8" s="744"/>
      <c r="I8" s="745"/>
      <c r="J8" s="745"/>
      <c r="K8" s="1360"/>
      <c r="L8" s="1366">
        <f t="shared" si="0"/>
        <v>0</v>
      </c>
      <c r="M8" s="755"/>
    </row>
    <row r="9" spans="2:13" x14ac:dyDescent="0.25">
      <c r="B9" s="753"/>
      <c r="C9" s="1354">
        <v>0.35</v>
      </c>
      <c r="D9" s="1355"/>
      <c r="E9" s="744"/>
      <c r="F9" s="744"/>
      <c r="G9" s="744"/>
      <c r="H9" s="744"/>
      <c r="I9" s="745"/>
      <c r="J9" s="745"/>
      <c r="K9" s="1360"/>
      <c r="L9" s="1366">
        <f t="shared" si="0"/>
        <v>0</v>
      </c>
      <c r="M9" s="755"/>
    </row>
    <row r="10" spans="2:13" x14ac:dyDescent="0.25">
      <c r="B10" s="753"/>
      <c r="C10" s="1354">
        <v>0.4</v>
      </c>
      <c r="D10" s="1355"/>
      <c r="E10" s="744"/>
      <c r="F10" s="744"/>
      <c r="G10" s="744"/>
      <c r="H10" s="744"/>
      <c r="I10" s="745"/>
      <c r="J10" s="745"/>
      <c r="K10" s="1360"/>
      <c r="L10" s="1366">
        <f t="shared" si="0"/>
        <v>0</v>
      </c>
      <c r="M10" s="755"/>
    </row>
    <row r="11" spans="2:13" x14ac:dyDescent="0.25">
      <c r="B11" s="753"/>
      <c r="C11" s="1354">
        <v>0.45</v>
      </c>
      <c r="D11" s="1355"/>
      <c r="E11" s="744"/>
      <c r="F11" s="744"/>
      <c r="G11" s="744"/>
      <c r="H11" s="744"/>
      <c r="I11" s="745"/>
      <c r="J11" s="745"/>
      <c r="K11" s="1360"/>
      <c r="L11" s="1366">
        <f t="shared" si="0"/>
        <v>0</v>
      </c>
      <c r="M11" s="755"/>
    </row>
    <row r="12" spans="2:13" x14ac:dyDescent="0.25">
      <c r="B12" s="753"/>
      <c r="C12" s="1354">
        <v>0.5</v>
      </c>
      <c r="D12" s="1355"/>
      <c r="E12" s="744"/>
      <c r="F12" s="744"/>
      <c r="G12" s="744">
        <v>12</v>
      </c>
      <c r="H12" s="744">
        <v>25</v>
      </c>
      <c r="I12" s="745"/>
      <c r="J12" s="745"/>
      <c r="K12" s="1360"/>
      <c r="L12" s="1366">
        <f t="shared" si="0"/>
        <v>37</v>
      </c>
      <c r="M12" s="755"/>
    </row>
    <row r="13" spans="2:13" x14ac:dyDescent="0.25">
      <c r="B13" s="753"/>
      <c r="C13" s="1354">
        <v>0.55000000000000004</v>
      </c>
      <c r="D13" s="1355"/>
      <c r="E13" s="744"/>
      <c r="F13" s="744"/>
      <c r="G13" s="744"/>
      <c r="H13" s="744"/>
      <c r="I13" s="745"/>
      <c r="J13" s="745"/>
      <c r="K13" s="1360"/>
      <c r="L13" s="1366">
        <f t="shared" si="0"/>
        <v>0</v>
      </c>
      <c r="M13" s="755"/>
    </row>
    <row r="14" spans="2:13" x14ac:dyDescent="0.25">
      <c r="B14" s="753"/>
      <c r="C14" s="1354">
        <v>0.6</v>
      </c>
      <c r="D14" s="1355"/>
      <c r="E14" s="744"/>
      <c r="F14" s="744"/>
      <c r="G14" s="744">
        <v>18</v>
      </c>
      <c r="H14" s="744">
        <v>33</v>
      </c>
      <c r="I14" s="745"/>
      <c r="J14" s="745"/>
      <c r="K14" s="1360"/>
      <c r="L14" s="1366">
        <f t="shared" si="0"/>
        <v>51</v>
      </c>
      <c r="M14" s="755"/>
    </row>
    <row r="15" spans="2:13" x14ac:dyDescent="0.25">
      <c r="B15" s="753"/>
      <c r="C15" s="1354">
        <v>0.65</v>
      </c>
      <c r="D15" s="1356"/>
      <c r="E15" s="1357"/>
      <c r="F15" s="1357"/>
      <c r="G15" s="1357"/>
      <c r="H15" s="1357"/>
      <c r="I15" s="1357"/>
      <c r="J15" s="1357"/>
      <c r="K15" s="1361"/>
      <c r="L15" s="1366">
        <f t="shared" si="0"/>
        <v>0</v>
      </c>
      <c r="M15" s="755"/>
    </row>
    <row r="16" spans="2:13" x14ac:dyDescent="0.25">
      <c r="B16" s="753"/>
      <c r="C16" s="1354">
        <v>0.8</v>
      </c>
      <c r="D16" s="1355"/>
      <c r="E16" s="744"/>
      <c r="F16" s="744"/>
      <c r="G16" s="744"/>
      <c r="H16" s="744"/>
      <c r="I16" s="745"/>
      <c r="J16" s="745"/>
      <c r="K16" s="1360"/>
      <c r="L16" s="1366">
        <f t="shared" si="0"/>
        <v>0</v>
      </c>
      <c r="M16" s="755"/>
    </row>
    <row r="17" spans="2:13" ht="25.5" x14ac:dyDescent="0.25">
      <c r="B17" s="753"/>
      <c r="C17" s="757" t="s">
        <v>48</v>
      </c>
      <c r="D17" s="758">
        <f t="shared" ref="D17:L17" si="1">SUM(D7:D16)</f>
        <v>0</v>
      </c>
      <c r="E17" s="759">
        <f t="shared" si="1"/>
        <v>0</v>
      </c>
      <c r="F17" s="759">
        <f t="shared" si="1"/>
        <v>0</v>
      </c>
      <c r="G17" s="759">
        <f t="shared" si="1"/>
        <v>30</v>
      </c>
      <c r="H17" s="759">
        <f t="shared" si="1"/>
        <v>58</v>
      </c>
      <c r="I17" s="760">
        <f t="shared" si="1"/>
        <v>0</v>
      </c>
      <c r="J17" s="760">
        <f t="shared" si="1"/>
        <v>0</v>
      </c>
      <c r="K17" s="1362">
        <f t="shared" si="1"/>
        <v>0</v>
      </c>
      <c r="L17" s="761">
        <f t="shared" si="1"/>
        <v>88</v>
      </c>
      <c r="M17" s="755"/>
    </row>
    <row r="18" spans="2:13" ht="29.25" customHeight="1" x14ac:dyDescent="0.25">
      <c r="B18" s="753"/>
      <c r="C18" s="762" t="s">
        <v>49</v>
      </c>
      <c r="D18" s="741"/>
      <c r="E18" s="742"/>
      <c r="F18" s="742"/>
      <c r="G18" s="742"/>
      <c r="H18" s="742"/>
      <c r="I18" s="743"/>
      <c r="J18" s="743"/>
      <c r="K18" s="1359"/>
      <c r="L18" s="1367">
        <f>SUM(D18:K18)</f>
        <v>0</v>
      </c>
      <c r="M18" s="755"/>
    </row>
    <row r="19" spans="2:13" ht="27.75" customHeight="1" thickBot="1" x14ac:dyDescent="0.3">
      <c r="B19" s="753"/>
      <c r="C19" s="763" t="s">
        <v>50</v>
      </c>
      <c r="D19" s="746"/>
      <c r="E19" s="747"/>
      <c r="F19" s="747"/>
      <c r="G19" s="747"/>
      <c r="H19" s="747"/>
      <c r="I19" s="748"/>
      <c r="J19" s="748"/>
      <c r="K19" s="1363"/>
      <c r="L19" s="1368">
        <f>SUM(D19:K19)</f>
        <v>0</v>
      </c>
      <c r="M19" s="755"/>
    </row>
    <row r="20" spans="2:13" ht="29.25" customHeight="1" thickTop="1" thickBot="1" x14ac:dyDescent="0.3">
      <c r="B20" s="753"/>
      <c r="C20" s="1654" t="s">
        <v>51</v>
      </c>
      <c r="D20" s="1655">
        <f>D17+D18+D19</f>
        <v>0</v>
      </c>
      <c r="E20" s="1656">
        <f t="shared" ref="E20:K20" si="2">E17+E18+E19</f>
        <v>0</v>
      </c>
      <c r="F20" s="1656">
        <f t="shared" si="2"/>
        <v>0</v>
      </c>
      <c r="G20" s="1656">
        <f t="shared" si="2"/>
        <v>30</v>
      </c>
      <c r="H20" s="1656">
        <f t="shared" si="2"/>
        <v>58</v>
      </c>
      <c r="I20" s="1657">
        <f t="shared" si="2"/>
        <v>0</v>
      </c>
      <c r="J20" s="1657">
        <f t="shared" si="2"/>
        <v>0</v>
      </c>
      <c r="K20" s="1657">
        <f t="shared" si="2"/>
        <v>0</v>
      </c>
      <c r="L20" s="1658">
        <f>SUM(L17:L19)</f>
        <v>88</v>
      </c>
      <c r="M20" s="755"/>
    </row>
    <row r="21" spans="2:13" ht="7.5" customHeight="1" thickBot="1" x14ac:dyDescent="0.3">
      <c r="B21" s="753"/>
      <c r="C21" s="764"/>
      <c r="D21" s="765"/>
      <c r="E21" s="765"/>
      <c r="F21" s="765"/>
      <c r="G21" s="765"/>
      <c r="H21" s="765"/>
      <c r="I21" s="766"/>
      <c r="J21" s="766"/>
      <c r="K21" s="766"/>
      <c r="L21" s="1369"/>
      <c r="M21" s="755"/>
    </row>
    <row r="22" spans="2:13" ht="25.5" x14ac:dyDescent="0.25">
      <c r="B22" s="753"/>
      <c r="C22" s="767" t="s">
        <v>52</v>
      </c>
      <c r="D22" s="749"/>
      <c r="E22" s="750"/>
      <c r="F22" s="750"/>
      <c r="G22" s="750">
        <v>2</v>
      </c>
      <c r="H22" s="750">
        <v>3</v>
      </c>
      <c r="I22" s="750"/>
      <c r="J22" s="750"/>
      <c r="K22" s="750"/>
      <c r="L22" s="768">
        <f>SUM(D22:K22)</f>
        <v>5</v>
      </c>
      <c r="M22" s="755"/>
    </row>
    <row r="23" spans="2:13" ht="15.75" thickBot="1" x14ac:dyDescent="0.3">
      <c r="B23" s="753"/>
      <c r="C23" s="769" t="s">
        <v>639</v>
      </c>
      <c r="D23" s="751"/>
      <c r="E23" s="752"/>
      <c r="F23" s="752"/>
      <c r="G23" s="752">
        <v>583</v>
      </c>
      <c r="H23" s="752">
        <v>945</v>
      </c>
      <c r="I23" s="752"/>
      <c r="J23" s="752"/>
      <c r="K23" s="752"/>
      <c r="L23" s="770"/>
      <c r="M23" s="755"/>
    </row>
    <row r="24" spans="2:13" ht="8.4499999999999993" customHeight="1" thickBot="1" x14ac:dyDescent="0.3">
      <c r="B24" s="728"/>
      <c r="C24" s="729"/>
      <c r="D24" s="729"/>
      <c r="E24" s="729"/>
      <c r="F24" s="729"/>
      <c r="G24" s="729"/>
      <c r="H24" s="729"/>
      <c r="I24" s="729"/>
      <c r="J24" s="729"/>
      <c r="K24" s="729"/>
      <c r="L24" s="729"/>
      <c r="M24" s="739"/>
    </row>
    <row r="25" spans="2:13" ht="8.4499999999999993" customHeight="1" thickBot="1" x14ac:dyDescent="0.3">
      <c r="B25" s="700"/>
      <c r="C25" s="146"/>
      <c r="D25" s="146"/>
      <c r="E25" s="146"/>
      <c r="F25" s="146"/>
      <c r="G25" s="146"/>
      <c r="H25" s="146"/>
      <c r="I25" s="146"/>
      <c r="J25" s="146"/>
      <c r="K25" s="146"/>
      <c r="L25" s="146"/>
      <c r="M25" s="738"/>
    </row>
    <row r="26" spans="2:13" ht="8.4499999999999993" customHeight="1" x14ac:dyDescent="0.25">
      <c r="B26" s="2165"/>
      <c r="C26" s="2166"/>
      <c r="D26" s="2166"/>
      <c r="E26" s="2166"/>
      <c r="F26" s="2166"/>
      <c r="G26" s="2166"/>
      <c r="H26" s="2166"/>
      <c r="I26" s="2166"/>
      <c r="J26" s="2166"/>
      <c r="K26" s="2166"/>
      <c r="L26" s="2166"/>
      <c r="M26" s="2167"/>
    </row>
    <row r="27" spans="2:13" ht="18.75" x14ac:dyDescent="0.3">
      <c r="B27" s="700"/>
      <c r="C27" s="2229" t="s">
        <v>37</v>
      </c>
      <c r="D27" s="2229"/>
      <c r="E27" s="2229"/>
      <c r="F27" s="2229"/>
      <c r="G27" s="2229"/>
      <c r="H27" s="2229"/>
      <c r="I27" s="2229"/>
      <c r="J27" s="2229"/>
      <c r="K27" s="2229"/>
      <c r="L27" s="2229"/>
      <c r="M27" s="738"/>
    </row>
    <row r="28" spans="2:13" x14ac:dyDescent="0.25">
      <c r="B28" s="700"/>
      <c r="C28" s="555" t="s">
        <v>1</v>
      </c>
      <c r="D28" s="2228" t="str">
        <f>IF('1A'!G9="","Enter Project Name on Form 1A",'1A'!G9)</f>
        <v>Building 9 North (9%)</v>
      </c>
      <c r="E28" s="2228"/>
      <c r="F28" s="2228"/>
      <c r="G28" s="2228"/>
      <c r="H28" s="2228"/>
      <c r="I28" s="146"/>
      <c r="J28" s="146"/>
      <c r="K28" s="146"/>
      <c r="L28" s="146"/>
      <c r="M28" s="738"/>
    </row>
    <row r="29" spans="2:13" ht="22.7" customHeight="1" thickBot="1" x14ac:dyDescent="0.3">
      <c r="B29" s="700"/>
      <c r="C29" s="151"/>
      <c r="D29" s="146"/>
      <c r="E29" s="146"/>
      <c r="F29" s="146"/>
      <c r="G29" s="146"/>
      <c r="H29" s="146"/>
      <c r="I29" s="146"/>
      <c r="J29" s="146"/>
      <c r="K29" s="146"/>
      <c r="L29" s="146"/>
      <c r="M29" s="738"/>
    </row>
    <row r="30" spans="2:13" ht="30.75" thickBot="1" x14ac:dyDescent="0.3">
      <c r="B30" s="753"/>
      <c r="C30" s="1651" t="s">
        <v>38</v>
      </c>
      <c r="D30" s="754" t="s">
        <v>39</v>
      </c>
      <c r="E30" s="1652" t="s">
        <v>40</v>
      </c>
      <c r="F30" s="1652" t="s">
        <v>41</v>
      </c>
      <c r="G30" s="1652" t="s">
        <v>42</v>
      </c>
      <c r="H30" s="1652" t="s">
        <v>43</v>
      </c>
      <c r="I30" s="1653" t="s">
        <v>44</v>
      </c>
      <c r="J30" s="1653" t="s">
        <v>45</v>
      </c>
      <c r="K30" s="1358" t="s">
        <v>46</v>
      </c>
      <c r="L30" s="1364" t="s">
        <v>47</v>
      </c>
      <c r="M30" s="755"/>
    </row>
    <row r="31" spans="2:13" x14ac:dyDescent="0.25">
      <c r="B31" s="753"/>
      <c r="C31" s="756">
        <v>0.25</v>
      </c>
      <c r="D31" s="741"/>
      <c r="E31" s="742"/>
      <c r="F31" s="742"/>
      <c r="G31" s="742"/>
      <c r="H31" s="742"/>
      <c r="I31" s="743"/>
      <c r="J31" s="743"/>
      <c r="K31" s="1359"/>
      <c r="L31" s="1365">
        <f t="shared" ref="L31:L40" si="3">SUM(D31:K31)</f>
        <v>0</v>
      </c>
      <c r="M31" s="755"/>
    </row>
    <row r="32" spans="2:13" x14ac:dyDescent="0.25">
      <c r="B32" s="753"/>
      <c r="C32" s="1354">
        <v>0.3</v>
      </c>
      <c r="D32" s="1355"/>
      <c r="E32" s="744"/>
      <c r="F32" s="744"/>
      <c r="G32" s="744">
        <v>3</v>
      </c>
      <c r="H32" s="744">
        <v>13</v>
      </c>
      <c r="I32" s="745">
        <v>4</v>
      </c>
      <c r="J32" s="745"/>
      <c r="K32" s="1360"/>
      <c r="L32" s="1366">
        <f t="shared" si="3"/>
        <v>20</v>
      </c>
      <c r="M32" s="755"/>
    </row>
    <row r="33" spans="2:13" x14ac:dyDescent="0.25">
      <c r="B33" s="753"/>
      <c r="C33" s="1354">
        <v>0.35</v>
      </c>
      <c r="D33" s="1355"/>
      <c r="E33" s="744"/>
      <c r="F33" s="744"/>
      <c r="G33" s="744"/>
      <c r="H33" s="744"/>
      <c r="I33" s="745"/>
      <c r="J33" s="745"/>
      <c r="K33" s="1360"/>
      <c r="L33" s="1366">
        <f t="shared" si="3"/>
        <v>0</v>
      </c>
      <c r="M33" s="755"/>
    </row>
    <row r="34" spans="2:13" x14ac:dyDescent="0.25">
      <c r="B34" s="753"/>
      <c r="C34" s="1354">
        <v>0.4</v>
      </c>
      <c r="D34" s="1355"/>
      <c r="E34" s="744"/>
      <c r="F34" s="744"/>
      <c r="G34" s="744"/>
      <c r="H34" s="744"/>
      <c r="I34" s="745"/>
      <c r="J34" s="745"/>
      <c r="K34" s="1360"/>
      <c r="L34" s="1366">
        <f t="shared" si="3"/>
        <v>0</v>
      </c>
      <c r="M34" s="755"/>
    </row>
    <row r="35" spans="2:13" x14ac:dyDescent="0.25">
      <c r="B35" s="753"/>
      <c r="C35" s="1354">
        <v>0.45</v>
      </c>
      <c r="D35" s="1355"/>
      <c r="E35" s="744"/>
      <c r="F35" s="744"/>
      <c r="G35" s="744"/>
      <c r="H35" s="744"/>
      <c r="I35" s="745"/>
      <c r="J35" s="745"/>
      <c r="K35" s="1360"/>
      <c r="L35" s="1366">
        <f t="shared" si="3"/>
        <v>0</v>
      </c>
      <c r="M35" s="755"/>
    </row>
    <row r="36" spans="2:13" x14ac:dyDescent="0.25">
      <c r="B36" s="753"/>
      <c r="C36" s="1354">
        <v>0.5</v>
      </c>
      <c r="D36" s="1355"/>
      <c r="E36" s="744"/>
      <c r="F36" s="744"/>
      <c r="G36" s="744">
        <v>2</v>
      </c>
      <c r="H36" s="744">
        <v>13</v>
      </c>
      <c r="I36" s="745">
        <v>5</v>
      </c>
      <c r="J36" s="745"/>
      <c r="K36" s="1360"/>
      <c r="L36" s="1366">
        <f t="shared" si="3"/>
        <v>20</v>
      </c>
      <c r="M36" s="755"/>
    </row>
    <row r="37" spans="2:13" x14ac:dyDescent="0.25">
      <c r="B37" s="753"/>
      <c r="C37" s="1354">
        <v>0.55000000000000004</v>
      </c>
      <c r="D37" s="1355"/>
      <c r="E37" s="744"/>
      <c r="F37" s="744"/>
      <c r="G37" s="744"/>
      <c r="H37" s="744"/>
      <c r="I37" s="745"/>
      <c r="J37" s="745"/>
      <c r="K37" s="1360"/>
      <c r="L37" s="1366">
        <f t="shared" si="3"/>
        <v>0</v>
      </c>
      <c r="M37" s="755"/>
    </row>
    <row r="38" spans="2:13" x14ac:dyDescent="0.25">
      <c r="B38" s="753"/>
      <c r="C38" s="1354">
        <v>0.6</v>
      </c>
      <c r="D38" s="1355"/>
      <c r="E38" s="744"/>
      <c r="F38" s="744"/>
      <c r="G38" s="744"/>
      <c r="H38" s="744"/>
      <c r="I38" s="745"/>
      <c r="J38" s="745"/>
      <c r="K38" s="1360"/>
      <c r="L38" s="1366">
        <f t="shared" si="3"/>
        <v>0</v>
      </c>
      <c r="M38" s="755"/>
    </row>
    <row r="39" spans="2:13" x14ac:dyDescent="0.25">
      <c r="B39" s="753"/>
      <c r="C39" s="1354">
        <v>0.65</v>
      </c>
      <c r="D39" s="1356"/>
      <c r="E39" s="1357"/>
      <c r="F39" s="1357"/>
      <c r="G39" s="1357"/>
      <c r="H39" s="1357"/>
      <c r="I39" s="1357"/>
      <c r="J39" s="1357"/>
      <c r="K39" s="1361"/>
      <c r="L39" s="1366">
        <f t="shared" si="3"/>
        <v>0</v>
      </c>
      <c r="M39" s="755"/>
    </row>
    <row r="40" spans="2:13" x14ac:dyDescent="0.25">
      <c r="B40" s="753"/>
      <c r="C40" s="1354">
        <v>0.8</v>
      </c>
      <c r="D40" s="1355"/>
      <c r="E40" s="744"/>
      <c r="F40" s="744"/>
      <c r="G40" s="744"/>
      <c r="H40" s="744"/>
      <c r="I40" s="745"/>
      <c r="J40" s="745"/>
      <c r="K40" s="1360"/>
      <c r="L40" s="1366">
        <f t="shared" si="3"/>
        <v>0</v>
      </c>
      <c r="M40" s="755"/>
    </row>
    <row r="41" spans="2:13" ht="25.5" x14ac:dyDescent="0.25">
      <c r="B41" s="753"/>
      <c r="C41" s="757" t="s">
        <v>48</v>
      </c>
      <c r="D41" s="758">
        <f t="shared" ref="D41:L41" si="4">SUM(D31:D40)</f>
        <v>0</v>
      </c>
      <c r="E41" s="759">
        <f t="shared" si="4"/>
        <v>0</v>
      </c>
      <c r="F41" s="759">
        <f t="shared" si="4"/>
        <v>0</v>
      </c>
      <c r="G41" s="759">
        <f t="shared" si="4"/>
        <v>5</v>
      </c>
      <c r="H41" s="759">
        <f t="shared" si="4"/>
        <v>26</v>
      </c>
      <c r="I41" s="760">
        <f t="shared" si="4"/>
        <v>9</v>
      </c>
      <c r="J41" s="760">
        <f t="shared" si="4"/>
        <v>0</v>
      </c>
      <c r="K41" s="1362">
        <f t="shared" si="4"/>
        <v>0</v>
      </c>
      <c r="L41" s="761">
        <f t="shared" si="4"/>
        <v>40</v>
      </c>
      <c r="M41" s="755"/>
    </row>
    <row r="42" spans="2:13" ht="27.75" customHeight="1" x14ac:dyDescent="0.25">
      <c r="B42" s="753"/>
      <c r="C42" s="762" t="s">
        <v>49</v>
      </c>
      <c r="D42" s="741"/>
      <c r="E42" s="742"/>
      <c r="F42" s="742"/>
      <c r="G42" s="742"/>
      <c r="H42" s="742"/>
      <c r="I42" s="743"/>
      <c r="J42" s="743"/>
      <c r="K42" s="1359"/>
      <c r="L42" s="1367">
        <f>SUM(D42:K42)</f>
        <v>0</v>
      </c>
      <c r="M42" s="755"/>
    </row>
    <row r="43" spans="2:13" ht="33" customHeight="1" thickBot="1" x14ac:dyDescent="0.3">
      <c r="B43" s="753"/>
      <c r="C43" s="763" t="s">
        <v>50</v>
      </c>
      <c r="D43" s="746"/>
      <c r="E43" s="747"/>
      <c r="F43" s="747"/>
      <c r="G43" s="747"/>
      <c r="H43" s="747"/>
      <c r="I43" s="748"/>
      <c r="J43" s="748"/>
      <c r="K43" s="1363"/>
      <c r="L43" s="1368">
        <f>SUM(D43:K43)</f>
        <v>0</v>
      </c>
      <c r="M43" s="755"/>
    </row>
    <row r="44" spans="2:13" ht="29.25" customHeight="1" thickTop="1" thickBot="1" x14ac:dyDescent="0.3">
      <c r="B44" s="753"/>
      <c r="C44" s="2168" t="s">
        <v>51</v>
      </c>
      <c r="D44" s="2169">
        <f>D41+D42+D43</f>
        <v>0</v>
      </c>
      <c r="E44" s="2170">
        <f t="shared" ref="E44:K44" si="5">E41+E42+E43</f>
        <v>0</v>
      </c>
      <c r="F44" s="2170">
        <f t="shared" si="5"/>
        <v>0</v>
      </c>
      <c r="G44" s="2170">
        <f t="shared" si="5"/>
        <v>5</v>
      </c>
      <c r="H44" s="2170">
        <f t="shared" si="5"/>
        <v>26</v>
      </c>
      <c r="I44" s="2171">
        <f t="shared" si="5"/>
        <v>9</v>
      </c>
      <c r="J44" s="2171">
        <f t="shared" si="5"/>
        <v>0</v>
      </c>
      <c r="K44" s="2171">
        <f t="shared" si="5"/>
        <v>0</v>
      </c>
      <c r="L44" s="1370">
        <f>SUM(L41:L43)</f>
        <v>40</v>
      </c>
      <c r="M44" s="755"/>
    </row>
    <row r="45" spans="2:13" ht="7.5" customHeight="1" thickTop="1" thickBot="1" x14ac:dyDescent="0.3">
      <c r="B45" s="753"/>
      <c r="C45" s="2172"/>
      <c r="D45" s="2173"/>
      <c r="E45" s="2173"/>
      <c r="F45" s="2173"/>
      <c r="G45" s="2173"/>
      <c r="H45" s="2173"/>
      <c r="I45" s="2174"/>
      <c r="J45" s="2174"/>
      <c r="K45" s="2174"/>
      <c r="L45" s="1369"/>
      <c r="M45" s="755"/>
    </row>
    <row r="46" spans="2:13" ht="25.5" x14ac:dyDescent="0.25">
      <c r="B46" s="753"/>
      <c r="C46" s="767" t="s">
        <v>52</v>
      </c>
      <c r="D46" s="749"/>
      <c r="E46" s="750"/>
      <c r="F46" s="750"/>
      <c r="G46" s="750">
        <v>1</v>
      </c>
      <c r="H46" s="750">
        <v>1</v>
      </c>
      <c r="I46" s="750">
        <v>1</v>
      </c>
      <c r="J46" s="750"/>
      <c r="K46" s="750"/>
      <c r="L46" s="768">
        <f>SUM(D46:K46)</f>
        <v>3</v>
      </c>
      <c r="M46" s="755"/>
    </row>
    <row r="47" spans="2:13" ht="15.75" thickBot="1" x14ac:dyDescent="0.3">
      <c r="B47" s="753"/>
      <c r="C47" s="769" t="s">
        <v>639</v>
      </c>
      <c r="D47" s="2175"/>
      <c r="E47" s="752"/>
      <c r="F47" s="752"/>
      <c r="G47" s="752">
        <v>576</v>
      </c>
      <c r="H47" s="752">
        <v>861</v>
      </c>
      <c r="I47" s="752">
        <v>1344</v>
      </c>
      <c r="J47" s="752"/>
      <c r="K47" s="752"/>
      <c r="L47" s="770"/>
      <c r="M47" s="755"/>
    </row>
    <row r="48" spans="2:13" ht="9" customHeight="1" thickBot="1" x14ac:dyDescent="0.3">
      <c r="B48" s="771"/>
      <c r="C48" s="772"/>
      <c r="D48" s="772"/>
      <c r="E48" s="772"/>
      <c r="F48" s="772"/>
      <c r="G48" s="772"/>
      <c r="H48" s="772"/>
      <c r="I48" s="772"/>
      <c r="J48" s="772"/>
      <c r="K48" s="772"/>
      <c r="L48" s="772"/>
      <c r="M48" s="773"/>
    </row>
    <row r="49" spans="2:13" ht="9" customHeight="1" thickBot="1" x14ac:dyDescent="0.3">
      <c r="B49" s="146"/>
      <c r="C49" s="146"/>
      <c r="D49" s="146"/>
      <c r="E49" s="146"/>
      <c r="F49" s="146"/>
      <c r="G49" s="146"/>
      <c r="H49" s="146"/>
      <c r="I49" s="146"/>
      <c r="J49" s="146"/>
      <c r="K49" s="146"/>
      <c r="L49" s="146"/>
      <c r="M49" s="146"/>
    </row>
    <row r="50" spans="2:13" ht="12.75" customHeight="1" x14ac:dyDescent="0.25">
      <c r="B50" s="2165"/>
      <c r="C50" s="2166"/>
      <c r="D50" s="2166"/>
      <c r="E50" s="2166"/>
      <c r="F50" s="2166"/>
      <c r="G50" s="2166"/>
      <c r="H50" s="2166"/>
      <c r="I50" s="2166"/>
      <c r="J50" s="2166"/>
      <c r="K50" s="2166"/>
      <c r="L50" s="2166"/>
      <c r="M50" s="2167"/>
    </row>
    <row r="51" spans="2:13" ht="18.75" x14ac:dyDescent="0.3">
      <c r="B51" s="700"/>
      <c r="C51" s="2229" t="s">
        <v>37</v>
      </c>
      <c r="D51" s="2229"/>
      <c r="E51" s="2229"/>
      <c r="F51" s="2229"/>
      <c r="G51" s="2229"/>
      <c r="H51" s="2229"/>
      <c r="I51" s="2229"/>
      <c r="J51" s="2229"/>
      <c r="K51" s="2229"/>
      <c r="L51" s="2229"/>
      <c r="M51" s="738"/>
    </row>
    <row r="52" spans="2:13" x14ac:dyDescent="0.25">
      <c r="B52" s="700"/>
      <c r="C52" s="555" t="s">
        <v>1397</v>
      </c>
      <c r="D52" s="2228" t="str">
        <f>IF('1A'!G5="","Enter Project Name on Form 1A",'1A'!G5)</f>
        <v xml:space="preserve">Building 9 </v>
      </c>
      <c r="E52" s="2228"/>
      <c r="F52" s="2228"/>
      <c r="G52" s="2228"/>
      <c r="H52" s="2228"/>
      <c r="I52" s="146"/>
      <c r="J52" s="146"/>
      <c r="K52" s="146"/>
      <c r="L52" s="146"/>
      <c r="M52" s="738"/>
    </row>
    <row r="53" spans="2:13" ht="15.75" thickBot="1" x14ac:dyDescent="0.3">
      <c r="B53" s="700"/>
      <c r="C53" s="151"/>
      <c r="D53" s="146"/>
      <c r="E53" s="146"/>
      <c r="F53" s="146"/>
      <c r="G53" s="146"/>
      <c r="H53" s="146"/>
      <c r="I53" s="146"/>
      <c r="J53" s="146"/>
      <c r="K53" s="146"/>
      <c r="L53" s="146"/>
      <c r="M53" s="738"/>
    </row>
    <row r="54" spans="2:13" ht="30.75" thickBot="1" x14ac:dyDescent="0.3">
      <c r="B54" s="753"/>
      <c r="C54" s="1651" t="s">
        <v>38</v>
      </c>
      <c r="D54" s="754" t="s">
        <v>39</v>
      </c>
      <c r="E54" s="1652" t="s">
        <v>40</v>
      </c>
      <c r="F54" s="1652" t="s">
        <v>41</v>
      </c>
      <c r="G54" s="1652" t="s">
        <v>42</v>
      </c>
      <c r="H54" s="1652" t="s">
        <v>43</v>
      </c>
      <c r="I54" s="1653" t="s">
        <v>44</v>
      </c>
      <c r="J54" s="1653" t="s">
        <v>45</v>
      </c>
      <c r="K54" s="1358" t="s">
        <v>46</v>
      </c>
      <c r="L54" s="1364" t="s">
        <v>47</v>
      </c>
      <c r="M54" s="755"/>
    </row>
    <row r="55" spans="2:13" x14ac:dyDescent="0.25">
      <c r="B55" s="753"/>
      <c r="C55" s="756">
        <v>0.25</v>
      </c>
      <c r="D55" s="741"/>
      <c r="E55" s="742"/>
      <c r="F55" s="742"/>
      <c r="G55" s="742"/>
      <c r="H55" s="742"/>
      <c r="I55" s="743"/>
      <c r="J55" s="743"/>
      <c r="K55" s="1359"/>
      <c r="L55" s="1365">
        <f t="shared" ref="L55:L64" si="6">SUM(D55:K55)</f>
        <v>0</v>
      </c>
      <c r="M55" s="755"/>
    </row>
    <row r="56" spans="2:13" x14ac:dyDescent="0.25">
      <c r="B56" s="753"/>
      <c r="C56" s="1354">
        <v>0.3</v>
      </c>
      <c r="D56" s="1355"/>
      <c r="E56" s="744"/>
      <c r="F56" s="744"/>
      <c r="G56" s="744">
        <v>3</v>
      </c>
      <c r="H56" s="744">
        <v>13</v>
      </c>
      <c r="I56" s="745">
        <v>4</v>
      </c>
      <c r="J56" s="745"/>
      <c r="K56" s="1360"/>
      <c r="L56" s="1366">
        <f t="shared" si="6"/>
        <v>20</v>
      </c>
      <c r="M56" s="755"/>
    </row>
    <row r="57" spans="2:13" x14ac:dyDescent="0.25">
      <c r="B57" s="753"/>
      <c r="C57" s="1354">
        <v>0.35</v>
      </c>
      <c r="D57" s="1355"/>
      <c r="E57" s="744"/>
      <c r="F57" s="744"/>
      <c r="G57" s="744"/>
      <c r="H57" s="744"/>
      <c r="I57" s="745"/>
      <c r="J57" s="745"/>
      <c r="K57" s="1360"/>
      <c r="L57" s="1366">
        <f t="shared" si="6"/>
        <v>0</v>
      </c>
      <c r="M57" s="755"/>
    </row>
    <row r="58" spans="2:13" x14ac:dyDescent="0.25">
      <c r="B58" s="753"/>
      <c r="C58" s="1354">
        <v>0.4</v>
      </c>
      <c r="D58" s="1355"/>
      <c r="E58" s="744"/>
      <c r="F58" s="744"/>
      <c r="G58" s="744"/>
      <c r="H58" s="744"/>
      <c r="I58" s="745"/>
      <c r="J58" s="745"/>
      <c r="K58" s="1360"/>
      <c r="L58" s="1366">
        <f t="shared" si="6"/>
        <v>0</v>
      </c>
      <c r="M58" s="755"/>
    </row>
    <row r="59" spans="2:13" x14ac:dyDescent="0.25">
      <c r="B59" s="753"/>
      <c r="C59" s="1354">
        <v>0.45</v>
      </c>
      <c r="D59" s="1355"/>
      <c r="E59" s="744"/>
      <c r="F59" s="744"/>
      <c r="G59" s="744"/>
      <c r="H59" s="744"/>
      <c r="I59" s="745"/>
      <c r="J59" s="745"/>
      <c r="K59" s="1360"/>
      <c r="L59" s="1366">
        <f t="shared" si="6"/>
        <v>0</v>
      </c>
      <c r="M59" s="755"/>
    </row>
    <row r="60" spans="2:13" x14ac:dyDescent="0.25">
      <c r="B60" s="753"/>
      <c r="C60" s="1354">
        <v>0.5</v>
      </c>
      <c r="D60" s="1355"/>
      <c r="E60" s="744"/>
      <c r="F60" s="744"/>
      <c r="G60" s="744">
        <f>+G36+G12</f>
        <v>14</v>
      </c>
      <c r="H60" s="744">
        <f>H36+H12</f>
        <v>38</v>
      </c>
      <c r="I60" s="745">
        <v>5</v>
      </c>
      <c r="J60" s="745"/>
      <c r="K60" s="1360"/>
      <c r="L60" s="1366">
        <f t="shared" si="6"/>
        <v>57</v>
      </c>
      <c r="M60" s="755"/>
    </row>
    <row r="61" spans="2:13" x14ac:dyDescent="0.25">
      <c r="B61" s="753"/>
      <c r="C61" s="1354">
        <v>0.55000000000000004</v>
      </c>
      <c r="D61" s="1355"/>
      <c r="E61" s="744"/>
      <c r="F61" s="744"/>
      <c r="G61" s="744"/>
      <c r="H61" s="744"/>
      <c r="I61" s="745"/>
      <c r="J61" s="745"/>
      <c r="K61" s="1360"/>
      <c r="L61" s="1366">
        <f t="shared" si="6"/>
        <v>0</v>
      </c>
      <c r="M61" s="755"/>
    </row>
    <row r="62" spans="2:13" x14ac:dyDescent="0.25">
      <c r="B62" s="753"/>
      <c r="C62" s="1354">
        <v>0.6</v>
      </c>
      <c r="D62" s="1355"/>
      <c r="E62" s="744"/>
      <c r="F62" s="744"/>
      <c r="G62" s="744">
        <f>+G14</f>
        <v>18</v>
      </c>
      <c r="H62" s="744">
        <f>+H14</f>
        <v>33</v>
      </c>
      <c r="I62" s="745"/>
      <c r="J62" s="745"/>
      <c r="K62" s="1360"/>
      <c r="L62" s="1366">
        <f t="shared" si="6"/>
        <v>51</v>
      </c>
      <c r="M62" s="755"/>
    </row>
    <row r="63" spans="2:13" x14ac:dyDescent="0.25">
      <c r="B63" s="753"/>
      <c r="C63" s="1354">
        <v>0.65</v>
      </c>
      <c r="D63" s="1356"/>
      <c r="E63" s="1357"/>
      <c r="F63" s="1357"/>
      <c r="G63" s="1357"/>
      <c r="H63" s="1357"/>
      <c r="I63" s="1357"/>
      <c r="J63" s="1357"/>
      <c r="K63" s="1361"/>
      <c r="L63" s="1366">
        <f t="shared" si="6"/>
        <v>0</v>
      </c>
      <c r="M63" s="755"/>
    </row>
    <row r="64" spans="2:13" x14ac:dyDescent="0.25">
      <c r="B64" s="753"/>
      <c r="C64" s="1354">
        <v>0.8</v>
      </c>
      <c r="D64" s="1355"/>
      <c r="E64" s="744"/>
      <c r="F64" s="744"/>
      <c r="G64" s="744"/>
      <c r="H64" s="744"/>
      <c r="I64" s="745"/>
      <c r="J64" s="745"/>
      <c r="K64" s="1360"/>
      <c r="L64" s="1366">
        <f t="shared" si="6"/>
        <v>0</v>
      </c>
      <c r="M64" s="755"/>
    </row>
    <row r="65" spans="2:13" ht="25.5" x14ac:dyDescent="0.25">
      <c r="B65" s="753"/>
      <c r="C65" s="757" t="s">
        <v>48</v>
      </c>
      <c r="D65" s="758">
        <f t="shared" ref="D65:L65" si="7">SUM(D55:D64)</f>
        <v>0</v>
      </c>
      <c r="E65" s="759">
        <f t="shared" si="7"/>
        <v>0</v>
      </c>
      <c r="F65" s="759">
        <f t="shared" si="7"/>
        <v>0</v>
      </c>
      <c r="G65" s="759">
        <f t="shared" si="7"/>
        <v>35</v>
      </c>
      <c r="H65" s="759">
        <f t="shared" si="7"/>
        <v>84</v>
      </c>
      <c r="I65" s="760">
        <f t="shared" si="7"/>
        <v>9</v>
      </c>
      <c r="J65" s="760">
        <f t="shared" si="7"/>
        <v>0</v>
      </c>
      <c r="K65" s="1362">
        <f t="shared" si="7"/>
        <v>0</v>
      </c>
      <c r="L65" s="761">
        <f t="shared" si="7"/>
        <v>128</v>
      </c>
      <c r="M65" s="755"/>
    </row>
    <row r="66" spans="2:13" ht="24.75" customHeight="1" x14ac:dyDescent="0.25">
      <c r="B66" s="753"/>
      <c r="C66" s="762" t="s">
        <v>49</v>
      </c>
      <c r="D66" s="741"/>
      <c r="E66" s="742"/>
      <c r="F66" s="742"/>
      <c r="G66" s="742"/>
      <c r="H66" s="742"/>
      <c r="I66" s="743"/>
      <c r="J66" s="743"/>
      <c r="K66" s="1359"/>
      <c r="L66" s="1367">
        <f>SUM(D66:K66)</f>
        <v>0</v>
      </c>
      <c r="M66" s="755"/>
    </row>
    <row r="67" spans="2:13" ht="30.75" customHeight="1" thickBot="1" x14ac:dyDescent="0.3">
      <c r="B67" s="753"/>
      <c r="C67" s="763" t="s">
        <v>50</v>
      </c>
      <c r="D67" s="746"/>
      <c r="E67" s="747"/>
      <c r="F67" s="747"/>
      <c r="G67" s="747"/>
      <c r="H67" s="747"/>
      <c r="I67" s="748"/>
      <c r="J67" s="748"/>
      <c r="K67" s="1363"/>
      <c r="L67" s="1368">
        <f>SUM(D67:K67)</f>
        <v>0</v>
      </c>
      <c r="M67" s="755"/>
    </row>
    <row r="68" spans="2:13" ht="26.45" customHeight="1" thickTop="1" thickBot="1" x14ac:dyDescent="0.3">
      <c r="B68" s="753"/>
      <c r="C68" s="2168" t="s">
        <v>51</v>
      </c>
      <c r="D68" s="2169">
        <f>D65+D66+D67</f>
        <v>0</v>
      </c>
      <c r="E68" s="2170">
        <f t="shared" ref="E68:K68" si="8">E65+E66+E67</f>
        <v>0</v>
      </c>
      <c r="F68" s="2170">
        <f t="shared" si="8"/>
        <v>0</v>
      </c>
      <c r="G68" s="2170">
        <f t="shared" si="8"/>
        <v>35</v>
      </c>
      <c r="H68" s="2170">
        <f t="shared" si="8"/>
        <v>84</v>
      </c>
      <c r="I68" s="2171">
        <f t="shared" si="8"/>
        <v>9</v>
      </c>
      <c r="J68" s="2171">
        <f t="shared" si="8"/>
        <v>0</v>
      </c>
      <c r="K68" s="2171">
        <f t="shared" si="8"/>
        <v>0</v>
      </c>
      <c r="L68" s="1370">
        <f>SUM(L65:L67)</f>
        <v>128</v>
      </c>
      <c r="M68" s="755"/>
    </row>
    <row r="69" spans="2:13" ht="16.5" thickTop="1" thickBot="1" x14ac:dyDescent="0.3">
      <c r="B69" s="753"/>
      <c r="C69" s="2172"/>
      <c r="D69" s="2173"/>
      <c r="E69" s="2173"/>
      <c r="F69" s="2173"/>
      <c r="G69" s="2173"/>
      <c r="H69" s="2173"/>
      <c r="I69" s="2174"/>
      <c r="J69" s="2174"/>
      <c r="K69" s="2174"/>
      <c r="L69" s="1369"/>
      <c r="M69" s="755"/>
    </row>
    <row r="70" spans="2:13" ht="25.5" x14ac:dyDescent="0.25">
      <c r="B70" s="753"/>
      <c r="C70" s="767" t="s">
        <v>52</v>
      </c>
      <c r="D70" s="749"/>
      <c r="E70" s="750"/>
      <c r="F70" s="750"/>
      <c r="G70" s="750">
        <v>3</v>
      </c>
      <c r="H70" s="750">
        <v>4</v>
      </c>
      <c r="I70" s="750">
        <v>1</v>
      </c>
      <c r="J70" s="750"/>
      <c r="K70" s="750"/>
      <c r="L70" s="768">
        <f>SUM(D70:K70)</f>
        <v>8</v>
      </c>
      <c r="M70" s="755"/>
    </row>
    <row r="71" spans="2:13" ht="15.75" thickBot="1" x14ac:dyDescent="0.3">
      <c r="B71" s="753"/>
      <c r="C71" s="769" t="s">
        <v>639</v>
      </c>
      <c r="D71" s="2175"/>
      <c r="E71" s="752"/>
      <c r="F71" s="752"/>
      <c r="G71" s="1972">
        <f>+AVERAGE(G47,G23)</f>
        <v>579.5</v>
      </c>
      <c r="H71" s="1972">
        <f>+AVERAGE(H47,H23)</f>
        <v>903</v>
      </c>
      <c r="I71" s="1972">
        <f>+AVERAGE(I47,I23)</f>
        <v>1344</v>
      </c>
      <c r="J71" s="752"/>
      <c r="K71" s="752"/>
      <c r="L71" s="770"/>
      <c r="M71" s="755"/>
    </row>
    <row r="72" spans="2:13" ht="15.75" thickBot="1" x14ac:dyDescent="0.3">
      <c r="B72" s="771"/>
      <c r="C72" s="772"/>
      <c r="D72" s="772"/>
      <c r="E72" s="772"/>
      <c r="F72" s="772"/>
      <c r="G72" s="772"/>
      <c r="H72" s="772"/>
      <c r="I72" s="772"/>
      <c r="J72" s="772"/>
      <c r="K72" s="772"/>
      <c r="L72" s="772"/>
      <c r="M72" s="773"/>
    </row>
  </sheetData>
  <sheetProtection algorithmName="SHA-512" hashValue="UM3RJ2+IkEsKPyPHT6ds9voivRfbZBkJCOdAJJKb36hECmuW4rRkzEkhJDiCy27ExK2oqsxLw0KV3b+2Z1OVNA==" saltValue="bVWW4STz3GiUXkv/NbkYyw==" spinCount="100000" sheet="1" objects="1" scenarios="1" formatCells="0" formatColumns="0" formatRows="0"/>
  <mergeCells count="6">
    <mergeCell ref="D28:H28"/>
    <mergeCell ref="C3:L3"/>
    <mergeCell ref="D4:H4"/>
    <mergeCell ref="D52:H52"/>
    <mergeCell ref="C27:L27"/>
    <mergeCell ref="C51:L51"/>
  </mergeCells>
  <pageMargins left="0.7" right="0.7" top="0.75" bottom="0.75" header="0.3" footer="0.3"/>
  <pageSetup scale="85" orientation="portrait" r:id="rId1"/>
  <headerFooter>
    <oddFooter>&amp;LForm 1B
Unit Configuration and Affordability&amp;CCFA Forms&amp;REdition: 2015
Version: 1.0</oddFooter>
  </headerFooter>
  <rowBreaks count="1" manualBreakCount="1">
    <brk id="49" min="1" max="13" man="1"/>
  </rowBreaks>
  <colBreaks count="1" manualBreakCount="1">
    <brk id="12" min="1" max="2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3"/>
  <sheetViews>
    <sheetView showGridLines="0" view="pageBreakPreview" zoomScale="60" zoomScaleNormal="100" workbookViewId="0">
      <selection activeCell="D10" sqref="D10"/>
    </sheetView>
  </sheetViews>
  <sheetFormatPr defaultColWidth="9.140625" defaultRowHeight="15" x14ac:dyDescent="0.25"/>
  <cols>
    <col min="1" max="2" width="1.7109375" style="734" customWidth="1"/>
    <col min="3" max="3" width="12.42578125" style="734" customWidth="1"/>
    <col min="4" max="4" width="28.140625" style="734" bestFit="1" customWidth="1"/>
    <col min="5" max="5" width="26.140625" style="734" bestFit="1" customWidth="1"/>
    <col min="6" max="6" width="12.28515625" style="734" customWidth="1"/>
    <col min="7" max="7" width="15.5703125" style="734" customWidth="1"/>
    <col min="8" max="8" width="9.28515625" style="734" customWidth="1"/>
    <col min="9" max="9" width="9.140625" style="734" customWidth="1"/>
    <col min="10" max="10" width="11.28515625" style="734" customWidth="1"/>
    <col min="11" max="11" width="9.140625" style="734"/>
    <col min="12" max="12" width="10.140625" style="734" bestFit="1" customWidth="1"/>
    <col min="13" max="13" width="12.5703125" style="734" customWidth="1"/>
    <col min="14" max="15" width="1.7109375" style="734" customWidth="1"/>
    <col min="16" max="16384" width="9.140625" style="734"/>
  </cols>
  <sheetData>
    <row r="1" spans="2:14" ht="9" customHeight="1" thickBot="1" x14ac:dyDescent="0.3"/>
    <row r="2" spans="2:14" ht="9" customHeight="1" x14ac:dyDescent="0.25">
      <c r="B2" s="780"/>
      <c r="C2" s="781"/>
      <c r="D2" s="781"/>
      <c r="E2" s="781"/>
      <c r="F2" s="781"/>
      <c r="G2" s="782"/>
      <c r="H2" s="781"/>
      <c r="I2" s="781"/>
      <c r="J2" s="781"/>
      <c r="K2" s="781"/>
      <c r="L2" s="781"/>
      <c r="M2" s="781"/>
      <c r="N2" s="783"/>
    </row>
    <row r="3" spans="2:14" ht="18.75" x14ac:dyDescent="0.3">
      <c r="B3" s="784"/>
      <c r="C3" s="2208" t="s">
        <v>53</v>
      </c>
      <c r="D3" s="2208"/>
      <c r="E3" s="2208"/>
      <c r="F3" s="2208"/>
      <c r="G3" s="2208"/>
      <c r="H3" s="2208"/>
      <c r="I3" s="2208"/>
      <c r="J3" s="2208"/>
      <c r="K3" s="2208"/>
      <c r="L3" s="2208"/>
      <c r="M3" s="2208"/>
      <c r="N3" s="785"/>
    </row>
    <row r="4" spans="2:14" x14ac:dyDescent="0.25">
      <c r="B4" s="784"/>
      <c r="C4" s="786"/>
      <c r="D4" s="786"/>
      <c r="E4" s="786"/>
      <c r="F4" s="786"/>
      <c r="G4" s="175"/>
      <c r="H4" s="786"/>
      <c r="I4" s="786"/>
      <c r="J4" s="786"/>
      <c r="K4" s="786"/>
      <c r="L4" s="786"/>
      <c r="M4" s="786"/>
      <c r="N4" s="785"/>
    </row>
    <row r="5" spans="2:14" x14ac:dyDescent="0.25">
      <c r="B5" s="784"/>
      <c r="C5" s="702" t="s">
        <v>1</v>
      </c>
      <c r="D5" s="2230" t="str">
        <f>IF('1A'!G5="","Enter Project Name on Form 1A",'1A'!G5)</f>
        <v xml:space="preserve">Building 9 </v>
      </c>
      <c r="E5" s="2230"/>
      <c r="F5" s="2230"/>
      <c r="G5" s="787"/>
      <c r="H5" s="787"/>
      <c r="I5" s="787"/>
      <c r="J5" s="708"/>
      <c r="K5" s="786"/>
      <c r="L5" s="786"/>
      <c r="M5" s="786"/>
      <c r="N5" s="785"/>
    </row>
    <row r="6" spans="2:14" ht="22.7" customHeight="1" thickBot="1" x14ac:dyDescent="0.3">
      <c r="B6" s="784"/>
      <c r="C6" s="786"/>
      <c r="D6" s="786"/>
      <c r="E6" s="786"/>
      <c r="F6" s="786"/>
      <c r="G6" s="175"/>
      <c r="H6" s="786"/>
      <c r="I6" s="786"/>
      <c r="J6" s="786"/>
      <c r="K6" s="786"/>
      <c r="L6" s="786"/>
      <c r="M6" s="786"/>
      <c r="N6" s="785"/>
    </row>
    <row r="7" spans="2:14" ht="60" x14ac:dyDescent="0.25">
      <c r="B7" s="788"/>
      <c r="C7" s="789" t="s">
        <v>640</v>
      </c>
      <c r="D7" s="1551" t="s">
        <v>1351</v>
      </c>
      <c r="E7" s="790" t="s">
        <v>54</v>
      </c>
      <c r="F7" s="791" t="s">
        <v>55</v>
      </c>
      <c r="G7" s="792" t="s">
        <v>57</v>
      </c>
      <c r="H7" s="791" t="s">
        <v>58</v>
      </c>
      <c r="I7" s="791" t="s">
        <v>59</v>
      </c>
      <c r="J7" s="793" t="s">
        <v>60</v>
      </c>
      <c r="K7" s="794" t="s">
        <v>51</v>
      </c>
      <c r="L7" s="792" t="s">
        <v>56</v>
      </c>
      <c r="M7" s="795" t="s">
        <v>61</v>
      </c>
      <c r="N7" s="796"/>
    </row>
    <row r="8" spans="2:14" x14ac:dyDescent="0.25">
      <c r="B8" s="784"/>
      <c r="C8" s="1544">
        <v>1</v>
      </c>
      <c r="D8" s="1553" t="s">
        <v>1610</v>
      </c>
      <c r="E8" s="774" t="s">
        <v>1398</v>
      </c>
      <c r="F8" s="1552" t="s">
        <v>26</v>
      </c>
      <c r="G8" s="1554" t="s">
        <v>1390</v>
      </c>
      <c r="H8" s="1554">
        <v>88</v>
      </c>
      <c r="I8" s="1554"/>
      <c r="J8" s="1555"/>
      <c r="K8" s="797">
        <f>SUM(H8:J8)</f>
        <v>88</v>
      </c>
      <c r="L8" s="775" t="s">
        <v>1359</v>
      </c>
      <c r="M8" s="1374">
        <v>2018</v>
      </c>
      <c r="N8" s="785"/>
    </row>
    <row r="9" spans="2:14" x14ac:dyDescent="0.25">
      <c r="B9" s="784"/>
      <c r="C9" s="1545">
        <v>2</v>
      </c>
      <c r="D9" s="774" t="s">
        <v>1611</v>
      </c>
      <c r="E9" s="774" t="s">
        <v>1398</v>
      </c>
      <c r="F9" s="1552" t="s">
        <v>26</v>
      </c>
      <c r="G9" s="1554" t="s">
        <v>1390</v>
      </c>
      <c r="H9" s="1554">
        <v>40</v>
      </c>
      <c r="I9" s="1357"/>
      <c r="J9" s="1361"/>
      <c r="K9" s="798">
        <f t="shared" ref="K9:K21" si="0">SUM(H9:J9)</f>
        <v>40</v>
      </c>
      <c r="L9" s="778" t="s">
        <v>1359</v>
      </c>
      <c r="M9" s="1375">
        <v>2018</v>
      </c>
      <c r="N9" s="785"/>
    </row>
    <row r="10" spans="2:14" x14ac:dyDescent="0.25">
      <c r="B10" s="784"/>
      <c r="C10" s="1545">
        <v>3</v>
      </c>
      <c r="D10" s="1556"/>
      <c r="E10" s="776"/>
      <c r="F10" s="777"/>
      <c r="G10" s="1357"/>
      <c r="H10" s="1357"/>
      <c r="I10" s="1357"/>
      <c r="J10" s="1361"/>
      <c r="K10" s="798">
        <f t="shared" si="0"/>
        <v>0</v>
      </c>
      <c r="L10" s="1560"/>
      <c r="M10" s="1559"/>
      <c r="N10" s="785"/>
    </row>
    <row r="11" spans="2:14" x14ac:dyDescent="0.25">
      <c r="B11" s="784"/>
      <c r="C11" s="1545">
        <v>4</v>
      </c>
      <c r="D11" s="1556"/>
      <c r="E11" s="776"/>
      <c r="F11" s="777"/>
      <c r="G11" s="1357"/>
      <c r="H11" s="1357"/>
      <c r="I11" s="1357"/>
      <c r="J11" s="1361"/>
      <c r="K11" s="798">
        <f t="shared" si="0"/>
        <v>0</v>
      </c>
      <c r="L11" s="778"/>
      <c r="M11" s="1375"/>
      <c r="N11" s="785"/>
    </row>
    <row r="12" spans="2:14" x14ac:dyDescent="0.25">
      <c r="B12" s="784"/>
      <c r="C12" s="1545">
        <v>5</v>
      </c>
      <c r="D12" s="1556"/>
      <c r="E12" s="776"/>
      <c r="F12" s="777"/>
      <c r="G12" s="1357"/>
      <c r="H12" s="1357"/>
      <c r="I12" s="1357"/>
      <c r="J12" s="1361"/>
      <c r="K12" s="798">
        <f t="shared" si="0"/>
        <v>0</v>
      </c>
      <c r="L12" s="778"/>
      <c r="M12" s="1375"/>
      <c r="N12" s="785"/>
    </row>
    <row r="13" spans="2:14" x14ac:dyDescent="0.25">
      <c r="B13" s="784"/>
      <c r="C13" s="1545">
        <v>6</v>
      </c>
      <c r="D13" s="1556"/>
      <c r="E13" s="776"/>
      <c r="F13" s="777"/>
      <c r="G13" s="1357"/>
      <c r="H13" s="1357"/>
      <c r="I13" s="1357"/>
      <c r="J13" s="1361"/>
      <c r="K13" s="799">
        <f t="shared" si="0"/>
        <v>0</v>
      </c>
      <c r="L13" s="778"/>
      <c r="M13" s="1375"/>
      <c r="N13" s="785"/>
    </row>
    <row r="14" spans="2:14" x14ac:dyDescent="0.25">
      <c r="B14" s="784"/>
      <c r="C14" s="1546">
        <v>7</v>
      </c>
      <c r="D14" s="1556"/>
      <c r="E14" s="776"/>
      <c r="F14" s="779"/>
      <c r="G14" s="745"/>
      <c r="H14" s="745"/>
      <c r="I14" s="745"/>
      <c r="J14" s="1360"/>
      <c r="K14" s="799">
        <f t="shared" si="0"/>
        <v>0</v>
      </c>
      <c r="L14" s="778"/>
      <c r="M14" s="1375"/>
      <c r="N14" s="785"/>
    </row>
    <row r="15" spans="2:14" x14ac:dyDescent="0.25">
      <c r="B15" s="784"/>
      <c r="C15" s="1545">
        <v>8</v>
      </c>
      <c r="D15" s="1556"/>
      <c r="E15" s="776"/>
      <c r="F15" s="777"/>
      <c r="G15" s="1357"/>
      <c r="H15" s="1357"/>
      <c r="I15" s="1357"/>
      <c r="J15" s="1361"/>
      <c r="K15" s="798">
        <f t="shared" si="0"/>
        <v>0</v>
      </c>
      <c r="L15" s="778"/>
      <c r="M15" s="1375"/>
      <c r="N15" s="785"/>
    </row>
    <row r="16" spans="2:14" x14ac:dyDescent="0.25">
      <c r="B16" s="784"/>
      <c r="C16" s="1545">
        <v>9</v>
      </c>
      <c r="D16" s="1556"/>
      <c r="E16" s="776"/>
      <c r="F16" s="777"/>
      <c r="G16" s="1357"/>
      <c r="H16" s="1357"/>
      <c r="I16" s="1357"/>
      <c r="J16" s="1361"/>
      <c r="K16" s="798">
        <f t="shared" si="0"/>
        <v>0</v>
      </c>
      <c r="L16" s="778"/>
      <c r="M16" s="1375"/>
      <c r="N16" s="785"/>
    </row>
    <row r="17" spans="2:14" x14ac:dyDescent="0.25">
      <c r="B17" s="784"/>
      <c r="C17" s="1545">
        <v>10</v>
      </c>
      <c r="D17" s="1556"/>
      <c r="E17" s="776"/>
      <c r="F17" s="777"/>
      <c r="G17" s="1357"/>
      <c r="H17" s="1357"/>
      <c r="I17" s="1357"/>
      <c r="J17" s="1361"/>
      <c r="K17" s="798">
        <f t="shared" si="0"/>
        <v>0</v>
      </c>
      <c r="L17" s="778"/>
      <c r="M17" s="1375"/>
      <c r="N17" s="785"/>
    </row>
    <row r="18" spans="2:14" x14ac:dyDescent="0.25">
      <c r="B18" s="784"/>
      <c r="C18" s="1545">
        <v>11</v>
      </c>
      <c r="D18" s="1556"/>
      <c r="E18" s="776"/>
      <c r="F18" s="777"/>
      <c r="G18" s="1357"/>
      <c r="H18" s="1357"/>
      <c r="I18" s="1357"/>
      <c r="J18" s="1361"/>
      <c r="K18" s="798">
        <f t="shared" si="0"/>
        <v>0</v>
      </c>
      <c r="L18" s="778"/>
      <c r="M18" s="1375"/>
      <c r="N18" s="785"/>
    </row>
    <row r="19" spans="2:14" x14ac:dyDescent="0.25">
      <c r="B19" s="784"/>
      <c r="C19" s="1545">
        <v>12</v>
      </c>
      <c r="D19" s="1556"/>
      <c r="E19" s="776"/>
      <c r="F19" s="777"/>
      <c r="G19" s="1357"/>
      <c r="H19" s="1357"/>
      <c r="I19" s="1357"/>
      <c r="J19" s="1361"/>
      <c r="K19" s="798">
        <f t="shared" si="0"/>
        <v>0</v>
      </c>
      <c r="L19" s="778"/>
      <c r="M19" s="1375"/>
      <c r="N19" s="785"/>
    </row>
    <row r="20" spans="2:14" x14ac:dyDescent="0.25">
      <c r="B20" s="784"/>
      <c r="C20" s="1546">
        <v>13</v>
      </c>
      <c r="D20" s="1556"/>
      <c r="E20" s="776"/>
      <c r="F20" s="779"/>
      <c r="G20" s="745"/>
      <c r="H20" s="745"/>
      <c r="I20" s="745"/>
      <c r="J20" s="1360"/>
      <c r="K20" s="799">
        <f t="shared" si="0"/>
        <v>0</v>
      </c>
      <c r="L20" s="778"/>
      <c r="M20" s="1375"/>
      <c r="N20" s="785"/>
    </row>
    <row r="21" spans="2:14" ht="15.75" thickBot="1" x14ac:dyDescent="0.3">
      <c r="B21" s="784"/>
      <c r="C21" s="1547">
        <v>14</v>
      </c>
      <c r="D21" s="1565"/>
      <c r="E21" s="1371"/>
      <c r="F21" s="1372"/>
      <c r="G21" s="748"/>
      <c r="H21" s="1557"/>
      <c r="I21" s="1557"/>
      <c r="J21" s="1558"/>
      <c r="K21" s="800">
        <f t="shared" si="0"/>
        <v>0</v>
      </c>
      <c r="L21" s="1373"/>
      <c r="M21" s="1561"/>
      <c r="N21" s="785"/>
    </row>
    <row r="22" spans="2:14" ht="16.5" thickTop="1" thickBot="1" x14ac:dyDescent="0.3">
      <c r="B22" s="784"/>
      <c r="C22" s="1566"/>
      <c r="D22" s="1567"/>
      <c r="E22" s="1567"/>
      <c r="F22" s="1568"/>
      <c r="G22" s="1564" t="s">
        <v>47</v>
      </c>
      <c r="H22" s="801">
        <f>SUM(H8:H21)</f>
        <v>128</v>
      </c>
      <c r="I22" s="802">
        <f>SUM(I8:I21)</f>
        <v>0</v>
      </c>
      <c r="J22" s="803">
        <f>SUM(J8:J21)</f>
        <v>0</v>
      </c>
      <c r="K22" s="804">
        <f>SUM(K8:K21)</f>
        <v>128</v>
      </c>
      <c r="L22" s="1562"/>
      <c r="M22" s="1563"/>
      <c r="N22" s="785"/>
    </row>
    <row r="23" spans="2:14" ht="9" customHeight="1" thickBot="1" x14ac:dyDescent="0.3">
      <c r="B23" s="1548"/>
      <c r="C23" s="1549"/>
      <c r="D23" s="1549"/>
      <c r="E23" s="1549"/>
      <c r="F23" s="1549"/>
      <c r="G23" s="1549"/>
      <c r="H23" s="1549"/>
      <c r="I23" s="1549"/>
      <c r="J23" s="1549"/>
      <c r="K23" s="1549"/>
      <c r="L23" s="1549"/>
      <c r="M23" s="1549"/>
      <c r="N23" s="1550"/>
    </row>
  </sheetData>
  <sheetProtection password="9F6B" sheet="1" objects="1" scenarios="1" formatCells="0" formatColumns="0" formatRows="0"/>
  <mergeCells count="2">
    <mergeCell ref="D5:F5"/>
    <mergeCell ref="C3:M3"/>
  </mergeCells>
  <dataValidations count="3">
    <dataValidation type="list" allowBlank="1" showInputMessage="1" showErrorMessage="1" sqref="E8:E21">
      <formula1>"Single-Family Detached, Townhouse/Duplex, Walk-Up (≤3 Floors no elevator), Low-Rise (2-3 floors w elevator), Mid-Rise (4-6 floors w elevator), High Rise (7+ floors), Mobile Home Pad, Shelter/Open-floor"</formula1>
    </dataValidation>
    <dataValidation type="list" allowBlank="1" showInputMessage="1" showErrorMessage="1" sqref="F8:F21">
      <formula1>"New Construction,Rehab,Acquisition"</formula1>
    </dataValidation>
    <dataValidation type="list" allowBlank="1" showInputMessage="1" showErrorMessage="1" sqref="G8:G21">
      <formula1>"Yes,No"</formula1>
    </dataValidation>
  </dataValidations>
  <pageMargins left="0.7" right="0.7" top="0.75" bottom="0.75" header="0.3" footer="0.3"/>
  <pageSetup scale="76" orientation="landscape" r:id="rId1"/>
  <headerFooter>
    <oddFooter>&amp;LForm 2A
Building Information&amp;CCFA Forms&amp;REdition: 2015
Version: 1.0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P35"/>
  <sheetViews>
    <sheetView showGridLines="0" view="pageBreakPreview" zoomScale="60" zoomScaleNormal="100" workbookViewId="0">
      <selection activeCell="E43" sqref="E43:E44"/>
    </sheetView>
  </sheetViews>
  <sheetFormatPr defaultColWidth="9.140625" defaultRowHeight="15" x14ac:dyDescent="0.25"/>
  <cols>
    <col min="1" max="2" width="1.7109375" style="734" customWidth="1"/>
    <col min="3" max="3" width="14.28515625" style="734" customWidth="1"/>
    <col min="4" max="4" width="9.140625" style="734"/>
    <col min="5" max="5" width="10.28515625" style="734" customWidth="1"/>
    <col min="6" max="6" width="9.140625" style="734"/>
    <col min="7" max="7" width="9.85546875" style="734" customWidth="1"/>
    <col min="8" max="8" width="10.140625" style="734" customWidth="1"/>
    <col min="9" max="9" width="10.5703125" style="734" customWidth="1"/>
    <col min="10" max="10" width="10.140625" style="734" bestFit="1" customWidth="1"/>
    <col min="11" max="11" width="10" style="734" customWidth="1"/>
    <col min="12" max="12" width="0.7109375" style="734" customWidth="1"/>
    <col min="13" max="13" width="9" style="734" bestFit="1" customWidth="1"/>
    <col min="14" max="14" width="9.140625" style="734"/>
    <col min="15" max="15" width="12.28515625" style="734" customWidth="1"/>
    <col min="16" max="16" width="1.7109375" style="734" customWidth="1"/>
    <col min="17" max="16384" width="9.140625" style="734"/>
  </cols>
  <sheetData>
    <row r="11" spans="2:16" ht="15.75" thickBot="1" x14ac:dyDescent="0.3"/>
    <row r="12" spans="2:16" ht="9" customHeight="1" x14ac:dyDescent="0.25">
      <c r="B12" s="249"/>
      <c r="C12" s="807"/>
      <c r="D12" s="807"/>
      <c r="E12" s="807"/>
      <c r="F12" s="807"/>
      <c r="G12" s="807"/>
      <c r="H12" s="807"/>
      <c r="I12" s="807"/>
      <c r="J12" s="807"/>
      <c r="K12" s="807"/>
      <c r="L12" s="807"/>
      <c r="M12" s="807"/>
      <c r="N12" s="807"/>
      <c r="O12" s="807"/>
      <c r="P12" s="808"/>
    </row>
    <row r="13" spans="2:16" ht="18.75" x14ac:dyDescent="0.25">
      <c r="B13" s="8"/>
      <c r="C13" s="2231" t="s">
        <v>62</v>
      </c>
      <c r="D13" s="2231"/>
      <c r="E13" s="2231"/>
      <c r="F13" s="2231"/>
      <c r="G13" s="2231"/>
      <c r="H13" s="2231"/>
      <c r="I13" s="2231"/>
      <c r="J13" s="2231"/>
      <c r="K13" s="2231"/>
      <c r="L13" s="2231"/>
      <c r="M13" s="2231"/>
      <c r="N13" s="2231"/>
      <c r="O13" s="2231"/>
      <c r="P13" s="7"/>
    </row>
    <row r="14" spans="2:16" ht="15" customHeight="1" x14ac:dyDescent="0.25">
      <c r="B14" s="8"/>
      <c r="C14" s="5"/>
      <c r="D14" s="5"/>
      <c r="E14" s="809"/>
      <c r="F14" s="809"/>
      <c r="G14" s="809"/>
      <c r="H14" s="809"/>
      <c r="I14" s="809"/>
      <c r="J14" s="809"/>
      <c r="K14" s="5"/>
      <c r="L14" s="5"/>
      <c r="M14" s="5"/>
      <c r="N14" s="5"/>
      <c r="O14" s="5"/>
      <c r="P14" s="7"/>
    </row>
    <row r="15" spans="2:16" x14ac:dyDescent="0.25">
      <c r="B15" s="174"/>
      <c r="C15" s="810" t="s">
        <v>1</v>
      </c>
      <c r="D15" s="811" t="str">
        <f>IF('1A'!G5="","Enter Project Name on Form 1A",'1A'!G5)</f>
        <v xml:space="preserve">Building 9 </v>
      </c>
      <c r="E15" s="812"/>
      <c r="F15" s="811"/>
      <c r="G15" s="811"/>
      <c r="H15" s="811"/>
      <c r="I15" s="811"/>
      <c r="J15" s="181"/>
      <c r="K15" s="181"/>
      <c r="L15" s="181"/>
      <c r="M15" s="175"/>
      <c r="N15" s="175"/>
      <c r="O15" s="175"/>
      <c r="P15" s="176"/>
    </row>
    <row r="16" spans="2:16" s="806" customFormat="1" ht="22.7" customHeight="1" thickBot="1" x14ac:dyDescent="0.3">
      <c r="B16" s="174"/>
      <c r="C16" s="813"/>
      <c r="D16" s="813"/>
      <c r="E16" s="813"/>
      <c r="F16" s="813"/>
      <c r="G16" s="813"/>
      <c r="H16" s="813"/>
      <c r="I16" s="813"/>
      <c r="J16" s="813"/>
      <c r="K16" s="813"/>
      <c r="L16" s="813"/>
      <c r="M16" s="175"/>
      <c r="N16" s="175"/>
      <c r="O16" s="175"/>
      <c r="P16" s="176"/>
    </row>
    <row r="17" spans="2:16" ht="15.75" thickBot="1" x14ac:dyDescent="0.3">
      <c r="B17" s="174"/>
      <c r="C17" s="813"/>
      <c r="D17" s="1415" t="s">
        <v>64</v>
      </c>
      <c r="E17" s="1377"/>
      <c r="F17" s="1377"/>
      <c r="G17" s="1377"/>
      <c r="H17" s="1377"/>
      <c r="I17" s="1377"/>
      <c r="J17" s="1377"/>
      <c r="K17" s="1378"/>
      <c r="L17" s="1379"/>
      <c r="M17" s="2233" t="s">
        <v>65</v>
      </c>
      <c r="N17" s="2234"/>
      <c r="O17" s="1380" t="s">
        <v>66</v>
      </c>
      <c r="P17" s="4"/>
    </row>
    <row r="18" spans="2:16" ht="60.75" customHeight="1" thickBot="1" x14ac:dyDescent="0.3">
      <c r="B18" s="174"/>
      <c r="C18" s="813"/>
      <c r="D18" s="2235" t="s">
        <v>67</v>
      </c>
      <c r="E18" s="2240" t="s">
        <v>72</v>
      </c>
      <c r="F18" s="2240" t="s">
        <v>73</v>
      </c>
      <c r="G18" s="2240" t="s">
        <v>59</v>
      </c>
      <c r="H18" s="2240" t="s">
        <v>74</v>
      </c>
      <c r="I18" s="2240" t="s">
        <v>75</v>
      </c>
      <c r="J18" s="2242" t="s">
        <v>76</v>
      </c>
      <c r="K18" s="2240" t="s">
        <v>77</v>
      </c>
      <c r="L18" s="1381"/>
      <c r="M18" s="2237" t="s">
        <v>68</v>
      </c>
      <c r="N18" s="2239" t="s">
        <v>69</v>
      </c>
      <c r="O18" s="2232" t="s">
        <v>70</v>
      </c>
      <c r="P18" s="4"/>
    </row>
    <row r="19" spans="2:16" ht="15.75" thickBot="1" x14ac:dyDescent="0.3">
      <c r="B19" s="8"/>
      <c r="C19" s="1389" t="s">
        <v>71</v>
      </c>
      <c r="D19" s="2236"/>
      <c r="E19" s="2241"/>
      <c r="F19" s="2241"/>
      <c r="G19" s="2241"/>
      <c r="H19" s="2241"/>
      <c r="I19" s="2241"/>
      <c r="J19" s="2243"/>
      <c r="K19" s="2241"/>
      <c r="L19" s="1390"/>
      <c r="M19" s="2238"/>
      <c r="N19" s="2239"/>
      <c r="O19" s="2232"/>
      <c r="P19" s="814"/>
    </row>
    <row r="20" spans="2:16" x14ac:dyDescent="0.25">
      <c r="B20" s="815"/>
      <c r="C20" s="1376" t="s">
        <v>1563</v>
      </c>
      <c r="D20" s="1391">
        <v>4</v>
      </c>
      <c r="E20" s="1392">
        <v>44898</v>
      </c>
      <c r="F20" s="1393">
        <v>6062</v>
      </c>
      <c r="G20" s="1393" t="s">
        <v>1400</v>
      </c>
      <c r="H20" s="1393">
        <v>0</v>
      </c>
      <c r="I20" s="1393">
        <v>23985</v>
      </c>
      <c r="J20" s="1981" t="s">
        <v>1400</v>
      </c>
      <c r="K20" s="1418">
        <f>SUM(E20:J20)</f>
        <v>74945</v>
      </c>
      <c r="L20" s="1394"/>
      <c r="M20" s="1395">
        <v>0</v>
      </c>
      <c r="N20" s="1396">
        <v>0</v>
      </c>
      <c r="O20" s="1411">
        <f>K20+N20</f>
        <v>74945</v>
      </c>
      <c r="P20" s="7"/>
    </row>
    <row r="21" spans="2:16" x14ac:dyDescent="0.25">
      <c r="B21" s="815"/>
      <c r="C21" s="816" t="s">
        <v>1564</v>
      </c>
      <c r="D21" s="1397">
        <v>4</v>
      </c>
      <c r="E21" s="1398">
        <v>85744</v>
      </c>
      <c r="F21" s="1399">
        <v>3493</v>
      </c>
      <c r="G21" s="1399" t="s">
        <v>1400</v>
      </c>
      <c r="H21" s="1399">
        <v>8372</v>
      </c>
      <c r="I21" s="1399">
        <v>34117</v>
      </c>
      <c r="J21" s="1982" t="s">
        <v>1400</v>
      </c>
      <c r="K21" s="1419">
        <f t="shared" ref="K21:K33" si="0">SUM(E21:J21)</f>
        <v>131726</v>
      </c>
      <c r="L21" s="1400"/>
      <c r="M21" s="1401">
        <v>0</v>
      </c>
      <c r="N21" s="1402">
        <v>0</v>
      </c>
      <c r="O21" s="1412">
        <f t="shared" ref="O21:O33" si="1">K21+N21</f>
        <v>131726</v>
      </c>
      <c r="P21" s="7"/>
    </row>
    <row r="22" spans="2:16" x14ac:dyDescent="0.25">
      <c r="B22" s="815"/>
      <c r="C22" s="816" t="s">
        <v>1565</v>
      </c>
      <c r="D22" s="1397"/>
      <c r="E22" s="1398"/>
      <c r="F22" s="1399"/>
      <c r="G22" s="1399"/>
      <c r="H22" s="1399"/>
      <c r="I22" s="1399"/>
      <c r="J22" s="1416"/>
      <c r="K22" s="1419">
        <f t="shared" si="0"/>
        <v>0</v>
      </c>
      <c r="L22" s="1400"/>
      <c r="M22" s="1401">
        <v>2</v>
      </c>
      <c r="N22" s="1402">
        <v>21175</v>
      </c>
      <c r="O22" s="1412">
        <f t="shared" si="1"/>
        <v>21175</v>
      </c>
      <c r="P22" s="7"/>
    </row>
    <row r="23" spans="2:16" x14ac:dyDescent="0.25">
      <c r="B23" s="815"/>
      <c r="C23" s="816">
        <v>4</v>
      </c>
      <c r="D23" s="1403"/>
      <c r="E23" s="1404"/>
      <c r="F23" s="1405"/>
      <c r="G23" s="1405"/>
      <c r="H23" s="1405"/>
      <c r="I23" s="1405"/>
      <c r="J23" s="1402"/>
      <c r="K23" s="1419">
        <f t="shared" si="0"/>
        <v>0</v>
      </c>
      <c r="L23" s="1400"/>
      <c r="M23" s="1401"/>
      <c r="N23" s="1402"/>
      <c r="O23" s="1412">
        <f t="shared" si="1"/>
        <v>0</v>
      </c>
      <c r="P23" s="7"/>
    </row>
    <row r="24" spans="2:16" x14ac:dyDescent="0.25">
      <c r="B24" s="815"/>
      <c r="C24" s="816">
        <v>5</v>
      </c>
      <c r="D24" s="1397"/>
      <c r="E24" s="1398"/>
      <c r="F24" s="1399"/>
      <c r="G24" s="1399"/>
      <c r="H24" s="1399"/>
      <c r="I24" s="1399"/>
      <c r="J24" s="1416"/>
      <c r="K24" s="1419">
        <f t="shared" si="0"/>
        <v>0</v>
      </c>
      <c r="L24" s="1400"/>
      <c r="M24" s="1401"/>
      <c r="N24" s="1402"/>
      <c r="O24" s="1412">
        <f t="shared" si="1"/>
        <v>0</v>
      </c>
      <c r="P24" s="7"/>
    </row>
    <row r="25" spans="2:16" x14ac:dyDescent="0.25">
      <c r="B25" s="815"/>
      <c r="C25" s="816">
        <v>6</v>
      </c>
      <c r="D25" s="1403"/>
      <c r="E25" s="1404"/>
      <c r="F25" s="1405"/>
      <c r="G25" s="1405"/>
      <c r="H25" s="1405"/>
      <c r="I25" s="1405"/>
      <c r="J25" s="1402"/>
      <c r="K25" s="1419">
        <f t="shared" si="0"/>
        <v>0</v>
      </c>
      <c r="L25" s="1400"/>
      <c r="M25" s="1401"/>
      <c r="N25" s="1402"/>
      <c r="O25" s="1412">
        <f t="shared" si="1"/>
        <v>0</v>
      </c>
      <c r="P25" s="7"/>
    </row>
    <row r="26" spans="2:16" x14ac:dyDescent="0.25">
      <c r="B26" s="815"/>
      <c r="C26" s="1382">
        <v>7</v>
      </c>
      <c r="D26" s="1397"/>
      <c r="E26" s="1398"/>
      <c r="F26" s="1399"/>
      <c r="G26" s="1399"/>
      <c r="H26" s="1399"/>
      <c r="I26" s="1399"/>
      <c r="J26" s="1416"/>
      <c r="K26" s="1419">
        <f t="shared" si="0"/>
        <v>0</v>
      </c>
      <c r="L26" s="1400"/>
      <c r="M26" s="1401"/>
      <c r="N26" s="1402"/>
      <c r="O26" s="1412">
        <f t="shared" si="1"/>
        <v>0</v>
      </c>
      <c r="P26" s="7"/>
    </row>
    <row r="27" spans="2:16" x14ac:dyDescent="0.25">
      <c r="B27" s="815"/>
      <c r="C27" s="816">
        <v>8</v>
      </c>
      <c r="D27" s="1403"/>
      <c r="E27" s="1404"/>
      <c r="F27" s="1405"/>
      <c r="G27" s="1405"/>
      <c r="H27" s="1405"/>
      <c r="I27" s="1405"/>
      <c r="J27" s="1402"/>
      <c r="K27" s="1419">
        <f t="shared" si="0"/>
        <v>0</v>
      </c>
      <c r="L27" s="1400"/>
      <c r="M27" s="1401"/>
      <c r="N27" s="1402"/>
      <c r="O27" s="1412">
        <f t="shared" si="1"/>
        <v>0</v>
      </c>
      <c r="P27" s="7"/>
    </row>
    <row r="28" spans="2:16" x14ac:dyDescent="0.25">
      <c r="B28" s="815"/>
      <c r="C28" s="816">
        <v>9</v>
      </c>
      <c r="D28" s="1397"/>
      <c r="E28" s="1398"/>
      <c r="F28" s="1399"/>
      <c r="G28" s="1399"/>
      <c r="H28" s="1399"/>
      <c r="I28" s="1399"/>
      <c r="J28" s="1416"/>
      <c r="K28" s="1419">
        <f t="shared" si="0"/>
        <v>0</v>
      </c>
      <c r="L28" s="1400"/>
      <c r="M28" s="1401"/>
      <c r="N28" s="1402"/>
      <c r="O28" s="1412">
        <f t="shared" si="1"/>
        <v>0</v>
      </c>
      <c r="P28" s="7"/>
    </row>
    <row r="29" spans="2:16" x14ac:dyDescent="0.25">
      <c r="B29" s="815"/>
      <c r="C29" s="816">
        <v>10</v>
      </c>
      <c r="D29" s="1403"/>
      <c r="E29" s="1404"/>
      <c r="F29" s="1405"/>
      <c r="G29" s="1405"/>
      <c r="H29" s="1405"/>
      <c r="I29" s="1405"/>
      <c r="J29" s="1402"/>
      <c r="K29" s="1419">
        <f t="shared" si="0"/>
        <v>0</v>
      </c>
      <c r="L29" s="1400"/>
      <c r="M29" s="1401"/>
      <c r="N29" s="1402"/>
      <c r="O29" s="1412">
        <f t="shared" si="1"/>
        <v>0</v>
      </c>
      <c r="P29" s="7"/>
    </row>
    <row r="30" spans="2:16" x14ac:dyDescent="0.25">
      <c r="B30" s="815"/>
      <c r="C30" s="816">
        <v>11</v>
      </c>
      <c r="D30" s="1397"/>
      <c r="E30" s="1398"/>
      <c r="F30" s="1399"/>
      <c r="G30" s="1399"/>
      <c r="H30" s="1399"/>
      <c r="I30" s="1399"/>
      <c r="J30" s="1416"/>
      <c r="K30" s="1419">
        <f t="shared" si="0"/>
        <v>0</v>
      </c>
      <c r="L30" s="1400"/>
      <c r="M30" s="1401"/>
      <c r="N30" s="1402"/>
      <c r="O30" s="1412">
        <f t="shared" si="1"/>
        <v>0</v>
      </c>
      <c r="P30" s="7"/>
    </row>
    <row r="31" spans="2:16" x14ac:dyDescent="0.25">
      <c r="B31" s="815"/>
      <c r="C31" s="816">
        <v>12</v>
      </c>
      <c r="D31" s="1403"/>
      <c r="E31" s="1404"/>
      <c r="F31" s="1405"/>
      <c r="G31" s="1405"/>
      <c r="H31" s="1405"/>
      <c r="I31" s="1405"/>
      <c r="J31" s="1402"/>
      <c r="K31" s="1419">
        <f t="shared" si="0"/>
        <v>0</v>
      </c>
      <c r="L31" s="1400"/>
      <c r="M31" s="1401"/>
      <c r="N31" s="1402"/>
      <c r="O31" s="1412">
        <f t="shared" si="1"/>
        <v>0</v>
      </c>
      <c r="P31" s="7"/>
    </row>
    <row r="32" spans="2:16" x14ac:dyDescent="0.25">
      <c r="B32" s="815"/>
      <c r="C32" s="1382">
        <v>13</v>
      </c>
      <c r="D32" s="1397"/>
      <c r="E32" s="1398"/>
      <c r="F32" s="1399"/>
      <c r="G32" s="1399"/>
      <c r="H32" s="1399"/>
      <c r="I32" s="1399"/>
      <c r="J32" s="1416"/>
      <c r="K32" s="1419">
        <f t="shared" si="0"/>
        <v>0</v>
      </c>
      <c r="L32" s="1400"/>
      <c r="M32" s="1401"/>
      <c r="N32" s="1402"/>
      <c r="O32" s="1412">
        <f t="shared" si="1"/>
        <v>0</v>
      </c>
      <c r="P32" s="7"/>
    </row>
    <row r="33" spans="2:16" ht="15.75" thickBot="1" x14ac:dyDescent="0.3">
      <c r="B33" s="815"/>
      <c r="C33" s="1383">
        <v>14</v>
      </c>
      <c r="D33" s="1406"/>
      <c r="E33" s="1407"/>
      <c r="F33" s="1408"/>
      <c r="G33" s="1408"/>
      <c r="H33" s="1408"/>
      <c r="I33" s="1408"/>
      <c r="J33" s="1417"/>
      <c r="K33" s="1420">
        <f t="shared" si="0"/>
        <v>0</v>
      </c>
      <c r="L33" s="1400"/>
      <c r="M33" s="1409"/>
      <c r="N33" s="1410"/>
      <c r="O33" s="1413">
        <f t="shared" si="1"/>
        <v>0</v>
      </c>
      <c r="P33" s="7"/>
    </row>
    <row r="34" spans="2:16" ht="16.5" thickTop="1" thickBot="1" x14ac:dyDescent="0.3">
      <c r="B34" s="815"/>
      <c r="C34" s="817" t="s">
        <v>78</v>
      </c>
      <c r="D34" s="1384"/>
      <c r="E34" s="1385">
        <f t="shared" ref="E34:K34" si="2">SUM(E20:E33)</f>
        <v>130642</v>
      </c>
      <c r="F34" s="1385">
        <f t="shared" si="2"/>
        <v>9555</v>
      </c>
      <c r="G34" s="1385">
        <f t="shared" si="2"/>
        <v>0</v>
      </c>
      <c r="H34" s="1385">
        <f t="shared" si="2"/>
        <v>8372</v>
      </c>
      <c r="I34" s="1385">
        <f t="shared" si="2"/>
        <v>58102</v>
      </c>
      <c r="J34" s="1386">
        <f t="shared" si="2"/>
        <v>0</v>
      </c>
      <c r="K34" s="1421">
        <f t="shared" si="2"/>
        <v>206671</v>
      </c>
      <c r="L34" s="1387"/>
      <c r="M34" s="1388"/>
      <c r="N34" s="1386">
        <f>SUM(N20:N33)</f>
        <v>21175</v>
      </c>
      <c r="O34" s="1414">
        <f>SUM(O20:O33)</f>
        <v>227846</v>
      </c>
      <c r="P34" s="7"/>
    </row>
    <row r="35" spans="2:16" ht="9" customHeight="1" thickBot="1" x14ac:dyDescent="0.3">
      <c r="B35" s="818"/>
      <c r="C35" s="10"/>
      <c r="D35" s="10"/>
      <c r="E35" s="10"/>
      <c r="F35" s="10"/>
      <c r="G35" s="10"/>
      <c r="H35" s="10"/>
      <c r="I35" s="10"/>
      <c r="J35" s="10"/>
      <c r="K35" s="10"/>
      <c r="L35" s="10"/>
      <c r="M35" s="819"/>
      <c r="N35" s="819"/>
      <c r="O35" s="819"/>
      <c r="P35" s="820"/>
    </row>
  </sheetData>
  <sheetProtection algorithmName="SHA-512" hashValue="YnhAZruKyBs0SSNR8q1tts61KYuDiMnR6HNBiqepvi2GOGfK56kQiaE4wC6PPo4VqFQV7KF6Np3Z1Z/vqi/2SA==" saltValue="i1mxVB8XsnRKPL21aD+QEg==" spinCount="100000" sheet="1" objects="1" scenarios="1" formatCells="0" formatColumns="0" formatRows="0"/>
  <mergeCells count="13">
    <mergeCell ref="C13:O13"/>
    <mergeCell ref="O18:O19"/>
    <mergeCell ref="M17:N17"/>
    <mergeCell ref="D18:D19"/>
    <mergeCell ref="M18:M19"/>
    <mergeCell ref="N18:N19"/>
    <mergeCell ref="E18:E19"/>
    <mergeCell ref="F18:F19"/>
    <mergeCell ref="G18:G19"/>
    <mergeCell ref="H18:H19"/>
    <mergeCell ref="I18:I19"/>
    <mergeCell ref="J18:J19"/>
    <mergeCell ref="K18:K19"/>
  </mergeCells>
  <pageMargins left="0.7" right="0.7" top="0.75" bottom="0.75" header="0.3" footer="0.3"/>
  <pageSetup scale="95" orientation="landscape" r:id="rId1"/>
  <headerFooter>
    <oddFooter>&amp;LForm 2B
Square Footage Details&amp;CCFA Forms&amp;REdition: 2015
Version: 1.0</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0:N144"/>
  <sheetViews>
    <sheetView showGridLines="0" view="pageBreakPreview" zoomScale="60" zoomScaleNormal="100" zoomScalePageLayoutView="70" workbookViewId="0">
      <selection activeCell="H50" sqref="H50"/>
    </sheetView>
  </sheetViews>
  <sheetFormatPr defaultColWidth="9.140625" defaultRowHeight="15" x14ac:dyDescent="0.25"/>
  <cols>
    <col min="1" max="2" width="1.7109375" style="821" customWidth="1"/>
    <col min="3" max="3" width="16.7109375" style="821" customWidth="1"/>
    <col min="4" max="5" width="21.42578125" style="821" customWidth="1"/>
    <col min="6" max="6" width="29.7109375" style="821" customWidth="1"/>
    <col min="7" max="7" width="39.28515625" style="821" customWidth="1"/>
    <col min="8" max="8" width="8.42578125" style="821" bestFit="1" customWidth="1"/>
    <col min="9" max="9" width="3.28515625" style="821" hidden="1" customWidth="1"/>
    <col min="10" max="11" width="1.7109375" style="821" customWidth="1"/>
    <col min="12" max="16384" width="9.140625" style="821"/>
  </cols>
  <sheetData>
    <row r="10" spans="2:14" ht="6.75" customHeight="1" x14ac:dyDescent="0.25"/>
    <row r="11" spans="2:14" ht="6.75" customHeight="1" thickBot="1" x14ac:dyDescent="0.3"/>
    <row r="12" spans="2:14" s="822" customFormat="1" ht="7.5" customHeight="1" x14ac:dyDescent="0.25">
      <c r="B12" s="828"/>
      <c r="C12" s="829"/>
      <c r="D12" s="829"/>
      <c r="E12" s="829"/>
      <c r="F12" s="829"/>
      <c r="G12" s="829"/>
      <c r="H12" s="829"/>
      <c r="I12" s="829"/>
      <c r="J12" s="830"/>
    </row>
    <row r="13" spans="2:14" s="822" customFormat="1" ht="18.75" x14ac:dyDescent="0.3">
      <c r="B13" s="831"/>
      <c r="C13" s="2244" t="s">
        <v>1260</v>
      </c>
      <c r="D13" s="2244"/>
      <c r="E13" s="2244"/>
      <c r="F13" s="2244"/>
      <c r="G13" s="2244"/>
      <c r="H13" s="2244"/>
      <c r="I13" s="832"/>
      <c r="J13" s="833"/>
    </row>
    <row r="14" spans="2:14" s="822" customFormat="1" ht="15.75" thickBot="1" x14ac:dyDescent="0.3">
      <c r="B14" s="831"/>
      <c r="C14" s="832"/>
      <c r="D14" s="832"/>
      <c r="E14" s="832"/>
      <c r="F14" s="832"/>
      <c r="G14" s="832"/>
      <c r="H14" s="832"/>
      <c r="I14" s="832"/>
      <c r="J14" s="833"/>
    </row>
    <row r="15" spans="2:14" s="822" customFormat="1" ht="15" customHeight="1" thickBot="1" x14ac:dyDescent="0.3">
      <c r="B15" s="831"/>
      <c r="C15" s="832" t="s">
        <v>1</v>
      </c>
      <c r="D15" s="834" t="str">
        <f>IF('1A'!G5="","Enter Project Name on Form 1A",'1A'!G7)</f>
        <v>Building 9 South (4%)</v>
      </c>
      <c r="E15" s="835"/>
      <c r="F15" s="835"/>
      <c r="G15" s="836" t="s">
        <v>1259</v>
      </c>
      <c r="H15" s="837">
        <f>H143</f>
        <v>55.5</v>
      </c>
      <c r="I15" s="838"/>
      <c r="J15" s="839"/>
      <c r="K15" s="823"/>
      <c r="L15" s="823"/>
      <c r="M15" s="823"/>
      <c r="N15" s="823"/>
    </row>
    <row r="16" spans="2:14" s="822" customFormat="1" ht="7.5" customHeight="1" x14ac:dyDescent="0.25">
      <c r="B16" s="831"/>
      <c r="C16" s="840"/>
      <c r="D16" s="840"/>
      <c r="E16" s="832"/>
      <c r="F16" s="840"/>
      <c r="G16" s="840"/>
      <c r="H16" s="832"/>
      <c r="I16" s="832"/>
      <c r="J16" s="833"/>
    </row>
    <row r="17" spans="2:14" x14ac:dyDescent="0.25">
      <c r="B17" s="831"/>
      <c r="C17" s="841" t="s">
        <v>1220</v>
      </c>
      <c r="D17" s="1519" t="s">
        <v>1399</v>
      </c>
      <c r="E17" s="832"/>
      <c r="F17" s="841"/>
      <c r="G17" s="842"/>
      <c r="H17" s="842"/>
      <c r="I17" s="841"/>
      <c r="J17" s="843"/>
    </row>
    <row r="18" spans="2:14" ht="3.75" customHeight="1" x14ac:dyDescent="0.25">
      <c r="B18" s="831"/>
      <c r="C18" s="841"/>
      <c r="D18" s="844"/>
      <c r="E18" s="832"/>
      <c r="F18" s="841"/>
      <c r="G18" s="841"/>
      <c r="H18" s="841"/>
      <c r="I18" s="841"/>
      <c r="J18" s="843"/>
    </row>
    <row r="19" spans="2:14" x14ac:dyDescent="0.25">
      <c r="B19" s="831"/>
      <c r="C19" s="841" t="s">
        <v>1221</v>
      </c>
      <c r="D19" s="1520" t="s">
        <v>26</v>
      </c>
      <c r="E19" s="842"/>
      <c r="F19" s="842"/>
      <c r="G19" s="845"/>
      <c r="H19" s="846"/>
      <c r="I19" s="841"/>
      <c r="J19" s="843"/>
    </row>
    <row r="20" spans="2:14" ht="3.75" customHeight="1" x14ac:dyDescent="0.25">
      <c r="B20" s="831"/>
      <c r="C20" s="841"/>
      <c r="D20" s="841"/>
      <c r="E20" s="847"/>
      <c r="F20" s="841"/>
      <c r="G20" s="845"/>
      <c r="H20" s="846"/>
      <c r="I20" s="841"/>
      <c r="J20" s="843"/>
    </row>
    <row r="21" spans="2:14" x14ac:dyDescent="0.25">
      <c r="B21" s="831"/>
      <c r="C21" s="847" t="s">
        <v>1222</v>
      </c>
      <c r="D21" s="824" t="s">
        <v>1265</v>
      </c>
      <c r="E21" s="847"/>
      <c r="F21" s="841"/>
      <c r="G21" s="845"/>
      <c r="H21" s="846"/>
      <c r="I21" s="841"/>
      <c r="J21" s="843"/>
    </row>
    <row r="22" spans="2:14" ht="3.75" customHeight="1" x14ac:dyDescent="0.25">
      <c r="B22" s="831"/>
      <c r="C22" s="841"/>
      <c r="D22" s="841"/>
      <c r="E22" s="841"/>
      <c r="F22" s="841"/>
      <c r="G22" s="841"/>
      <c r="H22" s="841"/>
      <c r="I22" s="841"/>
      <c r="J22" s="843"/>
    </row>
    <row r="23" spans="2:14" x14ac:dyDescent="0.25">
      <c r="B23" s="831"/>
      <c r="C23" s="848" t="s">
        <v>1209</v>
      </c>
      <c r="D23" s="848"/>
      <c r="E23" s="848"/>
      <c r="F23" s="848"/>
      <c r="G23" s="842"/>
      <c r="H23" s="842"/>
      <c r="I23" s="832"/>
      <c r="J23" s="833"/>
    </row>
    <row r="24" spans="2:14" x14ac:dyDescent="0.25">
      <c r="B24" s="831"/>
      <c r="C24" s="1422" t="s">
        <v>1230</v>
      </c>
      <c r="D24" s="1423" t="s">
        <v>1231</v>
      </c>
      <c r="E24" s="1424"/>
      <c r="F24" s="1424"/>
      <c r="G24" s="1425" t="s">
        <v>1097</v>
      </c>
      <c r="H24" s="1426" t="s">
        <v>1096</v>
      </c>
      <c r="I24" s="832"/>
      <c r="J24" s="833"/>
      <c r="N24" s="825"/>
    </row>
    <row r="25" spans="2:14" x14ac:dyDescent="0.25">
      <c r="B25" s="831"/>
      <c r="C25" s="854">
        <v>1.1000000000000001</v>
      </c>
      <c r="D25" s="2287" t="s">
        <v>1208</v>
      </c>
      <c r="E25" s="2288"/>
      <c r="F25" s="2289"/>
      <c r="G25" s="855" t="s">
        <v>1089</v>
      </c>
      <c r="H25" s="677" t="s">
        <v>1223</v>
      </c>
      <c r="I25" s="832">
        <f>N(H25)</f>
        <v>0</v>
      </c>
      <c r="J25" s="833"/>
    </row>
    <row r="26" spans="2:14" x14ac:dyDescent="0.25">
      <c r="B26" s="831"/>
      <c r="C26" s="856">
        <v>1.2</v>
      </c>
      <c r="D26" s="2290" t="s">
        <v>1207</v>
      </c>
      <c r="E26" s="2291"/>
      <c r="F26" s="2292"/>
      <c r="G26" s="857" t="s">
        <v>1236</v>
      </c>
      <c r="H26" s="678"/>
      <c r="I26" s="832">
        <f>N(H26)</f>
        <v>0</v>
      </c>
      <c r="J26" s="833"/>
    </row>
    <row r="27" spans="2:14" x14ac:dyDescent="0.25">
      <c r="B27" s="831"/>
      <c r="C27" s="858" t="s">
        <v>35</v>
      </c>
      <c r="D27" s="859"/>
      <c r="E27" s="860"/>
      <c r="F27" s="860"/>
      <c r="G27" s="861" t="s">
        <v>1206</v>
      </c>
      <c r="H27" s="862">
        <f>SUM(I25:I26)</f>
        <v>0</v>
      </c>
      <c r="I27" s="832"/>
      <c r="J27" s="833"/>
    </row>
    <row r="28" spans="2:14" s="822" customFormat="1" ht="7.5" customHeight="1" x14ac:dyDescent="0.25">
      <c r="B28" s="831"/>
      <c r="C28" s="863"/>
      <c r="D28" s="863"/>
      <c r="E28" s="863"/>
      <c r="F28" s="863"/>
      <c r="G28" s="864"/>
      <c r="H28" s="865"/>
      <c r="I28" s="832"/>
      <c r="J28" s="833"/>
    </row>
    <row r="29" spans="2:14" s="822" customFormat="1" x14ac:dyDescent="0.25">
      <c r="B29" s="831"/>
      <c r="C29" s="866" t="s">
        <v>1205</v>
      </c>
      <c r="D29" s="866"/>
      <c r="E29" s="866"/>
      <c r="F29" s="866"/>
      <c r="G29" s="864"/>
      <c r="H29" s="832"/>
      <c r="I29" s="832"/>
      <c r="J29" s="833"/>
    </row>
    <row r="30" spans="2:14" x14ac:dyDescent="0.25">
      <c r="B30" s="831"/>
      <c r="C30" s="1422" t="s">
        <v>1230</v>
      </c>
      <c r="D30" s="1423" t="s">
        <v>1231</v>
      </c>
      <c r="E30" s="1424"/>
      <c r="F30" s="1424"/>
      <c r="G30" s="1425" t="s">
        <v>1097</v>
      </c>
      <c r="H30" s="1426" t="s">
        <v>1096</v>
      </c>
      <c r="I30" s="832"/>
      <c r="J30" s="833"/>
    </row>
    <row r="31" spans="2:14" x14ac:dyDescent="0.25">
      <c r="B31" s="831"/>
      <c r="C31" s="867">
        <v>2.1</v>
      </c>
      <c r="D31" s="2286" t="s">
        <v>1204</v>
      </c>
      <c r="E31" s="2252"/>
      <c r="F31" s="2279"/>
      <c r="G31" s="855" t="s">
        <v>1089</v>
      </c>
      <c r="H31" s="677" t="s">
        <v>1223</v>
      </c>
      <c r="I31" s="832">
        <f t="shared" ref="I31:I41" si="0">N(H31)</f>
        <v>0</v>
      </c>
      <c r="J31" s="833"/>
    </row>
    <row r="32" spans="2:14" x14ac:dyDescent="0.25">
      <c r="B32" s="831"/>
      <c r="C32" s="868">
        <v>2.2000000000000002</v>
      </c>
      <c r="D32" s="2275" t="s">
        <v>1203</v>
      </c>
      <c r="E32" s="2249"/>
      <c r="F32" s="2276"/>
      <c r="G32" s="869" t="str">
        <f>IF(D17&lt;&gt;"Select…",(IF((CONCATENATE(D17,"-",D19))="Rural-New Construction","0 or 2",(IF(CONCATENATE(D17,"-",D19)="Urban-New Construction","Mandatory","n/a")))),"&lt;SELECT REGION AND ACTIVITY&gt; ")</f>
        <v>n/a</v>
      </c>
      <c r="H32" s="685" t="str">
        <f>IF(G32="n/a","n/a",IF(G32="Mandatory","X"," "))</f>
        <v>n/a</v>
      </c>
      <c r="I32" s="832">
        <f t="shared" si="0"/>
        <v>0</v>
      </c>
      <c r="J32" s="870"/>
    </row>
    <row r="33" spans="2:10" x14ac:dyDescent="0.25">
      <c r="B33" s="831"/>
      <c r="C33" s="868">
        <v>2.2999999999999998</v>
      </c>
      <c r="D33" s="2275" t="s">
        <v>1202</v>
      </c>
      <c r="E33" s="2249"/>
      <c r="F33" s="2276"/>
      <c r="G33" s="869" t="s">
        <v>1089</v>
      </c>
      <c r="H33" s="685" t="s">
        <v>1223</v>
      </c>
      <c r="I33" s="832">
        <f t="shared" si="0"/>
        <v>0</v>
      </c>
      <c r="J33" s="833"/>
    </row>
    <row r="34" spans="2:10" x14ac:dyDescent="0.25">
      <c r="B34" s="831"/>
      <c r="C34" s="868">
        <v>2.4</v>
      </c>
      <c r="D34" s="2275" t="s">
        <v>1201</v>
      </c>
      <c r="E34" s="2249"/>
      <c r="F34" s="2276"/>
      <c r="G34" s="869" t="s">
        <v>1237</v>
      </c>
      <c r="H34" s="679">
        <v>0</v>
      </c>
      <c r="I34" s="832">
        <f t="shared" si="0"/>
        <v>0</v>
      </c>
      <c r="J34" s="833"/>
    </row>
    <row r="35" spans="2:10" ht="15" customHeight="1" x14ac:dyDescent="0.25">
      <c r="B35" s="831"/>
      <c r="C35" s="868">
        <v>2.5</v>
      </c>
      <c r="D35" s="2275" t="s">
        <v>1200</v>
      </c>
      <c r="E35" s="2249"/>
      <c r="F35" s="2276"/>
      <c r="G35" s="869" t="str">
        <f>IF(D17&lt;&gt;"Select…",IF((CONCATENATE(D17,"-",D19))="Rural-New Construction","Mandatory and optional 5",(IF(CONCATENATE(D17,"-",D19)="Urban-Rehab","0 or 7","Mandatory and optional 5"))),"&lt;SELECT REGION AND ACTIVITY&gt;")</f>
        <v>0 or 7</v>
      </c>
      <c r="H35" s="679">
        <v>0</v>
      </c>
      <c r="I35" s="832">
        <f t="shared" si="0"/>
        <v>0</v>
      </c>
      <c r="J35" s="833"/>
    </row>
    <row r="36" spans="2:10" x14ac:dyDescent="0.25">
      <c r="B36" s="831"/>
      <c r="C36" s="868">
        <v>2.6</v>
      </c>
      <c r="D36" s="2275" t="s">
        <v>1199</v>
      </c>
      <c r="E36" s="2249"/>
      <c r="F36" s="2276"/>
      <c r="G36" s="869" t="s">
        <v>1238</v>
      </c>
      <c r="H36" s="679">
        <v>1</v>
      </c>
      <c r="I36" s="832">
        <f t="shared" si="0"/>
        <v>1</v>
      </c>
      <c r="J36" s="833"/>
    </row>
    <row r="37" spans="2:10" x14ac:dyDescent="0.25">
      <c r="B37" s="831"/>
      <c r="C37" s="871" t="s">
        <v>1217</v>
      </c>
      <c r="D37" s="2283" t="s">
        <v>1216</v>
      </c>
      <c r="E37" s="2249"/>
      <c r="F37" s="2276"/>
      <c r="G37" s="869" t="str">
        <f>IF(D17&lt;&gt;"Select…",IF(D17="Urban","Mandatory","n/a"),"&lt;SELECT REGION AND ACTIVITY&gt;")</f>
        <v>Mandatory</v>
      </c>
      <c r="H37" s="679" t="str">
        <f>IF(G37&lt;&gt;"&lt;SELECT REGION AND ACTIVITY&gt;",IF(D17="Urban","X","n/a"),"")</f>
        <v>X</v>
      </c>
      <c r="I37" s="832">
        <f t="shared" si="0"/>
        <v>0</v>
      </c>
      <c r="J37" s="833"/>
    </row>
    <row r="38" spans="2:10" s="826" customFormat="1" x14ac:dyDescent="0.25">
      <c r="B38" s="872"/>
      <c r="C38" s="868" t="s">
        <v>1198</v>
      </c>
      <c r="D38" s="2284" t="s">
        <v>1197</v>
      </c>
      <c r="E38" s="2261"/>
      <c r="F38" s="2285"/>
      <c r="G38" s="869" t="str">
        <f>IF(D17&lt;&gt;"Select…",IF(D17="Urban","n/a (3 or 5 if Tribal)","0, 3 or 5"),"&lt;SELECT REGION AND ACTIVITY&gt;")</f>
        <v>n/a (3 or 5 if Tribal)</v>
      </c>
      <c r="H38" s="679" t="str">
        <f>IF(D17="Urban","n/a","")</f>
        <v>n/a</v>
      </c>
      <c r="I38" s="832">
        <f t="shared" si="0"/>
        <v>0</v>
      </c>
      <c r="J38" s="873"/>
    </row>
    <row r="39" spans="2:10" x14ac:dyDescent="0.25">
      <c r="B39" s="831"/>
      <c r="C39" s="868">
        <v>2.8</v>
      </c>
      <c r="D39" s="2275" t="s">
        <v>1196</v>
      </c>
      <c r="E39" s="2249"/>
      <c r="F39" s="2276"/>
      <c r="G39" s="869" t="s">
        <v>1241</v>
      </c>
      <c r="H39" s="679">
        <v>2</v>
      </c>
      <c r="I39" s="832">
        <f t="shared" si="0"/>
        <v>2</v>
      </c>
      <c r="J39" s="833"/>
    </row>
    <row r="40" spans="2:10" x14ac:dyDescent="0.25">
      <c r="B40" s="831"/>
      <c r="C40" s="868">
        <v>2.9</v>
      </c>
      <c r="D40" s="2275" t="s">
        <v>1195</v>
      </c>
      <c r="E40" s="2249"/>
      <c r="F40" s="2276"/>
      <c r="G40" s="869" t="s">
        <v>1239</v>
      </c>
      <c r="H40" s="679">
        <v>10</v>
      </c>
      <c r="I40" s="832">
        <f t="shared" si="0"/>
        <v>10</v>
      </c>
      <c r="J40" s="833"/>
    </row>
    <row r="41" spans="2:10" x14ac:dyDescent="0.25">
      <c r="B41" s="831"/>
      <c r="C41" s="874" t="s">
        <v>1194</v>
      </c>
      <c r="D41" s="2277" t="s">
        <v>1193</v>
      </c>
      <c r="E41" s="2246"/>
      <c r="F41" s="2278"/>
      <c r="G41" s="857" t="s">
        <v>1238</v>
      </c>
      <c r="H41" s="679">
        <v>0</v>
      </c>
      <c r="I41" s="832">
        <f t="shared" si="0"/>
        <v>0</v>
      </c>
      <c r="J41" s="833"/>
    </row>
    <row r="42" spans="2:10" x14ac:dyDescent="0.25">
      <c r="B42" s="831"/>
      <c r="C42" s="858" t="s">
        <v>35</v>
      </c>
      <c r="D42" s="859"/>
      <c r="E42" s="860"/>
      <c r="F42" s="860"/>
      <c r="G42" s="861" t="s">
        <v>1192</v>
      </c>
      <c r="H42" s="862">
        <f>SUM(I31:I41)</f>
        <v>13</v>
      </c>
      <c r="I42" s="832"/>
      <c r="J42" s="833"/>
    </row>
    <row r="43" spans="2:10" s="822" customFormat="1" ht="7.5" customHeight="1" x14ac:dyDescent="0.25">
      <c r="B43" s="831"/>
      <c r="C43" s="863"/>
      <c r="D43" s="865"/>
      <c r="E43" s="863"/>
      <c r="F43" s="863"/>
      <c r="G43" s="864"/>
      <c r="H43" s="865"/>
      <c r="I43" s="832"/>
      <c r="J43" s="833"/>
    </row>
    <row r="44" spans="2:10" s="822" customFormat="1" x14ac:dyDescent="0.25">
      <c r="B44" s="831"/>
      <c r="C44" s="866" t="s">
        <v>1191</v>
      </c>
      <c r="D44" s="832"/>
      <c r="E44" s="866"/>
      <c r="F44" s="866"/>
      <c r="G44" s="864"/>
      <c r="H44" s="832"/>
      <c r="I44" s="832"/>
      <c r="J44" s="833"/>
    </row>
    <row r="45" spans="2:10" x14ac:dyDescent="0.25">
      <c r="B45" s="831"/>
      <c r="C45" s="1422" t="s">
        <v>1230</v>
      </c>
      <c r="D45" s="1423" t="s">
        <v>1231</v>
      </c>
      <c r="E45" s="1424"/>
      <c r="F45" s="1424"/>
      <c r="G45" s="1425" t="s">
        <v>1097</v>
      </c>
      <c r="H45" s="1426" t="s">
        <v>1096</v>
      </c>
      <c r="I45" s="832"/>
      <c r="J45" s="833"/>
    </row>
    <row r="46" spans="2:10" x14ac:dyDescent="0.25">
      <c r="B46" s="831"/>
      <c r="C46" s="867" t="s">
        <v>1190</v>
      </c>
      <c r="D46" s="2286" t="s">
        <v>1189</v>
      </c>
      <c r="E46" s="2252"/>
      <c r="F46" s="2279"/>
      <c r="G46" s="855" t="s">
        <v>1089</v>
      </c>
      <c r="H46" s="677" t="s">
        <v>1223</v>
      </c>
      <c r="I46" s="832">
        <f t="shared" ref="I46:I53" si="1">N(H46)</f>
        <v>0</v>
      </c>
      <c r="J46" s="833"/>
    </row>
    <row r="47" spans="2:10" x14ac:dyDescent="0.25">
      <c r="B47" s="831"/>
      <c r="C47" s="868" t="s">
        <v>1188</v>
      </c>
      <c r="D47" s="2275" t="s">
        <v>1187</v>
      </c>
      <c r="E47" s="2249"/>
      <c r="F47" s="2276"/>
      <c r="G47" s="869" t="s">
        <v>1089</v>
      </c>
      <c r="H47" s="685" t="s">
        <v>1223</v>
      </c>
      <c r="I47" s="832">
        <f t="shared" si="1"/>
        <v>0</v>
      </c>
      <c r="J47" s="833"/>
    </row>
    <row r="48" spans="2:10" ht="15" customHeight="1" x14ac:dyDescent="0.25">
      <c r="B48" s="831"/>
      <c r="C48" s="868" t="s">
        <v>1186</v>
      </c>
      <c r="D48" s="2275" t="s">
        <v>434</v>
      </c>
      <c r="E48" s="2249"/>
      <c r="F48" s="2276"/>
      <c r="G48" s="875" t="s">
        <v>1185</v>
      </c>
      <c r="H48" s="685" t="s">
        <v>1223</v>
      </c>
      <c r="I48" s="832">
        <f t="shared" si="1"/>
        <v>0</v>
      </c>
      <c r="J48" s="833"/>
    </row>
    <row r="49" spans="1:11" x14ac:dyDescent="0.25">
      <c r="B49" s="831"/>
      <c r="C49" s="868" t="s">
        <v>1184</v>
      </c>
      <c r="D49" s="2275" t="s">
        <v>434</v>
      </c>
      <c r="E49" s="2249"/>
      <c r="F49" s="2276"/>
      <c r="G49" s="869" t="s">
        <v>1237</v>
      </c>
      <c r="H49" s="679">
        <v>5</v>
      </c>
      <c r="I49" s="832">
        <f t="shared" si="1"/>
        <v>5</v>
      </c>
      <c r="J49" s="833"/>
    </row>
    <row r="50" spans="1:11" x14ac:dyDescent="0.25">
      <c r="B50" s="831"/>
      <c r="C50" s="868" t="s">
        <v>1183</v>
      </c>
      <c r="D50" s="2275" t="s">
        <v>1182</v>
      </c>
      <c r="E50" s="2249"/>
      <c r="F50" s="2276"/>
      <c r="G50" s="869" t="s">
        <v>1234</v>
      </c>
      <c r="H50" s="679">
        <v>5</v>
      </c>
      <c r="I50" s="832">
        <f t="shared" si="1"/>
        <v>5</v>
      </c>
      <c r="J50" s="833"/>
    </row>
    <row r="51" spans="1:11" ht="15" customHeight="1" x14ac:dyDescent="0.25">
      <c r="B51" s="831"/>
      <c r="C51" s="868" t="s">
        <v>1181</v>
      </c>
      <c r="D51" s="2275" t="s">
        <v>1180</v>
      </c>
      <c r="E51" s="2249"/>
      <c r="F51" s="2276"/>
      <c r="G51" s="875" t="s">
        <v>1179</v>
      </c>
      <c r="H51" s="685" t="s">
        <v>1223</v>
      </c>
      <c r="I51" s="832">
        <f t="shared" si="1"/>
        <v>0</v>
      </c>
      <c r="J51" s="833"/>
    </row>
    <row r="52" spans="1:11" x14ac:dyDescent="0.25">
      <c r="B52" s="831"/>
      <c r="C52" s="868" t="s">
        <v>1178</v>
      </c>
      <c r="D52" s="2275" t="s">
        <v>1177</v>
      </c>
      <c r="E52" s="2249"/>
      <c r="F52" s="2276"/>
      <c r="G52" s="869" t="s">
        <v>1240</v>
      </c>
      <c r="H52" s="679">
        <v>0</v>
      </c>
      <c r="I52" s="832">
        <f t="shared" si="1"/>
        <v>0</v>
      </c>
      <c r="J52" s="833"/>
    </row>
    <row r="53" spans="1:11" x14ac:dyDescent="0.25">
      <c r="B53" s="831"/>
      <c r="C53" s="868" t="s">
        <v>1176</v>
      </c>
      <c r="D53" s="2277" t="s">
        <v>1175</v>
      </c>
      <c r="E53" s="2246"/>
      <c r="F53" s="2278"/>
      <c r="G53" s="857" t="s">
        <v>1089</v>
      </c>
      <c r="H53" s="685" t="s">
        <v>1223</v>
      </c>
      <c r="I53" s="832">
        <f t="shared" si="1"/>
        <v>0</v>
      </c>
      <c r="J53" s="833"/>
    </row>
    <row r="54" spans="1:11" x14ac:dyDescent="0.25">
      <c r="A54" s="822"/>
      <c r="B54" s="831"/>
      <c r="C54" s="858" t="s">
        <v>35</v>
      </c>
      <c r="D54" s="859"/>
      <c r="E54" s="860"/>
      <c r="F54" s="860"/>
      <c r="G54" s="861" t="s">
        <v>1174</v>
      </c>
      <c r="H54" s="862">
        <f>SUM(I46:I53)</f>
        <v>10</v>
      </c>
      <c r="I54" s="832"/>
      <c r="J54" s="833"/>
    </row>
    <row r="55" spans="1:11" ht="7.5" customHeight="1" x14ac:dyDescent="0.25">
      <c r="A55" s="822"/>
      <c r="B55" s="831"/>
      <c r="C55" s="863"/>
      <c r="D55" s="865"/>
      <c r="E55" s="863"/>
      <c r="F55" s="863"/>
      <c r="G55" s="864"/>
      <c r="H55" s="865"/>
      <c r="I55" s="832"/>
      <c r="J55" s="833"/>
    </row>
    <row r="56" spans="1:11" x14ac:dyDescent="0.25">
      <c r="A56" s="822"/>
      <c r="B56" s="831"/>
      <c r="C56" s="866" t="s">
        <v>1173</v>
      </c>
      <c r="D56" s="832"/>
      <c r="E56" s="866"/>
      <c r="F56" s="866"/>
      <c r="G56" s="864"/>
      <c r="H56" s="832"/>
      <c r="I56" s="832"/>
      <c r="J56" s="833"/>
    </row>
    <row r="57" spans="1:11" x14ac:dyDescent="0.25">
      <c r="A57" s="822"/>
      <c r="B57" s="831"/>
      <c r="C57" s="849" t="s">
        <v>1230</v>
      </c>
      <c r="D57" s="850" t="s">
        <v>1231</v>
      </c>
      <c r="E57" s="851"/>
      <c r="F57" s="851"/>
      <c r="G57" s="852" t="s">
        <v>1097</v>
      </c>
      <c r="H57" s="853" t="s">
        <v>1096</v>
      </c>
      <c r="I57" s="832"/>
      <c r="J57" s="833"/>
    </row>
    <row r="58" spans="1:11" x14ac:dyDescent="0.25">
      <c r="A58" s="822"/>
      <c r="B58" s="831"/>
      <c r="C58" s="876" t="s">
        <v>1172</v>
      </c>
      <c r="D58" s="2251" t="s">
        <v>1219</v>
      </c>
      <c r="E58" s="2252"/>
      <c r="F58" s="2279"/>
      <c r="G58" s="877" t="s">
        <v>1089</v>
      </c>
      <c r="H58" s="677" t="s">
        <v>1223</v>
      </c>
      <c r="I58" s="832">
        <f>N(H58)</f>
        <v>0</v>
      </c>
      <c r="J58" s="833"/>
    </row>
    <row r="59" spans="1:11" x14ac:dyDescent="0.25">
      <c r="A59" s="822"/>
      <c r="B59" s="831"/>
      <c r="C59" s="878" t="s">
        <v>1171</v>
      </c>
      <c r="D59" s="2248" t="s">
        <v>1218</v>
      </c>
      <c r="E59" s="2249"/>
      <c r="F59" s="2276"/>
      <c r="G59" s="879" t="s">
        <v>1240</v>
      </c>
      <c r="H59" s="680">
        <v>4</v>
      </c>
      <c r="I59" s="832">
        <f>N(H59)</f>
        <v>4</v>
      </c>
      <c r="J59" s="833"/>
    </row>
    <row r="60" spans="1:11" x14ac:dyDescent="0.25">
      <c r="A60" s="822"/>
      <c r="B60" s="831"/>
      <c r="C60" s="878" t="s">
        <v>1170</v>
      </c>
      <c r="D60" s="2245" t="s">
        <v>1169</v>
      </c>
      <c r="E60" s="2246"/>
      <c r="F60" s="2278"/>
      <c r="G60" s="880" t="s">
        <v>1242</v>
      </c>
      <c r="H60" s="680">
        <v>0</v>
      </c>
      <c r="I60" s="832">
        <f>N(H60)</f>
        <v>0</v>
      </c>
      <c r="J60" s="833"/>
    </row>
    <row r="61" spans="1:11" x14ac:dyDescent="0.25">
      <c r="A61" s="822"/>
      <c r="B61" s="881"/>
      <c r="C61" s="858" t="s">
        <v>35</v>
      </c>
      <c r="D61" s="859"/>
      <c r="E61" s="860"/>
      <c r="F61" s="860"/>
      <c r="G61" s="861" t="s">
        <v>1168</v>
      </c>
      <c r="H61" s="862">
        <f>SUM(I58:I60)</f>
        <v>4</v>
      </c>
      <c r="I61" s="832"/>
      <c r="J61" s="833"/>
    </row>
    <row r="62" spans="1:11" ht="7.5" customHeight="1" x14ac:dyDescent="0.25">
      <c r="A62" s="822"/>
      <c r="B62" s="881"/>
      <c r="C62" s="863"/>
      <c r="D62" s="865"/>
      <c r="E62" s="863"/>
      <c r="F62" s="863"/>
      <c r="G62" s="864"/>
      <c r="H62" s="865"/>
      <c r="I62" s="832"/>
      <c r="J62" s="833"/>
    </row>
    <row r="63" spans="1:11" ht="7.5" customHeight="1" x14ac:dyDescent="0.25">
      <c r="A63" s="822"/>
      <c r="B63" s="881"/>
      <c r="C63" s="882"/>
      <c r="D63" s="832"/>
      <c r="E63" s="882"/>
      <c r="F63" s="882"/>
      <c r="G63" s="864"/>
      <c r="H63" s="832"/>
      <c r="I63" s="832"/>
      <c r="J63" s="833"/>
      <c r="K63" s="822"/>
    </row>
    <row r="64" spans="1:11" x14ac:dyDescent="0.25">
      <c r="A64" s="822"/>
      <c r="B64" s="881"/>
      <c r="C64" s="883" t="s">
        <v>1167</v>
      </c>
      <c r="D64" s="832"/>
      <c r="E64" s="883"/>
      <c r="F64" s="883"/>
      <c r="G64" s="864"/>
      <c r="H64" s="832"/>
      <c r="I64" s="832"/>
      <c r="J64" s="833"/>
    </row>
    <row r="65" spans="1:10" x14ac:dyDescent="0.25">
      <c r="A65" s="822"/>
      <c r="B65" s="831"/>
      <c r="C65" s="1422" t="s">
        <v>1230</v>
      </c>
      <c r="D65" s="1423" t="s">
        <v>1231</v>
      </c>
      <c r="E65" s="1424"/>
      <c r="F65" s="1424"/>
      <c r="G65" s="1425" t="s">
        <v>1097</v>
      </c>
      <c r="H65" s="1426" t="s">
        <v>1096</v>
      </c>
      <c r="I65" s="832"/>
      <c r="J65" s="833"/>
    </row>
    <row r="66" spans="1:10" x14ac:dyDescent="0.25">
      <c r="A66" s="822"/>
      <c r="B66" s="831"/>
      <c r="C66" s="884" t="s">
        <v>1166</v>
      </c>
      <c r="D66" s="2280" t="s">
        <v>1215</v>
      </c>
      <c r="E66" s="2281"/>
      <c r="F66" s="2282"/>
      <c r="G66" s="885" t="str">
        <f>IF(D17&lt;&gt;"Select…",IF(D19="New Construction","Mandatory","n/a"),"&lt;SELECT REGION AND ACTIVITY&gt;")</f>
        <v>n/a</v>
      </c>
      <c r="H66" s="681" t="str">
        <f>IF(G66&lt;&gt;"&lt;SELECT REGION AND ACTIVITY&gt;",IF(D19="New Construction","X","n/a"),"")</f>
        <v>n/a</v>
      </c>
      <c r="I66" s="832">
        <f t="shared" ref="I66:I83" si="2">N(H66)</f>
        <v>0</v>
      </c>
      <c r="J66" s="833"/>
    </row>
    <row r="67" spans="1:10" x14ac:dyDescent="0.25">
      <c r="A67" s="822"/>
      <c r="B67" s="831"/>
      <c r="C67" s="886" t="s">
        <v>1210</v>
      </c>
      <c r="D67" s="2254" t="s">
        <v>1224</v>
      </c>
      <c r="E67" s="2255"/>
      <c r="F67" s="2256"/>
      <c r="G67" s="887" t="str">
        <f>IF(D17&lt;&gt;"Select…",IF(D19="Rehab","Mandatory","n/a"),"&lt;SELECT REGION AND ACTIVITY&gt;")</f>
        <v>Mandatory</v>
      </c>
      <c r="H67" s="682" t="str">
        <f>IF(G67&lt;&gt;"&lt;SELECT REGION AND ACTIVITY&gt;",IF(D19="Rehab","X","n/a"),"")</f>
        <v>X</v>
      </c>
      <c r="I67" s="832">
        <f t="shared" si="2"/>
        <v>0</v>
      </c>
      <c r="J67" s="870"/>
    </row>
    <row r="68" spans="1:10" ht="15" customHeight="1" x14ac:dyDescent="0.25">
      <c r="B68" s="831"/>
      <c r="C68" s="888" t="s">
        <v>1165</v>
      </c>
      <c r="D68" s="2254" t="s">
        <v>1249</v>
      </c>
      <c r="E68" s="2255"/>
      <c r="F68" s="2256"/>
      <c r="G68" s="887" t="str">
        <f>IF(D17&lt;&gt;"Select…",IF(D19="New Construction","0, 5 or 10, or 5, 7, 9, 12 or 15","n/a"),"&lt;SELECT REGION AND ACTIVITY&gt;")</f>
        <v>n/a</v>
      </c>
      <c r="H68" s="682" t="str">
        <f>IF(G68="n/a","n/a","")</f>
        <v>n/a</v>
      </c>
      <c r="I68" s="832">
        <f t="shared" si="2"/>
        <v>0</v>
      </c>
      <c r="J68" s="833"/>
    </row>
    <row r="69" spans="1:10" ht="15" customHeight="1" x14ac:dyDescent="0.25">
      <c r="B69" s="831"/>
      <c r="C69" s="886" t="s">
        <v>1211</v>
      </c>
      <c r="D69" s="2254" t="s">
        <v>1252</v>
      </c>
      <c r="E69" s="2255"/>
      <c r="F69" s="2256"/>
      <c r="G69" s="887" t="str">
        <f>IF(D17&lt;&gt;"Select…",IF(D19="Rehab","0 or 5","n/a"),"&lt;SELECT REGION AND ACTIVITY&gt;")</f>
        <v>0 or 5</v>
      </c>
      <c r="H69" s="682">
        <v>0</v>
      </c>
      <c r="I69" s="832">
        <f t="shared" si="2"/>
        <v>0</v>
      </c>
      <c r="J69" s="833"/>
    </row>
    <row r="70" spans="1:10" x14ac:dyDescent="0.25">
      <c r="B70" s="831"/>
      <c r="C70" s="888" t="s">
        <v>1164</v>
      </c>
      <c r="D70" s="2248" t="s">
        <v>1163</v>
      </c>
      <c r="E70" s="2249"/>
      <c r="F70" s="2250"/>
      <c r="G70" s="887" t="s">
        <v>1089</v>
      </c>
      <c r="H70" s="685" t="s">
        <v>1223</v>
      </c>
      <c r="I70" s="832">
        <f t="shared" si="2"/>
        <v>0</v>
      </c>
      <c r="J70" s="833"/>
    </row>
    <row r="71" spans="1:10" ht="15" customHeight="1" x14ac:dyDescent="0.25">
      <c r="B71" s="831"/>
      <c r="C71" s="888" t="s">
        <v>1162</v>
      </c>
      <c r="D71" s="2248" t="s">
        <v>1161</v>
      </c>
      <c r="E71" s="2249"/>
      <c r="F71" s="2250"/>
      <c r="G71" s="889" t="s">
        <v>1160</v>
      </c>
      <c r="H71" s="685" t="s">
        <v>1223</v>
      </c>
      <c r="I71" s="832">
        <f t="shared" si="2"/>
        <v>0</v>
      </c>
      <c r="J71" s="833"/>
    </row>
    <row r="72" spans="1:10" x14ac:dyDescent="0.25">
      <c r="B72" s="831"/>
      <c r="C72" s="888" t="s">
        <v>1159</v>
      </c>
      <c r="D72" s="2248" t="s">
        <v>1158</v>
      </c>
      <c r="E72" s="2249"/>
      <c r="F72" s="2250"/>
      <c r="G72" s="887" t="s">
        <v>1238</v>
      </c>
      <c r="H72" s="682">
        <v>3</v>
      </c>
      <c r="I72" s="832">
        <f t="shared" si="2"/>
        <v>3</v>
      </c>
      <c r="J72" s="833"/>
    </row>
    <row r="73" spans="1:10" x14ac:dyDescent="0.25">
      <c r="B73" s="831"/>
      <c r="C73" s="888" t="s">
        <v>1157</v>
      </c>
      <c r="D73" s="2248" t="s">
        <v>1156</v>
      </c>
      <c r="E73" s="2249"/>
      <c r="F73" s="2250"/>
      <c r="G73" s="887" t="s">
        <v>1089</v>
      </c>
      <c r="H73" s="685" t="s">
        <v>1223</v>
      </c>
      <c r="I73" s="832">
        <f t="shared" si="2"/>
        <v>0</v>
      </c>
      <c r="J73" s="833"/>
    </row>
    <row r="74" spans="1:10" x14ac:dyDescent="0.25">
      <c r="B74" s="831"/>
      <c r="C74" s="888" t="s">
        <v>1155</v>
      </c>
      <c r="D74" s="2254" t="s">
        <v>1250</v>
      </c>
      <c r="E74" s="2255"/>
      <c r="F74" s="2256"/>
      <c r="G74" s="887" t="str">
        <f>IF(D17&lt;&gt;"Select…",IF(D19="New Construction","Mandatory","n/a"),"&lt;SELECT REGION AND ACTIVITY&gt;")</f>
        <v>n/a</v>
      </c>
      <c r="H74" s="682" t="str">
        <f>IF(G74&lt;&gt;"&lt;SELECT REGION AND ACTIVITY&gt;",IF(D19="New Construction","X","n/a"),"")</f>
        <v>n/a</v>
      </c>
      <c r="I74" s="832">
        <f t="shared" si="2"/>
        <v>0</v>
      </c>
      <c r="J74" s="833"/>
    </row>
    <row r="75" spans="1:10" x14ac:dyDescent="0.25">
      <c r="B75" s="831"/>
      <c r="C75" s="886" t="s">
        <v>1212</v>
      </c>
      <c r="D75" s="2257" t="s">
        <v>1251</v>
      </c>
      <c r="E75" s="2258"/>
      <c r="F75" s="2259"/>
      <c r="G75" s="887" t="str">
        <f>IF(D17&lt;&gt;"Select…",IF(D19="Rehab","0 or 2","n/a"),"&lt;SELECT REGION AND ACTIVITY&gt;")</f>
        <v>0 or 2</v>
      </c>
      <c r="H75" s="682">
        <v>2</v>
      </c>
      <c r="I75" s="832">
        <f t="shared" si="2"/>
        <v>2</v>
      </c>
      <c r="J75" s="833"/>
    </row>
    <row r="76" spans="1:10" x14ac:dyDescent="0.25">
      <c r="B76" s="831"/>
      <c r="C76" s="888" t="s">
        <v>1154</v>
      </c>
      <c r="D76" s="2254" t="s">
        <v>1253</v>
      </c>
      <c r="E76" s="2249"/>
      <c r="F76" s="2250"/>
      <c r="G76" s="887" t="s">
        <v>1232</v>
      </c>
      <c r="H76" s="682">
        <v>0</v>
      </c>
      <c r="I76" s="832">
        <f t="shared" si="2"/>
        <v>0</v>
      </c>
      <c r="J76" s="833"/>
    </row>
    <row r="77" spans="1:10" x14ac:dyDescent="0.25">
      <c r="B77" s="831"/>
      <c r="C77" s="888" t="s">
        <v>1153</v>
      </c>
      <c r="D77" s="2248" t="s">
        <v>1152</v>
      </c>
      <c r="E77" s="2249"/>
      <c r="F77" s="2250"/>
      <c r="G77" s="887" t="s">
        <v>1243</v>
      </c>
      <c r="H77" s="682">
        <v>0</v>
      </c>
      <c r="I77" s="832">
        <f t="shared" si="2"/>
        <v>0</v>
      </c>
      <c r="J77" s="833"/>
    </row>
    <row r="78" spans="1:10" x14ac:dyDescent="0.25">
      <c r="B78" s="831"/>
      <c r="C78" s="888" t="s">
        <v>1151</v>
      </c>
      <c r="D78" s="2254" t="s">
        <v>1254</v>
      </c>
      <c r="E78" s="2249"/>
      <c r="F78" s="2250"/>
      <c r="G78" s="887" t="s">
        <v>1233</v>
      </c>
      <c r="H78" s="682">
        <v>0</v>
      </c>
      <c r="I78" s="832">
        <f t="shared" si="2"/>
        <v>0</v>
      </c>
      <c r="J78" s="833"/>
    </row>
    <row r="79" spans="1:10" x14ac:dyDescent="0.25">
      <c r="B79" s="831"/>
      <c r="C79" s="888" t="s">
        <v>1150</v>
      </c>
      <c r="D79" s="2248" t="s">
        <v>1149</v>
      </c>
      <c r="E79" s="2249"/>
      <c r="F79" s="2250"/>
      <c r="G79" s="887" t="s">
        <v>1089</v>
      </c>
      <c r="H79" s="685" t="s">
        <v>1223</v>
      </c>
      <c r="I79" s="832">
        <f t="shared" si="2"/>
        <v>0</v>
      </c>
      <c r="J79" s="833"/>
    </row>
    <row r="80" spans="1:10" x14ac:dyDescent="0.25">
      <c r="B80" s="831"/>
      <c r="C80" s="888" t="s">
        <v>1148</v>
      </c>
      <c r="D80" s="2254" t="s">
        <v>1255</v>
      </c>
      <c r="E80" s="2249"/>
      <c r="F80" s="2250"/>
      <c r="G80" s="887" t="s">
        <v>1244</v>
      </c>
      <c r="H80" s="682">
        <v>5</v>
      </c>
      <c r="I80" s="832">
        <f t="shared" si="2"/>
        <v>5</v>
      </c>
      <c r="J80" s="833"/>
    </row>
    <row r="81" spans="2:10" x14ac:dyDescent="0.25">
      <c r="B81" s="831"/>
      <c r="C81" s="888">
        <v>5.1100000000000003</v>
      </c>
      <c r="D81" s="2269" t="s">
        <v>1256</v>
      </c>
      <c r="E81" s="2270"/>
      <c r="F81" s="2271"/>
      <c r="G81" s="887" t="str">
        <f>IF(D17&lt;&gt;"Select…",IF(D19="Rehab","0, 3 or 7","n/a"),"&lt;SELECT REGION AND ACTIVITY&gt;")</f>
        <v>0, 3 or 7</v>
      </c>
      <c r="H81" s="682">
        <v>0</v>
      </c>
      <c r="I81" s="832">
        <f t="shared" si="2"/>
        <v>0</v>
      </c>
      <c r="J81" s="833"/>
    </row>
    <row r="82" spans="2:10" x14ac:dyDescent="0.25">
      <c r="B82" s="831"/>
      <c r="C82" s="888">
        <v>5.12</v>
      </c>
      <c r="D82" s="2272" t="s">
        <v>1257</v>
      </c>
      <c r="E82" s="2273"/>
      <c r="F82" s="2274"/>
      <c r="G82" s="887" t="str">
        <f>IF(D17&lt;&gt;"Select…",IF(D19="Rehab","0 or 10","n/a"),"&lt;SELECT REGION AND ACTIVITY&gt;")</f>
        <v>0 or 10</v>
      </c>
      <c r="H82" s="682">
        <v>0</v>
      </c>
      <c r="I82" s="832">
        <f t="shared" si="2"/>
        <v>0</v>
      </c>
      <c r="J82" s="833"/>
    </row>
    <row r="83" spans="2:10" x14ac:dyDescent="0.25">
      <c r="B83" s="831"/>
      <c r="C83" s="890">
        <v>5.13</v>
      </c>
      <c r="D83" s="2266" t="s">
        <v>1258</v>
      </c>
      <c r="E83" s="2267"/>
      <c r="F83" s="2268"/>
      <c r="G83" s="891" t="str">
        <f>IF(D17&lt;&gt;"Select…",IF(D19="Rehab","0, 2, 5 or 7","n/a"),"&lt;SELECT REGION AND ACTIVITY&gt;")</f>
        <v>0, 2, 5 or 7</v>
      </c>
      <c r="H83" s="683">
        <v>0</v>
      </c>
      <c r="I83" s="832">
        <f t="shared" si="2"/>
        <v>0</v>
      </c>
      <c r="J83" s="833"/>
    </row>
    <row r="84" spans="2:10" x14ac:dyDescent="0.25">
      <c r="B84" s="831"/>
      <c r="C84" s="858" t="s">
        <v>35</v>
      </c>
      <c r="D84" s="859"/>
      <c r="E84" s="860"/>
      <c r="F84" s="860"/>
      <c r="G84" s="861" t="s">
        <v>1147</v>
      </c>
      <c r="H84" s="862">
        <f>SUM(I66:I83)</f>
        <v>10</v>
      </c>
      <c r="I84" s="832"/>
      <c r="J84" s="833"/>
    </row>
    <row r="85" spans="2:10" s="822" customFormat="1" ht="9" customHeight="1" thickBot="1" x14ac:dyDescent="0.3">
      <c r="B85" s="892"/>
      <c r="C85" s="893"/>
      <c r="D85" s="894"/>
      <c r="E85" s="893"/>
      <c r="F85" s="893"/>
      <c r="G85" s="895"/>
      <c r="H85" s="894"/>
      <c r="I85" s="894"/>
      <c r="J85" s="896"/>
    </row>
    <row r="86" spans="2:10" s="822" customFormat="1" ht="26.45" customHeight="1" x14ac:dyDescent="0.25">
      <c r="B86" s="828"/>
      <c r="C86" s="897" t="s">
        <v>1146</v>
      </c>
      <c r="D86" s="829"/>
      <c r="E86" s="897"/>
      <c r="F86" s="897"/>
      <c r="G86" s="898"/>
      <c r="H86" s="829"/>
      <c r="I86" s="829"/>
      <c r="J86" s="830"/>
    </row>
    <row r="87" spans="2:10" x14ac:dyDescent="0.25">
      <c r="B87" s="831"/>
      <c r="C87" s="1422" t="s">
        <v>1230</v>
      </c>
      <c r="D87" s="1423" t="s">
        <v>1231</v>
      </c>
      <c r="E87" s="1424"/>
      <c r="F87" s="1424"/>
      <c r="G87" s="1425" t="s">
        <v>1097</v>
      </c>
      <c r="H87" s="1426" t="s">
        <v>1096</v>
      </c>
      <c r="I87" s="832"/>
      <c r="J87" s="833"/>
    </row>
    <row r="88" spans="2:10" x14ac:dyDescent="0.25">
      <c r="B88" s="831"/>
      <c r="C88" s="884" t="s">
        <v>1145</v>
      </c>
      <c r="D88" s="2251" t="s">
        <v>1144</v>
      </c>
      <c r="E88" s="2252"/>
      <c r="F88" s="2253"/>
      <c r="G88" s="885" t="s">
        <v>1089</v>
      </c>
      <c r="H88" s="677" t="s">
        <v>1223</v>
      </c>
      <c r="I88" s="832">
        <f t="shared" ref="I88:I96" si="3">N(H88)</f>
        <v>0</v>
      </c>
      <c r="J88" s="833"/>
    </row>
    <row r="89" spans="2:10" x14ac:dyDescent="0.25">
      <c r="B89" s="831"/>
      <c r="C89" s="888" t="s">
        <v>1143</v>
      </c>
      <c r="D89" s="2248" t="s">
        <v>1142</v>
      </c>
      <c r="E89" s="2249"/>
      <c r="F89" s="2250"/>
      <c r="G89" s="887" t="s">
        <v>1089</v>
      </c>
      <c r="H89" s="685" t="s">
        <v>1223</v>
      </c>
      <c r="I89" s="832">
        <f t="shared" si="3"/>
        <v>0</v>
      </c>
      <c r="J89" s="833"/>
    </row>
    <row r="90" spans="2:10" x14ac:dyDescent="0.25">
      <c r="B90" s="831"/>
      <c r="C90" s="888" t="s">
        <v>1141</v>
      </c>
      <c r="D90" s="2248" t="s">
        <v>1140</v>
      </c>
      <c r="E90" s="2249"/>
      <c r="F90" s="2250"/>
      <c r="G90" s="887" t="s">
        <v>1234</v>
      </c>
      <c r="H90" s="682">
        <v>5</v>
      </c>
      <c r="I90" s="832">
        <f t="shared" si="3"/>
        <v>5</v>
      </c>
      <c r="J90" s="833"/>
    </row>
    <row r="91" spans="2:10" x14ac:dyDescent="0.25">
      <c r="B91" s="831"/>
      <c r="C91" s="888" t="s">
        <v>1139</v>
      </c>
      <c r="D91" s="2248" t="s">
        <v>1138</v>
      </c>
      <c r="E91" s="2249"/>
      <c r="F91" s="2250"/>
      <c r="G91" s="887" t="s">
        <v>1235</v>
      </c>
      <c r="H91" s="682">
        <v>0.5</v>
      </c>
      <c r="I91" s="832">
        <f t="shared" si="3"/>
        <v>0.5</v>
      </c>
      <c r="J91" s="833"/>
    </row>
    <row r="92" spans="2:10" x14ac:dyDescent="0.25">
      <c r="B92" s="831"/>
      <c r="C92" s="888" t="s">
        <v>1137</v>
      </c>
      <c r="D92" s="2248" t="s">
        <v>1136</v>
      </c>
      <c r="E92" s="2249"/>
      <c r="F92" s="2250"/>
      <c r="G92" s="887" t="s">
        <v>1234</v>
      </c>
      <c r="H92" s="682">
        <v>0</v>
      </c>
      <c r="I92" s="832">
        <f t="shared" si="3"/>
        <v>0</v>
      </c>
      <c r="J92" s="833"/>
    </row>
    <row r="93" spans="2:10" x14ac:dyDescent="0.25">
      <c r="B93" s="831"/>
      <c r="C93" s="888" t="s">
        <v>1135</v>
      </c>
      <c r="D93" s="2248" t="s">
        <v>1134</v>
      </c>
      <c r="E93" s="2249"/>
      <c r="F93" s="2250"/>
      <c r="G93" s="887" t="s">
        <v>1234</v>
      </c>
      <c r="H93" s="682">
        <v>0</v>
      </c>
      <c r="I93" s="832">
        <f t="shared" si="3"/>
        <v>0</v>
      </c>
      <c r="J93" s="833"/>
    </row>
    <row r="94" spans="2:10" x14ac:dyDescent="0.25">
      <c r="B94" s="831"/>
      <c r="C94" s="888" t="s">
        <v>1133</v>
      </c>
      <c r="D94" s="2248" t="s">
        <v>1132</v>
      </c>
      <c r="E94" s="2249"/>
      <c r="F94" s="2250"/>
      <c r="G94" s="887" t="s">
        <v>1237</v>
      </c>
      <c r="H94" s="682">
        <v>0</v>
      </c>
      <c r="I94" s="832">
        <f t="shared" si="3"/>
        <v>0</v>
      </c>
      <c r="J94" s="833"/>
    </row>
    <row r="95" spans="2:10" x14ac:dyDescent="0.25">
      <c r="B95" s="831"/>
      <c r="C95" s="888" t="s">
        <v>1131</v>
      </c>
      <c r="D95" s="2248" t="s">
        <v>1130</v>
      </c>
      <c r="E95" s="2249"/>
      <c r="F95" s="2250"/>
      <c r="G95" s="887" t="s">
        <v>1237</v>
      </c>
      <c r="H95" s="682">
        <v>0</v>
      </c>
      <c r="I95" s="832">
        <f t="shared" si="3"/>
        <v>0</v>
      </c>
      <c r="J95" s="833"/>
    </row>
    <row r="96" spans="2:10" x14ac:dyDescent="0.25">
      <c r="B96" s="831"/>
      <c r="C96" s="890" t="s">
        <v>1129</v>
      </c>
      <c r="D96" s="2245" t="s">
        <v>1128</v>
      </c>
      <c r="E96" s="2246"/>
      <c r="F96" s="2247"/>
      <c r="G96" s="891" t="s">
        <v>1245</v>
      </c>
      <c r="H96" s="683">
        <v>0</v>
      </c>
      <c r="I96" s="832">
        <f t="shared" si="3"/>
        <v>0</v>
      </c>
      <c r="J96" s="833"/>
    </row>
    <row r="97" spans="2:14" x14ac:dyDescent="0.25">
      <c r="B97" s="831"/>
      <c r="C97" s="858" t="s">
        <v>35</v>
      </c>
      <c r="D97" s="859"/>
      <c r="E97" s="860"/>
      <c r="F97" s="860"/>
      <c r="G97" s="861" t="s">
        <v>1127</v>
      </c>
      <c r="H97" s="862">
        <f>SUM(I88:I96)</f>
        <v>5.5</v>
      </c>
      <c r="I97" s="832"/>
      <c r="J97" s="833"/>
      <c r="M97" s="822"/>
      <c r="N97" s="822"/>
    </row>
    <row r="98" spans="2:14" s="822" customFormat="1" ht="7.5" customHeight="1" x14ac:dyDescent="0.25">
      <c r="B98" s="831"/>
      <c r="C98" s="863"/>
      <c r="D98" s="865"/>
      <c r="E98" s="863"/>
      <c r="F98" s="863"/>
      <c r="G98" s="864"/>
      <c r="H98" s="865"/>
      <c r="I98" s="832"/>
      <c r="J98" s="833"/>
    </row>
    <row r="99" spans="2:14" s="822" customFormat="1" ht="7.5" customHeight="1" x14ac:dyDescent="0.25">
      <c r="B99" s="831"/>
      <c r="C99" s="882"/>
      <c r="D99" s="832"/>
      <c r="E99" s="882"/>
      <c r="F99" s="882"/>
      <c r="G99" s="864"/>
      <c r="H99" s="832"/>
      <c r="I99" s="832"/>
      <c r="J99" s="833"/>
    </row>
    <row r="100" spans="2:14" s="822" customFormat="1" x14ac:dyDescent="0.25">
      <c r="B100" s="831"/>
      <c r="C100" s="883" t="s">
        <v>1126</v>
      </c>
      <c r="D100" s="832"/>
      <c r="E100" s="883"/>
      <c r="F100" s="883"/>
      <c r="G100" s="864"/>
      <c r="H100" s="832"/>
      <c r="I100" s="832"/>
      <c r="J100" s="833"/>
    </row>
    <row r="101" spans="2:14" x14ac:dyDescent="0.25">
      <c r="B101" s="831"/>
      <c r="C101" s="1422" t="s">
        <v>1230</v>
      </c>
      <c r="D101" s="1423" t="s">
        <v>1231</v>
      </c>
      <c r="E101" s="1424"/>
      <c r="F101" s="1424"/>
      <c r="G101" s="1425" t="s">
        <v>1097</v>
      </c>
      <c r="H101" s="1426" t="s">
        <v>1096</v>
      </c>
      <c r="I101" s="832"/>
      <c r="J101" s="833"/>
    </row>
    <row r="102" spans="2:14" x14ac:dyDescent="0.25">
      <c r="B102" s="831"/>
      <c r="C102" s="884" t="s">
        <v>1125</v>
      </c>
      <c r="D102" s="2263" t="s">
        <v>1124</v>
      </c>
      <c r="E102" s="2264"/>
      <c r="F102" s="2265"/>
      <c r="G102" s="885" t="s">
        <v>1089</v>
      </c>
      <c r="H102" s="677" t="s">
        <v>1223</v>
      </c>
      <c r="I102" s="832">
        <f t="shared" ref="I102:I123" si="4">N(H102)</f>
        <v>0</v>
      </c>
      <c r="J102" s="833"/>
    </row>
    <row r="103" spans="2:14" ht="15" customHeight="1" x14ac:dyDescent="0.25">
      <c r="B103" s="831"/>
      <c r="C103" s="888" t="s">
        <v>1123</v>
      </c>
      <c r="D103" s="2248" t="s">
        <v>1120</v>
      </c>
      <c r="E103" s="2249"/>
      <c r="F103" s="2250"/>
      <c r="G103" s="889" t="s">
        <v>1122</v>
      </c>
      <c r="H103" s="685" t="s">
        <v>1223</v>
      </c>
      <c r="I103" s="832">
        <f t="shared" si="4"/>
        <v>0</v>
      </c>
      <c r="J103" s="833"/>
    </row>
    <row r="104" spans="2:14" x14ac:dyDescent="0.25">
      <c r="B104" s="831"/>
      <c r="C104" s="888" t="s">
        <v>1121</v>
      </c>
      <c r="D104" s="2248" t="s">
        <v>1120</v>
      </c>
      <c r="E104" s="2249"/>
      <c r="F104" s="2250"/>
      <c r="G104" s="887" t="s">
        <v>1246</v>
      </c>
      <c r="H104" s="682">
        <v>0</v>
      </c>
      <c r="I104" s="832">
        <f t="shared" si="4"/>
        <v>0</v>
      </c>
      <c r="J104" s="833"/>
    </row>
    <row r="105" spans="2:14" x14ac:dyDescent="0.25">
      <c r="B105" s="831"/>
      <c r="C105" s="888" t="s">
        <v>1119</v>
      </c>
      <c r="D105" s="2254" t="s">
        <v>1225</v>
      </c>
      <c r="E105" s="2255"/>
      <c r="F105" s="2256"/>
      <c r="G105" s="887" t="str">
        <f>IF(D17&lt;&gt;"Select…",IF(CONCATENATE(D19,"-",D21)="Rehab-Substantial","Mandatory",(IF(CONCATENATE(D19,"-",D21)="Rehab-Moderate","n/a","Mandatory"))),"&lt;SELECT REGION AND ACTIVITY&gt;")</f>
        <v>Mandatory</v>
      </c>
      <c r="H105" s="682" t="str">
        <f>IF(G105&lt;&gt;"&lt;SELECT REGION AND ACTIVITY&gt;",IF(G105="Mandatory","X","n/a"),"")</f>
        <v>X</v>
      </c>
      <c r="I105" s="832">
        <f t="shared" si="4"/>
        <v>0</v>
      </c>
      <c r="J105" s="833"/>
    </row>
    <row r="106" spans="2:14" x14ac:dyDescent="0.25">
      <c r="B106" s="831"/>
      <c r="C106" s="886" t="s">
        <v>1213</v>
      </c>
      <c r="D106" s="2257" t="s">
        <v>1226</v>
      </c>
      <c r="E106" s="2258"/>
      <c r="F106" s="2259"/>
      <c r="G106" s="887" t="str">
        <f>IF(D17&lt;&gt;"Select…",IF(CONCATENATE(D19,"-",D21)="Rehab-Moderate","0 or 5","n/a"),"&lt;SELECT REGION AND ACTIVITY&gt;")</f>
        <v>n/a</v>
      </c>
      <c r="H106" s="682" t="str">
        <f>IF(G106&lt;&gt;"&lt;SELECT REGION AND ACTIVITY&gt;",IF(G106="n/a","n/a",""),"")</f>
        <v>n/a</v>
      </c>
      <c r="I106" s="832">
        <f t="shared" si="4"/>
        <v>0</v>
      </c>
      <c r="J106" s="833"/>
    </row>
    <row r="107" spans="2:14" x14ac:dyDescent="0.25">
      <c r="B107" s="831"/>
      <c r="C107" s="888" t="s">
        <v>1118</v>
      </c>
      <c r="D107" s="2254" t="s">
        <v>1227</v>
      </c>
      <c r="E107" s="2255"/>
      <c r="F107" s="2256"/>
      <c r="G107" s="887" t="str">
        <f>IF(D17&lt;&gt;"Select…",IF(D19="New Construction","Mandatory","n/a"),"&lt;SELECT REGION AND ACTIVITY&gt;")</f>
        <v>n/a</v>
      </c>
      <c r="H107" s="682" t="s">
        <v>1400</v>
      </c>
      <c r="I107" s="832">
        <f t="shared" si="4"/>
        <v>0</v>
      </c>
      <c r="J107" s="833"/>
    </row>
    <row r="108" spans="2:14" x14ac:dyDescent="0.25">
      <c r="B108" s="831"/>
      <c r="C108" s="886" t="s">
        <v>1214</v>
      </c>
      <c r="D108" s="2254" t="s">
        <v>1228</v>
      </c>
      <c r="E108" s="2255"/>
      <c r="F108" s="2256"/>
      <c r="G108" s="887" t="str">
        <f>IF(D17&lt;&gt;"Select…",IF(D19="Rehab","0 or 3","n/a"),"&lt;SELECT REGION AND ACTIVITY&gt;")</f>
        <v>0 or 3</v>
      </c>
      <c r="H108" s="682">
        <v>0</v>
      </c>
      <c r="I108" s="832">
        <f t="shared" si="4"/>
        <v>0</v>
      </c>
      <c r="J108" s="833"/>
    </row>
    <row r="109" spans="2:14" x14ac:dyDescent="0.25">
      <c r="B109" s="831"/>
      <c r="C109" s="888">
        <v>7.5</v>
      </c>
      <c r="D109" s="2248" t="s">
        <v>1117</v>
      </c>
      <c r="E109" s="2249"/>
      <c r="F109" s="2250"/>
      <c r="G109" s="887" t="s">
        <v>1089</v>
      </c>
      <c r="H109" s="685" t="s">
        <v>1223</v>
      </c>
      <c r="I109" s="832">
        <f t="shared" si="4"/>
        <v>0</v>
      </c>
      <c r="J109" s="833"/>
    </row>
    <row r="110" spans="2:14" x14ac:dyDescent="0.25">
      <c r="B110" s="831"/>
      <c r="C110" s="888">
        <v>7.6</v>
      </c>
      <c r="D110" s="2248" t="s">
        <v>1116</v>
      </c>
      <c r="E110" s="2249"/>
      <c r="F110" s="2250"/>
      <c r="G110" s="887" t="s">
        <v>1089</v>
      </c>
      <c r="H110" s="685" t="s">
        <v>1223</v>
      </c>
      <c r="I110" s="832">
        <f t="shared" si="4"/>
        <v>0</v>
      </c>
      <c r="J110" s="833"/>
    </row>
    <row r="111" spans="2:14" x14ac:dyDescent="0.25">
      <c r="B111" s="831"/>
      <c r="C111" s="888">
        <v>7.7</v>
      </c>
      <c r="D111" s="2248" t="s">
        <v>1115</v>
      </c>
      <c r="E111" s="2249"/>
      <c r="F111" s="2250"/>
      <c r="G111" s="887" t="s">
        <v>1089</v>
      </c>
      <c r="H111" s="685" t="s">
        <v>1223</v>
      </c>
      <c r="I111" s="832">
        <f t="shared" si="4"/>
        <v>0</v>
      </c>
      <c r="J111" s="833"/>
    </row>
    <row r="112" spans="2:14" x14ac:dyDescent="0.25">
      <c r="B112" s="831"/>
      <c r="C112" s="888">
        <v>7.8</v>
      </c>
      <c r="D112" s="2248" t="s">
        <v>1114</v>
      </c>
      <c r="E112" s="2249"/>
      <c r="F112" s="2250"/>
      <c r="G112" s="887" t="s">
        <v>1089</v>
      </c>
      <c r="H112" s="685" t="s">
        <v>1223</v>
      </c>
      <c r="I112" s="832">
        <f t="shared" si="4"/>
        <v>0</v>
      </c>
      <c r="J112" s="833"/>
    </row>
    <row r="113" spans="2:12" s="827" customFormat="1" x14ac:dyDescent="0.25">
      <c r="B113" s="899"/>
      <c r="C113" s="900" t="s">
        <v>1113</v>
      </c>
      <c r="D113" s="2260" t="s">
        <v>1229</v>
      </c>
      <c r="E113" s="2261"/>
      <c r="F113" s="2262"/>
      <c r="G113" s="887" t="str">
        <f>IF(D17&lt;&gt;"Select…",IF(D19="Rehab","n/a","Mandatory"),"&lt;SELECT REGION AND ACTIVITY&gt;")</f>
        <v>n/a</v>
      </c>
      <c r="H113" s="684" t="str">
        <f>IF(G113&lt;&gt;"&lt;SELECT REGION AND ACTIVITY&gt;",IF(D19="New Construction","X","n/a"),"")</f>
        <v>n/a</v>
      </c>
      <c r="I113" s="832">
        <f t="shared" si="4"/>
        <v>0</v>
      </c>
      <c r="J113" s="901"/>
      <c r="L113" s="821"/>
    </row>
    <row r="114" spans="2:12" x14ac:dyDescent="0.25">
      <c r="B114" s="831"/>
      <c r="C114" s="888" t="s">
        <v>1112</v>
      </c>
      <c r="D114" s="2248" t="s">
        <v>1111</v>
      </c>
      <c r="E114" s="2249"/>
      <c r="F114" s="2250"/>
      <c r="G114" s="887" t="s">
        <v>1089</v>
      </c>
      <c r="H114" s="685" t="s">
        <v>1223</v>
      </c>
      <c r="I114" s="832">
        <f t="shared" si="4"/>
        <v>0</v>
      </c>
      <c r="J114" s="833"/>
    </row>
    <row r="115" spans="2:12" x14ac:dyDescent="0.25">
      <c r="B115" s="831"/>
      <c r="C115" s="888" t="s">
        <v>1110</v>
      </c>
      <c r="D115" s="2248" t="s">
        <v>1109</v>
      </c>
      <c r="E115" s="2249"/>
      <c r="F115" s="2250"/>
      <c r="G115" s="887" t="s">
        <v>1089</v>
      </c>
      <c r="H115" s="685" t="s">
        <v>1223</v>
      </c>
      <c r="I115" s="832">
        <f t="shared" si="4"/>
        <v>0</v>
      </c>
      <c r="J115" s="833"/>
    </row>
    <row r="116" spans="2:12" x14ac:dyDescent="0.25">
      <c r="B116" s="831"/>
      <c r="C116" s="888" t="s">
        <v>1108</v>
      </c>
      <c r="D116" s="2248" t="s">
        <v>1107</v>
      </c>
      <c r="E116" s="2249"/>
      <c r="F116" s="2250"/>
      <c r="G116" s="887" t="s">
        <v>1089</v>
      </c>
      <c r="H116" s="685" t="s">
        <v>1223</v>
      </c>
      <c r="I116" s="832">
        <f t="shared" si="4"/>
        <v>0</v>
      </c>
      <c r="J116" s="833"/>
    </row>
    <row r="117" spans="2:12" x14ac:dyDescent="0.25">
      <c r="B117" s="831"/>
      <c r="C117" s="888">
        <v>7.11</v>
      </c>
      <c r="D117" s="2248" t="s">
        <v>1106</v>
      </c>
      <c r="E117" s="2249"/>
      <c r="F117" s="2250"/>
      <c r="G117" s="887" t="s">
        <v>1089</v>
      </c>
      <c r="H117" s="685" t="s">
        <v>1223</v>
      </c>
      <c r="I117" s="832">
        <f t="shared" si="4"/>
        <v>0</v>
      </c>
      <c r="J117" s="833"/>
    </row>
    <row r="118" spans="2:12" x14ac:dyDescent="0.25">
      <c r="B118" s="831"/>
      <c r="C118" s="888">
        <v>7.12</v>
      </c>
      <c r="D118" s="2248" t="s">
        <v>1105</v>
      </c>
      <c r="E118" s="2249"/>
      <c r="F118" s="2250"/>
      <c r="G118" s="887" t="s">
        <v>1089</v>
      </c>
      <c r="H118" s="685" t="s">
        <v>1223</v>
      </c>
      <c r="I118" s="832">
        <f t="shared" si="4"/>
        <v>0</v>
      </c>
      <c r="J118" s="833"/>
    </row>
    <row r="119" spans="2:12" x14ac:dyDescent="0.25">
      <c r="B119" s="831"/>
      <c r="C119" s="888">
        <v>7.13</v>
      </c>
      <c r="D119" s="2248" t="s">
        <v>1104</v>
      </c>
      <c r="E119" s="2249"/>
      <c r="F119" s="2250"/>
      <c r="G119" s="887" t="str">
        <f>IF(D17&lt;&gt;"Select…",IF((CONCATENATE(D19,"-",D21))="Rehab-Moderate","n/a",(IF(CONCATENATE(D19,"-",D21)="Rehab-Substantial","0, 2 to 8","0, 2 to 8"))),"&lt;SELECT REGION AND ACTIVITY&gt;")</f>
        <v>0, 2 to 8</v>
      </c>
      <c r="H119" s="682">
        <v>6</v>
      </c>
      <c r="I119" s="832">
        <f t="shared" si="4"/>
        <v>6</v>
      </c>
      <c r="J119" s="870"/>
    </row>
    <row r="120" spans="2:12" x14ac:dyDescent="0.25">
      <c r="B120" s="831"/>
      <c r="C120" s="888">
        <v>7.14</v>
      </c>
      <c r="D120" s="2248" t="s">
        <v>1103</v>
      </c>
      <c r="E120" s="2249"/>
      <c r="F120" s="2250"/>
      <c r="G120" s="887" t="s">
        <v>1089</v>
      </c>
      <c r="H120" s="685" t="s">
        <v>1223</v>
      </c>
      <c r="I120" s="832">
        <f t="shared" si="4"/>
        <v>0</v>
      </c>
      <c r="J120" s="833"/>
    </row>
    <row r="121" spans="2:12" x14ac:dyDescent="0.25">
      <c r="B121" s="831"/>
      <c r="C121" s="888">
        <v>7.15</v>
      </c>
      <c r="D121" s="2248" t="s">
        <v>1102</v>
      </c>
      <c r="E121" s="2249"/>
      <c r="F121" s="2250"/>
      <c r="G121" s="887" t="s">
        <v>1089</v>
      </c>
      <c r="H121" s="685" t="s">
        <v>1223</v>
      </c>
      <c r="I121" s="832">
        <f t="shared" si="4"/>
        <v>0</v>
      </c>
      <c r="J121" s="833"/>
    </row>
    <row r="122" spans="2:12" x14ac:dyDescent="0.25">
      <c r="B122" s="831"/>
      <c r="C122" s="888">
        <v>7.16</v>
      </c>
      <c r="D122" s="2248" t="s">
        <v>1101</v>
      </c>
      <c r="E122" s="2249"/>
      <c r="F122" s="2250"/>
      <c r="G122" s="887" t="s">
        <v>1089</v>
      </c>
      <c r="H122" s="685" t="s">
        <v>1223</v>
      </c>
      <c r="I122" s="832">
        <f t="shared" si="4"/>
        <v>0</v>
      </c>
      <c r="J122" s="833"/>
    </row>
    <row r="123" spans="2:12" x14ac:dyDescent="0.25">
      <c r="B123" s="831"/>
      <c r="C123" s="890">
        <v>7.17</v>
      </c>
      <c r="D123" s="2245" t="s">
        <v>1100</v>
      </c>
      <c r="E123" s="2246"/>
      <c r="F123" s="2247"/>
      <c r="G123" s="891" t="s">
        <v>1247</v>
      </c>
      <c r="H123" s="683">
        <v>7</v>
      </c>
      <c r="I123" s="832">
        <f t="shared" si="4"/>
        <v>7</v>
      </c>
      <c r="J123" s="833"/>
    </row>
    <row r="124" spans="2:12" x14ac:dyDescent="0.25">
      <c r="B124" s="831"/>
      <c r="C124" s="858"/>
      <c r="D124" s="859"/>
      <c r="E124" s="860"/>
      <c r="F124" s="860"/>
      <c r="G124" s="861" t="s">
        <v>1099</v>
      </c>
      <c r="H124" s="862">
        <f>SUM(I102:I123)</f>
        <v>13</v>
      </c>
      <c r="I124" s="832"/>
      <c r="J124" s="833"/>
    </row>
    <row r="125" spans="2:12" ht="7.5" customHeight="1" x14ac:dyDescent="0.25">
      <c r="B125" s="831"/>
      <c r="C125" s="863"/>
      <c r="D125" s="865"/>
      <c r="E125" s="863"/>
      <c r="F125" s="863"/>
      <c r="G125" s="864"/>
      <c r="H125" s="865"/>
      <c r="I125" s="832"/>
      <c r="J125" s="833"/>
    </row>
    <row r="126" spans="2:12" x14ac:dyDescent="0.25">
      <c r="B126" s="831"/>
      <c r="C126" s="883" t="s">
        <v>1098</v>
      </c>
      <c r="D126" s="832"/>
      <c r="E126" s="883"/>
      <c r="F126" s="883"/>
      <c r="G126" s="864"/>
      <c r="H126" s="832"/>
      <c r="I126" s="832"/>
      <c r="J126" s="833"/>
    </row>
    <row r="127" spans="2:12" x14ac:dyDescent="0.25">
      <c r="B127" s="831"/>
      <c r="C127" s="1422" t="s">
        <v>1230</v>
      </c>
      <c r="D127" s="1423" t="s">
        <v>1231</v>
      </c>
      <c r="E127" s="1424"/>
      <c r="F127" s="1424"/>
      <c r="G127" s="1425" t="s">
        <v>1097</v>
      </c>
      <c r="H127" s="1426" t="s">
        <v>1096</v>
      </c>
      <c r="I127" s="832"/>
      <c r="J127" s="833"/>
    </row>
    <row r="128" spans="2:12" x14ac:dyDescent="0.25">
      <c r="B128" s="831"/>
      <c r="C128" s="884" t="s">
        <v>1095</v>
      </c>
      <c r="D128" s="2251" t="s">
        <v>1094</v>
      </c>
      <c r="E128" s="2252"/>
      <c r="F128" s="2253"/>
      <c r="G128" s="885" t="s">
        <v>1089</v>
      </c>
      <c r="H128" s="677" t="s">
        <v>1223</v>
      </c>
      <c r="I128" s="832">
        <f>N(H128)</f>
        <v>0</v>
      </c>
      <c r="J128" s="833"/>
    </row>
    <row r="129" spans="2:10" x14ac:dyDescent="0.25">
      <c r="B129" s="831"/>
      <c r="C129" s="888" t="s">
        <v>1093</v>
      </c>
      <c r="D129" s="2248" t="s">
        <v>1092</v>
      </c>
      <c r="E129" s="2249"/>
      <c r="F129" s="2250"/>
      <c r="G129" s="887" t="s">
        <v>1089</v>
      </c>
      <c r="H129" s="685" t="s">
        <v>1223</v>
      </c>
      <c r="I129" s="832">
        <f>N(H129)</f>
        <v>0</v>
      </c>
      <c r="J129" s="833"/>
    </row>
    <row r="130" spans="2:10" x14ac:dyDescent="0.25">
      <c r="B130" s="831"/>
      <c r="C130" s="888" t="s">
        <v>1091</v>
      </c>
      <c r="D130" s="2248" t="s">
        <v>1090</v>
      </c>
      <c r="E130" s="2249"/>
      <c r="F130" s="2250"/>
      <c r="G130" s="887" t="s">
        <v>1089</v>
      </c>
      <c r="H130" s="685" t="s">
        <v>1223</v>
      </c>
      <c r="I130" s="832">
        <f>N(H130)</f>
        <v>0</v>
      </c>
      <c r="J130" s="833"/>
    </row>
    <row r="131" spans="2:10" x14ac:dyDescent="0.25">
      <c r="B131" s="831"/>
      <c r="C131" s="888" t="s">
        <v>1088</v>
      </c>
      <c r="D131" s="2248" t="s">
        <v>1087</v>
      </c>
      <c r="E131" s="2249"/>
      <c r="F131" s="2250"/>
      <c r="G131" s="887" t="s">
        <v>1247</v>
      </c>
      <c r="H131" s="682">
        <v>0</v>
      </c>
      <c r="I131" s="832">
        <f>N(H131)</f>
        <v>0</v>
      </c>
      <c r="J131" s="833"/>
    </row>
    <row r="132" spans="2:10" x14ac:dyDescent="0.25">
      <c r="B132" s="831"/>
      <c r="C132" s="890" t="s">
        <v>1086</v>
      </c>
      <c r="D132" s="2245" t="s">
        <v>1085</v>
      </c>
      <c r="E132" s="2246"/>
      <c r="F132" s="2247"/>
      <c r="G132" s="891" t="s">
        <v>1248</v>
      </c>
      <c r="H132" s="683">
        <v>0</v>
      </c>
      <c r="I132" s="832">
        <f>N(H132)</f>
        <v>0</v>
      </c>
      <c r="J132" s="833"/>
    </row>
    <row r="133" spans="2:10" x14ac:dyDescent="0.25">
      <c r="B133" s="831"/>
      <c r="C133" s="858"/>
      <c r="D133" s="859"/>
      <c r="E133" s="860"/>
      <c r="F133" s="860"/>
      <c r="G133" s="861" t="s">
        <v>1084</v>
      </c>
      <c r="H133" s="862">
        <f>SUM(I128:I132)</f>
        <v>0</v>
      </c>
      <c r="I133" s="832"/>
      <c r="J133" s="833"/>
    </row>
    <row r="134" spans="2:10" ht="15.75" thickBot="1" x14ac:dyDescent="0.3">
      <c r="B134" s="831"/>
      <c r="C134" s="832"/>
      <c r="D134" s="832"/>
      <c r="E134" s="832"/>
      <c r="F134" s="832"/>
      <c r="G134" s="832"/>
      <c r="H134" s="832"/>
      <c r="I134" s="832"/>
      <c r="J134" s="833"/>
    </row>
    <row r="135" spans="2:10" x14ac:dyDescent="0.25">
      <c r="B135" s="831"/>
      <c r="C135" s="832"/>
      <c r="D135" s="832"/>
      <c r="E135" s="832"/>
      <c r="F135" s="832"/>
      <c r="G135" s="902" t="s">
        <v>1083</v>
      </c>
      <c r="H135" s="903">
        <f>H27</f>
        <v>0</v>
      </c>
      <c r="I135" s="832"/>
      <c r="J135" s="833"/>
    </row>
    <row r="136" spans="2:10" x14ac:dyDescent="0.25">
      <c r="B136" s="831"/>
      <c r="C136" s="832"/>
      <c r="D136" s="832"/>
      <c r="E136" s="832"/>
      <c r="F136" s="832"/>
      <c r="G136" s="904" t="s">
        <v>1082</v>
      </c>
      <c r="H136" s="905">
        <f>H42</f>
        <v>13</v>
      </c>
      <c r="I136" s="832"/>
      <c r="J136" s="833"/>
    </row>
    <row r="137" spans="2:10" x14ac:dyDescent="0.25">
      <c r="B137" s="831"/>
      <c r="C137" s="832"/>
      <c r="D137" s="832"/>
      <c r="E137" s="832"/>
      <c r="F137" s="832"/>
      <c r="G137" s="904" t="s">
        <v>1081</v>
      </c>
      <c r="H137" s="905">
        <f>H54</f>
        <v>10</v>
      </c>
      <c r="I137" s="832"/>
      <c r="J137" s="833"/>
    </row>
    <row r="138" spans="2:10" x14ac:dyDescent="0.25">
      <c r="B138" s="831"/>
      <c r="C138" s="832"/>
      <c r="D138" s="832"/>
      <c r="E138" s="832"/>
      <c r="F138" s="832"/>
      <c r="G138" s="904" t="s">
        <v>1080</v>
      </c>
      <c r="H138" s="905">
        <f>H61</f>
        <v>4</v>
      </c>
      <c r="I138" s="832"/>
      <c r="J138" s="833"/>
    </row>
    <row r="139" spans="2:10" x14ac:dyDescent="0.25">
      <c r="B139" s="831"/>
      <c r="C139" s="832"/>
      <c r="D139" s="832"/>
      <c r="E139" s="832"/>
      <c r="F139" s="832"/>
      <c r="G139" s="904" t="s">
        <v>1079</v>
      </c>
      <c r="H139" s="905">
        <f>H84</f>
        <v>10</v>
      </c>
      <c r="I139" s="832"/>
      <c r="J139" s="833"/>
    </row>
    <row r="140" spans="2:10" x14ac:dyDescent="0.25">
      <c r="B140" s="831"/>
      <c r="C140" s="832"/>
      <c r="D140" s="832"/>
      <c r="E140" s="832"/>
      <c r="F140" s="832"/>
      <c r="G140" s="904" t="s">
        <v>1078</v>
      </c>
      <c r="H140" s="905">
        <f>H97</f>
        <v>5.5</v>
      </c>
      <c r="I140" s="832"/>
      <c r="J140" s="833"/>
    </row>
    <row r="141" spans="2:10" x14ac:dyDescent="0.25">
      <c r="B141" s="831"/>
      <c r="C141" s="832"/>
      <c r="D141" s="832"/>
      <c r="E141" s="832"/>
      <c r="F141" s="832"/>
      <c r="G141" s="904" t="s">
        <v>1077</v>
      </c>
      <c r="H141" s="905">
        <f>H124</f>
        <v>13</v>
      </c>
      <c r="I141" s="832"/>
      <c r="J141" s="833"/>
    </row>
    <row r="142" spans="2:10" ht="15.75" thickBot="1" x14ac:dyDescent="0.3">
      <c r="B142" s="831"/>
      <c r="C142" s="832"/>
      <c r="D142" s="832"/>
      <c r="E142" s="832"/>
      <c r="F142" s="832"/>
      <c r="G142" s="906" t="s">
        <v>1076</v>
      </c>
      <c r="H142" s="907">
        <f>H133</f>
        <v>0</v>
      </c>
      <c r="I142" s="832"/>
      <c r="J142" s="833"/>
    </row>
    <row r="143" spans="2:10" ht="16.5" thickTop="1" thickBot="1" x14ac:dyDescent="0.3">
      <c r="B143" s="831"/>
      <c r="C143" s="832"/>
      <c r="D143" s="832"/>
      <c r="E143" s="832"/>
      <c r="F143" s="832"/>
      <c r="G143" s="908" t="s">
        <v>1075</v>
      </c>
      <c r="H143" s="909">
        <f>SUM(H135:H142)</f>
        <v>55.5</v>
      </c>
      <c r="I143" s="832"/>
      <c r="J143" s="833"/>
    </row>
    <row r="144" spans="2:10" ht="9" customHeight="1" thickBot="1" x14ac:dyDescent="0.3">
      <c r="B144" s="892"/>
      <c r="C144" s="894"/>
      <c r="D144" s="894"/>
      <c r="E144" s="894"/>
      <c r="F144" s="894"/>
      <c r="G144" s="894"/>
      <c r="H144" s="894"/>
      <c r="I144" s="894"/>
      <c r="J144" s="896"/>
    </row>
  </sheetData>
  <sheetProtection algorithmName="SHA-512" hashValue="Sj17PtNRorUOWr5aJCMCp9z/z4GpHWO7XodSAGKM+TLx8jgRON0Y2VabYXlzzZcWLbJH516JZzFB/cXEnjxsQg==" saltValue="R1Ucop6QqvzguL+EiC/WUw==" spinCount="100000" sheet="1" objects="1" scenarios="1" formatCells="0" formatColumns="0" formatRows="0"/>
  <dataConsolidate link="1"/>
  <mergeCells count="79">
    <mergeCell ref="D34:F34"/>
    <mergeCell ref="D25:F25"/>
    <mergeCell ref="D26:F26"/>
    <mergeCell ref="D31:F31"/>
    <mergeCell ref="D32:F32"/>
    <mergeCell ref="D33:F33"/>
    <mergeCell ref="D50:F50"/>
    <mergeCell ref="D35:F35"/>
    <mergeCell ref="D36:F36"/>
    <mergeCell ref="D37:F37"/>
    <mergeCell ref="D38:F38"/>
    <mergeCell ref="D39:F39"/>
    <mergeCell ref="D40:F40"/>
    <mergeCell ref="D41:F41"/>
    <mergeCell ref="D46:F46"/>
    <mergeCell ref="D47:F47"/>
    <mergeCell ref="D48:F48"/>
    <mergeCell ref="D49:F49"/>
    <mergeCell ref="D71:F71"/>
    <mergeCell ref="D51:F51"/>
    <mergeCell ref="D52:F52"/>
    <mergeCell ref="D53:F53"/>
    <mergeCell ref="D58:F58"/>
    <mergeCell ref="D59:F59"/>
    <mergeCell ref="D60:F60"/>
    <mergeCell ref="D66:F66"/>
    <mergeCell ref="D67:F67"/>
    <mergeCell ref="D68:F68"/>
    <mergeCell ref="D69:F69"/>
    <mergeCell ref="D70:F70"/>
    <mergeCell ref="D103:F103"/>
    <mergeCell ref="D83:F83"/>
    <mergeCell ref="D72:F72"/>
    <mergeCell ref="D73:F73"/>
    <mergeCell ref="D74:F74"/>
    <mergeCell ref="D75:F75"/>
    <mergeCell ref="D76:F76"/>
    <mergeCell ref="D77:F77"/>
    <mergeCell ref="D78:F78"/>
    <mergeCell ref="D79:F79"/>
    <mergeCell ref="D80:F80"/>
    <mergeCell ref="D81:F81"/>
    <mergeCell ref="D82:F82"/>
    <mergeCell ref="D93:F93"/>
    <mergeCell ref="D94:F94"/>
    <mergeCell ref="D95:F95"/>
    <mergeCell ref="D96:F96"/>
    <mergeCell ref="D102:F102"/>
    <mergeCell ref="D88:F88"/>
    <mergeCell ref="D89:F89"/>
    <mergeCell ref="D90:F90"/>
    <mergeCell ref="D91:F91"/>
    <mergeCell ref="D92:F92"/>
    <mergeCell ref="D112:F112"/>
    <mergeCell ref="D113:F113"/>
    <mergeCell ref="D114:F114"/>
    <mergeCell ref="D115:F115"/>
    <mergeCell ref="D104:F104"/>
    <mergeCell ref="D107:F107"/>
    <mergeCell ref="D108:F108"/>
    <mergeCell ref="D109:F109"/>
    <mergeCell ref="D110:F110"/>
    <mergeCell ref="D111:F111"/>
    <mergeCell ref="C13:H13"/>
    <mergeCell ref="D132:F132"/>
    <mergeCell ref="D117:F117"/>
    <mergeCell ref="D118:F118"/>
    <mergeCell ref="D119:F119"/>
    <mergeCell ref="D120:F120"/>
    <mergeCell ref="D121:F121"/>
    <mergeCell ref="D122:F122"/>
    <mergeCell ref="D123:F123"/>
    <mergeCell ref="D128:F128"/>
    <mergeCell ref="D129:F129"/>
    <mergeCell ref="D130:F130"/>
    <mergeCell ref="D131:F131"/>
    <mergeCell ref="D116:F116"/>
    <mergeCell ref="D105:F105"/>
    <mergeCell ref="D106:F106"/>
  </mergeCells>
  <conditionalFormatting sqref="E20:E21 C21">
    <cfRule type="expression" dxfId="78" priority="64">
      <formula>$D$19&lt;&gt;"Rehab"</formula>
    </cfRule>
  </conditionalFormatting>
  <conditionalFormatting sqref="F20:F21 D21">
    <cfRule type="expression" dxfId="77" priority="63">
      <formula>$D$19&lt;&gt;"Rehab"</formula>
    </cfRule>
  </conditionalFormatting>
  <conditionalFormatting sqref="H25">
    <cfRule type="expression" dxfId="76" priority="60">
      <formula>$H$25&lt;&gt;"X"</formula>
    </cfRule>
  </conditionalFormatting>
  <conditionalFormatting sqref="H31">
    <cfRule type="expression" dxfId="75" priority="59">
      <formula>$H$31&lt;&gt;"X"</formula>
    </cfRule>
  </conditionalFormatting>
  <conditionalFormatting sqref="H33">
    <cfRule type="expression" dxfId="74" priority="58">
      <formula>$H$33&lt;&gt;"X"</formula>
    </cfRule>
  </conditionalFormatting>
  <conditionalFormatting sqref="H46">
    <cfRule type="expression" dxfId="73" priority="57">
      <formula>$H$46&lt;&gt;"X"</formula>
    </cfRule>
  </conditionalFormatting>
  <conditionalFormatting sqref="H58">
    <cfRule type="expression" dxfId="72" priority="52">
      <formula>$H$25&lt;&gt;"X"</formula>
    </cfRule>
  </conditionalFormatting>
  <conditionalFormatting sqref="H47">
    <cfRule type="expression" dxfId="71" priority="35">
      <formula>H47&lt;&gt;"X"</formula>
    </cfRule>
  </conditionalFormatting>
  <conditionalFormatting sqref="H48">
    <cfRule type="expression" dxfId="70" priority="33">
      <formula>H48&lt;&gt;"X"</formula>
    </cfRule>
  </conditionalFormatting>
  <conditionalFormatting sqref="H51">
    <cfRule type="expression" dxfId="69" priority="32">
      <formula>H51&lt;&gt;"X"</formula>
    </cfRule>
  </conditionalFormatting>
  <conditionalFormatting sqref="H70">
    <cfRule type="expression" dxfId="68" priority="31">
      <formula>H70&lt;&gt;"X"</formula>
    </cfRule>
  </conditionalFormatting>
  <conditionalFormatting sqref="H71">
    <cfRule type="expression" dxfId="67" priority="30">
      <formula>H71&lt;&gt;"X"</formula>
    </cfRule>
  </conditionalFormatting>
  <conditionalFormatting sqref="H73">
    <cfRule type="expression" dxfId="66" priority="29">
      <formula>H73&lt;&gt;"X"</formula>
    </cfRule>
  </conditionalFormatting>
  <conditionalFormatting sqref="H79">
    <cfRule type="expression" dxfId="65" priority="28">
      <formula>H79&lt;&gt;"X"</formula>
    </cfRule>
  </conditionalFormatting>
  <conditionalFormatting sqref="H89">
    <cfRule type="expression" dxfId="64" priority="27">
      <formula>H89&lt;&gt;"X"</formula>
    </cfRule>
  </conditionalFormatting>
  <conditionalFormatting sqref="H103">
    <cfRule type="expression" dxfId="63" priority="26">
      <formula>H103&lt;&gt;"X"</formula>
    </cfRule>
  </conditionalFormatting>
  <conditionalFormatting sqref="H109:H112">
    <cfRule type="expression" dxfId="62" priority="25">
      <formula>H109&lt;&gt;"X"</formula>
    </cfRule>
  </conditionalFormatting>
  <conditionalFormatting sqref="H114:H118">
    <cfRule type="expression" dxfId="61" priority="24">
      <formula>H114&lt;&gt;"X"</formula>
    </cfRule>
  </conditionalFormatting>
  <conditionalFormatting sqref="H120:H122">
    <cfRule type="expression" dxfId="60" priority="23">
      <formula>H120&lt;&gt;"X"</formula>
    </cfRule>
  </conditionalFormatting>
  <conditionalFormatting sqref="H129">
    <cfRule type="expression" dxfId="59" priority="22">
      <formula>H129&lt;&gt;"X"</formula>
    </cfRule>
  </conditionalFormatting>
  <conditionalFormatting sqref="H130">
    <cfRule type="expression" dxfId="58" priority="21">
      <formula>H130&lt;&gt;"X"</formula>
    </cfRule>
  </conditionalFormatting>
  <conditionalFormatting sqref="H128">
    <cfRule type="expression" dxfId="57" priority="20">
      <formula>H128&lt;&gt;"X"</formula>
    </cfRule>
  </conditionalFormatting>
  <conditionalFormatting sqref="H102">
    <cfRule type="expression" dxfId="56" priority="19">
      <formula>H102&lt;&gt;"X"</formula>
    </cfRule>
  </conditionalFormatting>
  <conditionalFormatting sqref="H88">
    <cfRule type="expression" dxfId="55" priority="18">
      <formula>H88&lt;&gt;"X"</formula>
    </cfRule>
  </conditionalFormatting>
  <conditionalFormatting sqref="H53">
    <cfRule type="expression" dxfId="54" priority="17">
      <formula>H53&lt;&gt;"X"</formula>
    </cfRule>
  </conditionalFormatting>
  <conditionalFormatting sqref="H81:H83">
    <cfRule type="expression" dxfId="53" priority="16">
      <formula>$H$69=5</formula>
    </cfRule>
  </conditionalFormatting>
  <conditionalFormatting sqref="H80">
    <cfRule type="expression" dxfId="52" priority="15">
      <formula>(AND(H68&lt;&gt;"n/a",H68&lt;&gt;0))</formula>
    </cfRule>
  </conditionalFormatting>
  <conditionalFormatting sqref="H78">
    <cfRule type="expression" dxfId="51" priority="14">
      <formula>(AND(H68&lt;&gt;"n/a",H66&lt;&gt;0))</formula>
    </cfRule>
  </conditionalFormatting>
  <conditionalFormatting sqref="H76">
    <cfRule type="expression" dxfId="50" priority="13">
      <formula>(AND(H68&lt;&gt;"n/a",H68&lt;&gt;0))</formula>
    </cfRule>
  </conditionalFormatting>
  <conditionalFormatting sqref="H19">
    <cfRule type="expression" dxfId="49" priority="12">
      <formula>$H$19&lt;&gt;""</formula>
    </cfRule>
  </conditionalFormatting>
  <conditionalFormatting sqref="H21">
    <cfRule type="expression" dxfId="48" priority="4">
      <formula>$H$21&lt;&gt;""</formula>
    </cfRule>
  </conditionalFormatting>
  <conditionalFormatting sqref="D17:H17">
    <cfRule type="expression" dxfId="47" priority="2">
      <formula>$D$17="Rural"</formula>
    </cfRule>
    <cfRule type="expression" dxfId="46" priority="3">
      <formula>$D$17="Urban"</formula>
    </cfRule>
  </conditionalFormatting>
  <conditionalFormatting sqref="H128:H130 H120:H122 H114:H118 H109:H112 H102:H103 H88:H89 H79 H73 H70:H71 H58 H53 H51 H46:H48 H33 H31 H25">
    <cfRule type="cellIs" dxfId="45" priority="1" operator="notEqual">
      <formula>"X"</formula>
    </cfRule>
  </conditionalFormatting>
  <dataValidations count="5">
    <dataValidation type="date" operator="greaterThan" allowBlank="1" showInputMessage="1" showErrorMessage="1" errorTitle="Incorrect Date/Format" error="Please enter a date in the format mm/dd/yyyy." sqref="F16:G16 C16:D16">
      <formula1>39630</formula1>
    </dataValidation>
    <dataValidation type="list" allowBlank="1" showInputMessage="1" showErrorMessage="1" sqref="D17:D18">
      <formula1>"Select…,Urban,Rural"</formula1>
    </dataValidation>
    <dataValidation type="list" allowBlank="1" showInputMessage="1" showErrorMessage="1" sqref="D19:D20">
      <formula1>"Select…,New Construction,Rehab"</formula1>
    </dataValidation>
    <dataValidation type="list" allowBlank="1" showInputMessage="1" showErrorMessage="1" sqref="D21 F20">
      <formula1>"Select…,Moderate,Substantial"</formula1>
    </dataValidation>
    <dataValidation type="list" allowBlank="1" showInputMessage="1" showErrorMessage="1" sqref="H25 H31 H33 H46 H47 H48 H51 H53 H58 H70 H71 H73 H79 H88 H89 H102 H103 H109:H112 H114:H118 H120 H121 H122 H128 H129 H130">
      <formula1>"X,n/a"</formula1>
    </dataValidation>
  </dataValidations>
  <printOptions horizontalCentered="1"/>
  <pageMargins left="0.7" right="0.7" top="0.75" bottom="0.75" header="0.3" footer="0.3"/>
  <pageSetup scale="63" fitToHeight="2" orientation="portrait" r:id="rId1"/>
  <headerFooter>
    <oddFooter>&amp;LForm 2C
Evergreen Standard Checklist
(ESDS v2.2)&amp;CCFA Forms&amp;REdition: 2015
Version: 1.0</oddFooter>
  </headerFooter>
  <rowBreaks count="1" manualBreakCount="1">
    <brk id="85" min="1" max="9"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0:N144"/>
  <sheetViews>
    <sheetView showGridLines="0" view="pageBreakPreview" zoomScale="60" zoomScaleNormal="100" zoomScalePageLayoutView="70" workbookViewId="0">
      <selection activeCell="J32" sqref="J32"/>
    </sheetView>
  </sheetViews>
  <sheetFormatPr defaultColWidth="9.140625" defaultRowHeight="15" x14ac:dyDescent="0.25"/>
  <cols>
    <col min="1" max="2" width="1.7109375" style="821" customWidth="1"/>
    <col min="3" max="3" width="16.85546875" style="821" customWidth="1"/>
    <col min="4" max="5" width="21.42578125" style="821" customWidth="1"/>
    <col min="6" max="6" width="29.7109375" style="821" customWidth="1"/>
    <col min="7" max="7" width="39.28515625" style="821" customWidth="1"/>
    <col min="8" max="8" width="8.42578125" style="821" bestFit="1" customWidth="1"/>
    <col min="9" max="9" width="3.28515625" style="821" hidden="1" customWidth="1"/>
    <col min="10" max="11" width="1.7109375" style="821" customWidth="1"/>
    <col min="12" max="16384" width="9.140625" style="821"/>
  </cols>
  <sheetData>
    <row r="10" spans="2:14" ht="6.75" customHeight="1" x14ac:dyDescent="0.25"/>
    <row r="11" spans="2:14" ht="6.75" customHeight="1" thickBot="1" x14ac:dyDescent="0.3"/>
    <row r="12" spans="2:14" s="822" customFormat="1" ht="7.5" customHeight="1" x14ac:dyDescent="0.25">
      <c r="B12" s="828"/>
      <c r="C12" s="829"/>
      <c r="D12" s="829"/>
      <c r="E12" s="829"/>
      <c r="F12" s="829"/>
      <c r="G12" s="829"/>
      <c r="H12" s="829"/>
      <c r="I12" s="829"/>
      <c r="J12" s="830"/>
    </row>
    <row r="13" spans="2:14" s="822" customFormat="1" ht="18.75" x14ac:dyDescent="0.3">
      <c r="B13" s="831"/>
      <c r="C13" s="2244" t="s">
        <v>1260</v>
      </c>
      <c r="D13" s="2244"/>
      <c r="E13" s="2244"/>
      <c r="F13" s="2244"/>
      <c r="G13" s="2244"/>
      <c r="H13" s="2244"/>
      <c r="I13" s="832"/>
      <c r="J13" s="833"/>
    </row>
    <row r="14" spans="2:14" s="822" customFormat="1" ht="15.75" thickBot="1" x14ac:dyDescent="0.3">
      <c r="B14" s="831"/>
      <c r="C14" s="832"/>
      <c r="D14" s="832"/>
      <c r="E14" s="832"/>
      <c r="F14" s="832"/>
      <c r="G14" s="832"/>
      <c r="H14" s="832"/>
      <c r="I14" s="832"/>
      <c r="J14" s="833"/>
    </row>
    <row r="15" spans="2:14" s="822" customFormat="1" ht="15" customHeight="1" thickBot="1" x14ac:dyDescent="0.3">
      <c r="B15" s="831"/>
      <c r="C15" s="832" t="s">
        <v>1</v>
      </c>
      <c r="D15" s="1647" t="str">
        <f>IF('1A'!G5="","Enter Project Name on Form 1A",'1A'!G9)</f>
        <v>Building 9 North (9%)</v>
      </c>
      <c r="E15" s="835"/>
      <c r="F15" s="835"/>
      <c r="G15" s="836" t="s">
        <v>1259</v>
      </c>
      <c r="H15" s="837">
        <f>H143</f>
        <v>55.5</v>
      </c>
      <c r="I15" s="979"/>
      <c r="J15" s="1029"/>
      <c r="K15" s="823"/>
      <c r="L15" s="823"/>
      <c r="M15" s="823"/>
      <c r="N15" s="823"/>
    </row>
    <row r="16" spans="2:14" s="822" customFormat="1" ht="7.5" customHeight="1" x14ac:dyDescent="0.25">
      <c r="B16" s="831"/>
      <c r="C16" s="840"/>
      <c r="D16" s="840"/>
      <c r="E16" s="832"/>
      <c r="F16" s="840"/>
      <c r="G16" s="840"/>
      <c r="H16" s="832"/>
      <c r="I16" s="832"/>
      <c r="J16" s="833"/>
    </row>
    <row r="17" spans="2:14" x14ac:dyDescent="0.25">
      <c r="B17" s="831"/>
      <c r="C17" s="841" t="s">
        <v>1220</v>
      </c>
      <c r="D17" s="1519" t="s">
        <v>1399</v>
      </c>
      <c r="E17" s="832"/>
      <c r="F17" s="841"/>
      <c r="G17" s="842"/>
      <c r="H17" s="842"/>
      <c r="I17" s="841"/>
      <c r="J17" s="843"/>
    </row>
    <row r="18" spans="2:14" ht="3.75" customHeight="1" x14ac:dyDescent="0.25">
      <c r="B18" s="831"/>
      <c r="C18" s="841"/>
      <c r="D18" s="844"/>
      <c r="E18" s="832"/>
      <c r="F18" s="841"/>
      <c r="G18" s="841"/>
      <c r="H18" s="841"/>
      <c r="I18" s="841"/>
      <c r="J18" s="843"/>
    </row>
    <row r="19" spans="2:14" x14ac:dyDescent="0.25">
      <c r="B19" s="831"/>
      <c r="C19" s="841" t="s">
        <v>1221</v>
      </c>
      <c r="D19" s="1520" t="s">
        <v>26</v>
      </c>
      <c r="E19" s="842"/>
      <c r="F19" s="842"/>
      <c r="G19" s="845"/>
      <c r="H19" s="846"/>
      <c r="I19" s="841"/>
      <c r="J19" s="843"/>
    </row>
    <row r="20" spans="2:14" ht="3.75" customHeight="1" x14ac:dyDescent="0.25">
      <c r="B20" s="831"/>
      <c r="C20" s="841"/>
      <c r="D20" s="841"/>
      <c r="E20" s="847"/>
      <c r="F20" s="841"/>
      <c r="G20" s="845"/>
      <c r="H20" s="846"/>
      <c r="I20" s="841"/>
      <c r="J20" s="843"/>
    </row>
    <row r="21" spans="2:14" x14ac:dyDescent="0.25">
      <c r="B21" s="831"/>
      <c r="C21" s="847" t="s">
        <v>1222</v>
      </c>
      <c r="D21" s="824" t="s">
        <v>1265</v>
      </c>
      <c r="E21" s="847"/>
      <c r="F21" s="841"/>
      <c r="G21" s="845"/>
      <c r="H21" s="846"/>
      <c r="I21" s="841"/>
      <c r="J21" s="843"/>
    </row>
    <row r="22" spans="2:14" ht="3.75" customHeight="1" x14ac:dyDescent="0.25">
      <c r="B22" s="831"/>
      <c r="C22" s="841"/>
      <c r="D22" s="841"/>
      <c r="E22" s="841"/>
      <c r="F22" s="841"/>
      <c r="G22" s="841"/>
      <c r="H22" s="841"/>
      <c r="I22" s="841"/>
      <c r="J22" s="843"/>
    </row>
    <row r="23" spans="2:14" x14ac:dyDescent="0.25">
      <c r="B23" s="831"/>
      <c r="C23" s="848" t="s">
        <v>1209</v>
      </c>
      <c r="D23" s="848"/>
      <c r="E23" s="848"/>
      <c r="F23" s="848"/>
      <c r="G23" s="842"/>
      <c r="H23" s="842"/>
      <c r="I23" s="832"/>
      <c r="J23" s="833"/>
    </row>
    <row r="24" spans="2:14" x14ac:dyDescent="0.25">
      <c r="B24" s="831"/>
      <c r="C24" s="1422" t="s">
        <v>1230</v>
      </c>
      <c r="D24" s="1423" t="s">
        <v>1231</v>
      </c>
      <c r="E24" s="1424"/>
      <c r="F24" s="1424"/>
      <c r="G24" s="1425" t="s">
        <v>1097</v>
      </c>
      <c r="H24" s="1426" t="s">
        <v>1096</v>
      </c>
      <c r="I24" s="832"/>
      <c r="J24" s="833"/>
      <c r="N24" s="825"/>
    </row>
    <row r="25" spans="2:14" x14ac:dyDescent="0.25">
      <c r="B25" s="831"/>
      <c r="C25" s="854">
        <v>1.1000000000000001</v>
      </c>
      <c r="D25" s="2287" t="s">
        <v>1208</v>
      </c>
      <c r="E25" s="2288"/>
      <c r="F25" s="2289"/>
      <c r="G25" s="855" t="s">
        <v>1089</v>
      </c>
      <c r="H25" s="677" t="s">
        <v>1223</v>
      </c>
      <c r="I25" s="832">
        <f>N(H25)</f>
        <v>0</v>
      </c>
      <c r="J25" s="833"/>
    </row>
    <row r="26" spans="2:14" x14ac:dyDescent="0.25">
      <c r="B26" s="831"/>
      <c r="C26" s="856">
        <v>1.2</v>
      </c>
      <c r="D26" s="2290" t="s">
        <v>1207</v>
      </c>
      <c r="E26" s="2291"/>
      <c r="F26" s="2292"/>
      <c r="G26" s="857" t="s">
        <v>1236</v>
      </c>
      <c r="H26" s="678"/>
      <c r="I26" s="832">
        <f>N(H26)</f>
        <v>0</v>
      </c>
      <c r="J26" s="833"/>
    </row>
    <row r="27" spans="2:14" x14ac:dyDescent="0.25">
      <c r="B27" s="831"/>
      <c r="C27" s="858" t="s">
        <v>35</v>
      </c>
      <c r="D27" s="859"/>
      <c r="E27" s="860"/>
      <c r="F27" s="860"/>
      <c r="G27" s="861" t="s">
        <v>1206</v>
      </c>
      <c r="H27" s="862">
        <f>SUM(I25:I26)</f>
        <v>0</v>
      </c>
      <c r="I27" s="832"/>
      <c r="J27" s="833"/>
    </row>
    <row r="28" spans="2:14" s="822" customFormat="1" ht="7.5" customHeight="1" x14ac:dyDescent="0.25">
      <c r="B28" s="831"/>
      <c r="C28" s="863"/>
      <c r="D28" s="863"/>
      <c r="E28" s="863"/>
      <c r="F28" s="863"/>
      <c r="G28" s="864"/>
      <c r="H28" s="865"/>
      <c r="I28" s="832"/>
      <c r="J28" s="833"/>
    </row>
    <row r="29" spans="2:14" s="822" customFormat="1" x14ac:dyDescent="0.25">
      <c r="B29" s="831"/>
      <c r="C29" s="1278" t="s">
        <v>1205</v>
      </c>
      <c r="D29" s="1278"/>
      <c r="E29" s="1278"/>
      <c r="F29" s="1278"/>
      <c r="G29" s="864"/>
      <c r="H29" s="832"/>
      <c r="I29" s="832"/>
      <c r="J29" s="833"/>
    </row>
    <row r="30" spans="2:14" x14ac:dyDescent="0.25">
      <c r="B30" s="831"/>
      <c r="C30" s="1422" t="s">
        <v>1230</v>
      </c>
      <c r="D30" s="1423" t="s">
        <v>1231</v>
      </c>
      <c r="E30" s="1424"/>
      <c r="F30" s="1424"/>
      <c r="G30" s="1425" t="s">
        <v>1097</v>
      </c>
      <c r="H30" s="1426" t="s">
        <v>1096</v>
      </c>
      <c r="I30" s="832"/>
      <c r="J30" s="833"/>
    </row>
    <row r="31" spans="2:14" x14ac:dyDescent="0.25">
      <c r="B31" s="831"/>
      <c r="C31" s="867">
        <v>2.1</v>
      </c>
      <c r="D31" s="2286" t="s">
        <v>1204</v>
      </c>
      <c r="E31" s="2252"/>
      <c r="F31" s="2279"/>
      <c r="G31" s="855" t="s">
        <v>1089</v>
      </c>
      <c r="H31" s="677" t="s">
        <v>1223</v>
      </c>
      <c r="I31" s="832">
        <f t="shared" ref="I31:I41" si="0">N(H31)</f>
        <v>0</v>
      </c>
      <c r="J31" s="833"/>
    </row>
    <row r="32" spans="2:14" x14ac:dyDescent="0.25">
      <c r="B32" s="831"/>
      <c r="C32" s="868">
        <v>2.2000000000000002</v>
      </c>
      <c r="D32" s="2275" t="s">
        <v>1203</v>
      </c>
      <c r="E32" s="2249"/>
      <c r="F32" s="2276"/>
      <c r="G32" s="869" t="str">
        <f>IF(D17&lt;&gt;"Select…",(IF((CONCATENATE(D17,"-",D19))="Rural-New Construction","0 or 2",(IF(CONCATENATE(D17,"-",D19)="Urban-New Construction","Mandatory","n/a")))),"&lt;SELECT REGION AND ACTIVITY&gt; ")</f>
        <v>n/a</v>
      </c>
      <c r="H32" s="685" t="str">
        <f>IF(G32="n/a","n/a",IF(G32="Mandatory","X"," "))</f>
        <v>n/a</v>
      </c>
      <c r="I32" s="832">
        <f t="shared" si="0"/>
        <v>0</v>
      </c>
      <c r="J32" s="870"/>
    </row>
    <row r="33" spans="2:10" x14ac:dyDescent="0.25">
      <c r="B33" s="831"/>
      <c r="C33" s="868">
        <v>2.2999999999999998</v>
      </c>
      <c r="D33" s="2275" t="s">
        <v>1202</v>
      </c>
      <c r="E33" s="2249"/>
      <c r="F33" s="2276"/>
      <c r="G33" s="869" t="s">
        <v>1089</v>
      </c>
      <c r="H33" s="685" t="s">
        <v>1223</v>
      </c>
      <c r="I33" s="832">
        <f t="shared" si="0"/>
        <v>0</v>
      </c>
      <c r="J33" s="833"/>
    </row>
    <row r="34" spans="2:10" x14ac:dyDescent="0.25">
      <c r="B34" s="831"/>
      <c r="C34" s="868">
        <v>2.4</v>
      </c>
      <c r="D34" s="2275" t="s">
        <v>1201</v>
      </c>
      <c r="E34" s="2249"/>
      <c r="F34" s="2276"/>
      <c r="G34" s="869" t="s">
        <v>1237</v>
      </c>
      <c r="H34" s="679">
        <v>0</v>
      </c>
      <c r="I34" s="832">
        <f t="shared" si="0"/>
        <v>0</v>
      </c>
      <c r="J34" s="833"/>
    </row>
    <row r="35" spans="2:10" ht="15" customHeight="1" x14ac:dyDescent="0.25">
      <c r="B35" s="831"/>
      <c r="C35" s="868">
        <v>2.5</v>
      </c>
      <c r="D35" s="2275" t="s">
        <v>1200</v>
      </c>
      <c r="E35" s="2249"/>
      <c r="F35" s="2276"/>
      <c r="G35" s="869" t="str">
        <f>IF(D17&lt;&gt;"Select…",IF((CONCATENATE(D17,"-",D19))="Rural-New Construction","Mandatory and optional 5",(IF(CONCATENATE(D17,"-",D19)="Urban-Rehab","0 or 7","Mandatory and optional 5"))),"&lt;SELECT REGION AND ACTIVITY&gt;")</f>
        <v>0 or 7</v>
      </c>
      <c r="H35" s="679">
        <v>0</v>
      </c>
      <c r="I35" s="832">
        <f t="shared" si="0"/>
        <v>0</v>
      </c>
      <c r="J35" s="833"/>
    </row>
    <row r="36" spans="2:10" x14ac:dyDescent="0.25">
      <c r="B36" s="831"/>
      <c r="C36" s="868">
        <v>2.6</v>
      </c>
      <c r="D36" s="2275" t="s">
        <v>1199</v>
      </c>
      <c r="E36" s="2249"/>
      <c r="F36" s="2276"/>
      <c r="G36" s="869" t="s">
        <v>1238</v>
      </c>
      <c r="H36" s="679">
        <v>1</v>
      </c>
      <c r="I36" s="832">
        <f t="shared" si="0"/>
        <v>1</v>
      </c>
      <c r="J36" s="833"/>
    </row>
    <row r="37" spans="2:10" x14ac:dyDescent="0.25">
      <c r="B37" s="831"/>
      <c r="C37" s="871" t="s">
        <v>1217</v>
      </c>
      <c r="D37" s="2283" t="s">
        <v>1216</v>
      </c>
      <c r="E37" s="2249"/>
      <c r="F37" s="2276"/>
      <c r="G37" s="869" t="str">
        <f>IF(D17&lt;&gt;"Select…",IF(D17="Urban","Mandatory","n/a"),"&lt;SELECT REGION AND ACTIVITY&gt;")</f>
        <v>Mandatory</v>
      </c>
      <c r="H37" s="679" t="str">
        <f>IF(G37&lt;&gt;"&lt;SELECT REGION AND ACTIVITY&gt;",IF(D17="Urban","X","n/a"),"")</f>
        <v>X</v>
      </c>
      <c r="I37" s="832">
        <f t="shared" si="0"/>
        <v>0</v>
      </c>
      <c r="J37" s="833"/>
    </row>
    <row r="38" spans="2:10" s="826" customFormat="1" x14ac:dyDescent="0.25">
      <c r="B38" s="872"/>
      <c r="C38" s="868" t="s">
        <v>1198</v>
      </c>
      <c r="D38" s="2284" t="s">
        <v>1197</v>
      </c>
      <c r="E38" s="2261"/>
      <c r="F38" s="2285"/>
      <c r="G38" s="869" t="str">
        <f>IF(D17&lt;&gt;"Select…",IF(D17="Urban","n/a (3 or 5 if Tribal)","0, 3 or 5"),"&lt;SELECT REGION AND ACTIVITY&gt;")</f>
        <v>n/a (3 or 5 if Tribal)</v>
      </c>
      <c r="H38" s="679" t="str">
        <f>IF(D17="Urban","n/a","")</f>
        <v>n/a</v>
      </c>
      <c r="I38" s="832">
        <f t="shared" si="0"/>
        <v>0</v>
      </c>
      <c r="J38" s="873"/>
    </row>
    <row r="39" spans="2:10" x14ac:dyDescent="0.25">
      <c r="B39" s="831"/>
      <c r="C39" s="868">
        <v>2.8</v>
      </c>
      <c r="D39" s="2275" t="s">
        <v>1196</v>
      </c>
      <c r="E39" s="2249"/>
      <c r="F39" s="2276"/>
      <c r="G39" s="869" t="s">
        <v>1241</v>
      </c>
      <c r="H39" s="679">
        <v>2</v>
      </c>
      <c r="I39" s="832">
        <f t="shared" si="0"/>
        <v>2</v>
      </c>
      <c r="J39" s="833"/>
    </row>
    <row r="40" spans="2:10" x14ac:dyDescent="0.25">
      <c r="B40" s="831"/>
      <c r="C40" s="868">
        <v>2.9</v>
      </c>
      <c r="D40" s="2275" t="s">
        <v>1195</v>
      </c>
      <c r="E40" s="2249"/>
      <c r="F40" s="2276"/>
      <c r="G40" s="869" t="s">
        <v>1239</v>
      </c>
      <c r="H40" s="679">
        <v>10</v>
      </c>
      <c r="I40" s="832">
        <f t="shared" si="0"/>
        <v>10</v>
      </c>
      <c r="J40" s="833"/>
    </row>
    <row r="41" spans="2:10" x14ac:dyDescent="0.25">
      <c r="B41" s="831"/>
      <c r="C41" s="874" t="s">
        <v>1194</v>
      </c>
      <c r="D41" s="2277" t="s">
        <v>1193</v>
      </c>
      <c r="E41" s="2246"/>
      <c r="F41" s="2278"/>
      <c r="G41" s="857" t="s">
        <v>1238</v>
      </c>
      <c r="H41" s="679">
        <v>0</v>
      </c>
      <c r="I41" s="832">
        <f t="shared" si="0"/>
        <v>0</v>
      </c>
      <c r="J41" s="833"/>
    </row>
    <row r="42" spans="2:10" x14ac:dyDescent="0.25">
      <c r="B42" s="831"/>
      <c r="C42" s="858" t="s">
        <v>35</v>
      </c>
      <c r="D42" s="859"/>
      <c r="E42" s="860"/>
      <c r="F42" s="860"/>
      <c r="G42" s="861" t="s">
        <v>1192</v>
      </c>
      <c r="H42" s="862">
        <f>SUM(I31:I41)</f>
        <v>13</v>
      </c>
      <c r="I42" s="832"/>
      <c r="J42" s="833"/>
    </row>
    <row r="43" spans="2:10" s="822" customFormat="1" ht="7.5" customHeight="1" x14ac:dyDescent="0.25">
      <c r="B43" s="831"/>
      <c r="C43" s="863"/>
      <c r="D43" s="865"/>
      <c r="E43" s="863"/>
      <c r="F43" s="863"/>
      <c r="G43" s="864"/>
      <c r="H43" s="865"/>
      <c r="I43" s="832"/>
      <c r="J43" s="833"/>
    </row>
    <row r="44" spans="2:10" s="822" customFormat="1" x14ac:dyDescent="0.25">
      <c r="B44" s="831"/>
      <c r="C44" s="1278" t="s">
        <v>1191</v>
      </c>
      <c r="D44" s="832"/>
      <c r="E44" s="1278"/>
      <c r="F44" s="1278"/>
      <c r="G44" s="864"/>
      <c r="H44" s="832"/>
      <c r="I44" s="832"/>
      <c r="J44" s="833"/>
    </row>
    <row r="45" spans="2:10" x14ac:dyDescent="0.25">
      <c r="B45" s="831"/>
      <c r="C45" s="1422" t="s">
        <v>1230</v>
      </c>
      <c r="D45" s="1423" t="s">
        <v>1231</v>
      </c>
      <c r="E45" s="1424"/>
      <c r="F45" s="1424"/>
      <c r="G45" s="1425" t="s">
        <v>1097</v>
      </c>
      <c r="H45" s="1426" t="s">
        <v>1096</v>
      </c>
      <c r="I45" s="832"/>
      <c r="J45" s="833"/>
    </row>
    <row r="46" spans="2:10" x14ac:dyDescent="0.25">
      <c r="B46" s="831"/>
      <c r="C46" s="867" t="s">
        <v>1190</v>
      </c>
      <c r="D46" s="2286" t="s">
        <v>1189</v>
      </c>
      <c r="E46" s="2252"/>
      <c r="F46" s="2279"/>
      <c r="G46" s="855" t="s">
        <v>1089</v>
      </c>
      <c r="H46" s="677" t="s">
        <v>1223</v>
      </c>
      <c r="I46" s="832">
        <f t="shared" ref="I46:I53" si="1">N(H46)</f>
        <v>0</v>
      </c>
      <c r="J46" s="833"/>
    </row>
    <row r="47" spans="2:10" x14ac:dyDescent="0.25">
      <c r="B47" s="831"/>
      <c r="C47" s="868" t="s">
        <v>1188</v>
      </c>
      <c r="D47" s="2275" t="s">
        <v>1187</v>
      </c>
      <c r="E47" s="2249"/>
      <c r="F47" s="2276"/>
      <c r="G47" s="869" t="s">
        <v>1089</v>
      </c>
      <c r="H47" s="685" t="s">
        <v>1223</v>
      </c>
      <c r="I47" s="832">
        <f t="shared" si="1"/>
        <v>0</v>
      </c>
      <c r="J47" s="833"/>
    </row>
    <row r="48" spans="2:10" ht="15" customHeight="1" x14ac:dyDescent="0.25">
      <c r="B48" s="831"/>
      <c r="C48" s="868" t="s">
        <v>1186</v>
      </c>
      <c r="D48" s="2275" t="s">
        <v>434</v>
      </c>
      <c r="E48" s="2249"/>
      <c r="F48" s="2276"/>
      <c r="G48" s="875" t="s">
        <v>1185</v>
      </c>
      <c r="H48" s="685" t="s">
        <v>1223</v>
      </c>
      <c r="I48" s="832">
        <f t="shared" si="1"/>
        <v>0</v>
      </c>
      <c r="J48" s="833"/>
    </row>
    <row r="49" spans="1:11" x14ac:dyDescent="0.25">
      <c r="B49" s="831"/>
      <c r="C49" s="868" t="s">
        <v>1184</v>
      </c>
      <c r="D49" s="2275" t="s">
        <v>434</v>
      </c>
      <c r="E49" s="2249"/>
      <c r="F49" s="2276"/>
      <c r="G49" s="869" t="s">
        <v>1237</v>
      </c>
      <c r="H49" s="679">
        <v>5</v>
      </c>
      <c r="I49" s="832">
        <f t="shared" si="1"/>
        <v>5</v>
      </c>
      <c r="J49" s="833"/>
    </row>
    <row r="50" spans="1:11" x14ac:dyDescent="0.25">
      <c r="B50" s="831"/>
      <c r="C50" s="868" t="s">
        <v>1183</v>
      </c>
      <c r="D50" s="2275" t="s">
        <v>1182</v>
      </c>
      <c r="E50" s="2249"/>
      <c r="F50" s="2276"/>
      <c r="G50" s="869" t="s">
        <v>1234</v>
      </c>
      <c r="H50" s="679">
        <v>5</v>
      </c>
      <c r="I50" s="832">
        <f t="shared" si="1"/>
        <v>5</v>
      </c>
      <c r="J50" s="833"/>
    </row>
    <row r="51" spans="1:11" ht="15" customHeight="1" x14ac:dyDescent="0.25">
      <c r="B51" s="831"/>
      <c r="C51" s="868" t="s">
        <v>1181</v>
      </c>
      <c r="D51" s="2275" t="s">
        <v>1180</v>
      </c>
      <c r="E51" s="2249"/>
      <c r="F51" s="2276"/>
      <c r="G51" s="875" t="s">
        <v>1179</v>
      </c>
      <c r="H51" s="685" t="s">
        <v>1223</v>
      </c>
      <c r="I51" s="832">
        <f t="shared" si="1"/>
        <v>0</v>
      </c>
      <c r="J51" s="833"/>
    </row>
    <row r="52" spans="1:11" x14ac:dyDescent="0.25">
      <c r="B52" s="831"/>
      <c r="C52" s="868" t="s">
        <v>1178</v>
      </c>
      <c r="D52" s="2275" t="s">
        <v>1177</v>
      </c>
      <c r="E52" s="2249"/>
      <c r="F52" s="2276"/>
      <c r="G52" s="869" t="s">
        <v>1240</v>
      </c>
      <c r="H52" s="679">
        <v>0</v>
      </c>
      <c r="I52" s="832">
        <f t="shared" si="1"/>
        <v>0</v>
      </c>
      <c r="J52" s="833"/>
    </row>
    <row r="53" spans="1:11" x14ac:dyDescent="0.25">
      <c r="B53" s="831"/>
      <c r="C53" s="868" t="s">
        <v>1176</v>
      </c>
      <c r="D53" s="2277" t="s">
        <v>1175</v>
      </c>
      <c r="E53" s="2246"/>
      <c r="F53" s="2278"/>
      <c r="G53" s="857" t="s">
        <v>1089</v>
      </c>
      <c r="H53" s="685" t="s">
        <v>1223</v>
      </c>
      <c r="I53" s="832">
        <f t="shared" si="1"/>
        <v>0</v>
      </c>
      <c r="J53" s="833"/>
    </row>
    <row r="54" spans="1:11" x14ac:dyDescent="0.25">
      <c r="A54" s="822"/>
      <c r="B54" s="831"/>
      <c r="C54" s="858" t="s">
        <v>35</v>
      </c>
      <c r="D54" s="859"/>
      <c r="E54" s="860"/>
      <c r="F54" s="860"/>
      <c r="G54" s="861" t="s">
        <v>1174</v>
      </c>
      <c r="H54" s="862">
        <f>SUM(I46:I53)</f>
        <v>10</v>
      </c>
      <c r="I54" s="832"/>
      <c r="J54" s="833"/>
    </row>
    <row r="55" spans="1:11" ht="7.5" customHeight="1" x14ac:dyDescent="0.25">
      <c r="A55" s="822"/>
      <c r="B55" s="831"/>
      <c r="C55" s="863"/>
      <c r="D55" s="865"/>
      <c r="E55" s="863"/>
      <c r="F55" s="863"/>
      <c r="G55" s="864"/>
      <c r="H55" s="865"/>
      <c r="I55" s="832"/>
      <c r="J55" s="833"/>
    </row>
    <row r="56" spans="1:11" x14ac:dyDescent="0.25">
      <c r="A56" s="822"/>
      <c r="B56" s="831"/>
      <c r="C56" s="1278" t="s">
        <v>1173</v>
      </c>
      <c r="D56" s="832"/>
      <c r="E56" s="1278"/>
      <c r="F56" s="1278"/>
      <c r="G56" s="864"/>
      <c r="H56" s="832"/>
      <c r="I56" s="832"/>
      <c r="J56" s="833"/>
    </row>
    <row r="57" spans="1:11" x14ac:dyDescent="0.25">
      <c r="A57" s="822"/>
      <c r="B57" s="831"/>
      <c r="C57" s="849" t="s">
        <v>1230</v>
      </c>
      <c r="D57" s="850" t="s">
        <v>1231</v>
      </c>
      <c r="E57" s="851"/>
      <c r="F57" s="851"/>
      <c r="G57" s="852" t="s">
        <v>1097</v>
      </c>
      <c r="H57" s="853" t="s">
        <v>1096</v>
      </c>
      <c r="I57" s="832"/>
      <c r="J57" s="833"/>
    </row>
    <row r="58" spans="1:11" x14ac:dyDescent="0.25">
      <c r="A58" s="822"/>
      <c r="B58" s="831"/>
      <c r="C58" s="876" t="s">
        <v>1172</v>
      </c>
      <c r="D58" s="2251" t="s">
        <v>1219</v>
      </c>
      <c r="E58" s="2252"/>
      <c r="F58" s="2279"/>
      <c r="G58" s="877" t="s">
        <v>1089</v>
      </c>
      <c r="H58" s="677" t="s">
        <v>1223</v>
      </c>
      <c r="I58" s="832">
        <f>N(H58)</f>
        <v>0</v>
      </c>
      <c r="J58" s="833"/>
    </row>
    <row r="59" spans="1:11" x14ac:dyDescent="0.25">
      <c r="A59" s="822"/>
      <c r="B59" s="831"/>
      <c r="C59" s="878" t="s">
        <v>1171</v>
      </c>
      <c r="D59" s="2248" t="s">
        <v>1218</v>
      </c>
      <c r="E59" s="2249"/>
      <c r="F59" s="2276"/>
      <c r="G59" s="879" t="s">
        <v>1240</v>
      </c>
      <c r="H59" s="680">
        <v>4</v>
      </c>
      <c r="I59" s="832">
        <f>N(H59)</f>
        <v>4</v>
      </c>
      <c r="J59" s="833"/>
    </row>
    <row r="60" spans="1:11" x14ac:dyDescent="0.25">
      <c r="A60" s="822"/>
      <c r="B60" s="831"/>
      <c r="C60" s="878" t="s">
        <v>1170</v>
      </c>
      <c r="D60" s="2245" t="s">
        <v>1169</v>
      </c>
      <c r="E60" s="2246"/>
      <c r="F60" s="2278"/>
      <c r="G60" s="880" t="s">
        <v>1242</v>
      </c>
      <c r="H60" s="680">
        <v>0</v>
      </c>
      <c r="I60" s="832">
        <f>N(H60)</f>
        <v>0</v>
      </c>
      <c r="J60" s="833"/>
    </row>
    <row r="61" spans="1:11" x14ac:dyDescent="0.25">
      <c r="A61" s="822"/>
      <c r="B61" s="881"/>
      <c r="C61" s="858" t="s">
        <v>35</v>
      </c>
      <c r="D61" s="859"/>
      <c r="E61" s="860"/>
      <c r="F61" s="860"/>
      <c r="G61" s="861" t="s">
        <v>1168</v>
      </c>
      <c r="H61" s="862">
        <f>SUM(I58:I60)</f>
        <v>4</v>
      </c>
      <c r="I61" s="832"/>
      <c r="J61" s="833"/>
    </row>
    <row r="62" spans="1:11" ht="7.5" customHeight="1" x14ac:dyDescent="0.25">
      <c r="A62" s="822"/>
      <c r="B62" s="881"/>
      <c r="C62" s="863"/>
      <c r="D62" s="865"/>
      <c r="E62" s="863"/>
      <c r="F62" s="863"/>
      <c r="G62" s="864"/>
      <c r="H62" s="865"/>
      <c r="I62" s="832"/>
      <c r="J62" s="833"/>
    </row>
    <row r="63" spans="1:11" ht="7.5" customHeight="1" x14ac:dyDescent="0.25">
      <c r="A63" s="822"/>
      <c r="B63" s="881"/>
      <c r="C63" s="882"/>
      <c r="D63" s="832"/>
      <c r="E63" s="882"/>
      <c r="F63" s="882"/>
      <c r="G63" s="864"/>
      <c r="H63" s="832"/>
      <c r="I63" s="832"/>
      <c r="J63" s="833"/>
      <c r="K63" s="822"/>
    </row>
    <row r="64" spans="1:11" x14ac:dyDescent="0.25">
      <c r="A64" s="822"/>
      <c r="B64" s="881"/>
      <c r="C64" s="883" t="s">
        <v>1167</v>
      </c>
      <c r="D64" s="832"/>
      <c r="E64" s="883"/>
      <c r="F64" s="883"/>
      <c r="G64" s="864"/>
      <c r="H64" s="832"/>
      <c r="I64" s="832"/>
      <c r="J64" s="833"/>
    </row>
    <row r="65" spans="1:10" x14ac:dyDescent="0.25">
      <c r="A65" s="822"/>
      <c r="B65" s="831"/>
      <c r="C65" s="1422" t="s">
        <v>1230</v>
      </c>
      <c r="D65" s="1423" t="s">
        <v>1231</v>
      </c>
      <c r="E65" s="1424"/>
      <c r="F65" s="1424"/>
      <c r="G65" s="1425" t="s">
        <v>1097</v>
      </c>
      <c r="H65" s="1426" t="s">
        <v>1096</v>
      </c>
      <c r="I65" s="832"/>
      <c r="J65" s="833"/>
    </row>
    <row r="66" spans="1:10" x14ac:dyDescent="0.25">
      <c r="A66" s="822"/>
      <c r="B66" s="831"/>
      <c r="C66" s="884" t="s">
        <v>1166</v>
      </c>
      <c r="D66" s="2280" t="s">
        <v>1215</v>
      </c>
      <c r="E66" s="2281"/>
      <c r="F66" s="2282"/>
      <c r="G66" s="885" t="str">
        <f>IF(D17&lt;&gt;"Select…",IF(D19="New Construction","Mandatory","n/a"),"&lt;SELECT REGION AND ACTIVITY&gt;")</f>
        <v>n/a</v>
      </c>
      <c r="H66" s="681" t="str">
        <f>IF(G66&lt;&gt;"&lt;SELECT REGION AND ACTIVITY&gt;",IF(D19="New Construction","X","n/a"),"")</f>
        <v>n/a</v>
      </c>
      <c r="I66" s="832">
        <f t="shared" ref="I66:I83" si="2">N(H66)</f>
        <v>0</v>
      </c>
      <c r="J66" s="833"/>
    </row>
    <row r="67" spans="1:10" x14ac:dyDescent="0.25">
      <c r="A67" s="822"/>
      <c r="B67" s="831"/>
      <c r="C67" s="886" t="s">
        <v>1210</v>
      </c>
      <c r="D67" s="2254" t="s">
        <v>1224</v>
      </c>
      <c r="E67" s="2255"/>
      <c r="F67" s="2256"/>
      <c r="G67" s="887" t="str">
        <f>IF(D17&lt;&gt;"Select…",IF(D19="Rehab","Mandatory","n/a"),"&lt;SELECT REGION AND ACTIVITY&gt;")</f>
        <v>Mandatory</v>
      </c>
      <c r="H67" s="682" t="str">
        <f>IF(G67&lt;&gt;"&lt;SELECT REGION AND ACTIVITY&gt;",IF(D19="Rehab","X","n/a"),"")</f>
        <v>X</v>
      </c>
      <c r="I67" s="832">
        <f t="shared" si="2"/>
        <v>0</v>
      </c>
      <c r="J67" s="870"/>
    </row>
    <row r="68" spans="1:10" ht="15" customHeight="1" x14ac:dyDescent="0.25">
      <c r="B68" s="831"/>
      <c r="C68" s="888" t="s">
        <v>1165</v>
      </c>
      <c r="D68" s="2254" t="s">
        <v>1249</v>
      </c>
      <c r="E68" s="2255"/>
      <c r="F68" s="2256"/>
      <c r="G68" s="887" t="str">
        <f>IF(D17&lt;&gt;"Select…",IF(D19="New Construction","0, 5 or 10, or 5, 7, 9, 12 or 15","n/a"),"&lt;SELECT REGION AND ACTIVITY&gt;")</f>
        <v>n/a</v>
      </c>
      <c r="H68" s="682" t="str">
        <f>IF(G68="n/a","n/a","")</f>
        <v>n/a</v>
      </c>
      <c r="I68" s="832">
        <f t="shared" si="2"/>
        <v>0</v>
      </c>
      <c r="J68" s="833"/>
    </row>
    <row r="69" spans="1:10" ht="15" customHeight="1" x14ac:dyDescent="0.25">
      <c r="B69" s="831"/>
      <c r="C69" s="886" t="s">
        <v>1211</v>
      </c>
      <c r="D69" s="2254" t="s">
        <v>1252</v>
      </c>
      <c r="E69" s="2255"/>
      <c r="F69" s="2256"/>
      <c r="G69" s="887" t="str">
        <f>IF(D17&lt;&gt;"Select…",IF(D19="Rehab","0 or 5","n/a"),"&lt;SELECT REGION AND ACTIVITY&gt;")</f>
        <v>0 or 5</v>
      </c>
      <c r="H69" s="682">
        <v>0</v>
      </c>
      <c r="I69" s="832">
        <f t="shared" si="2"/>
        <v>0</v>
      </c>
      <c r="J69" s="833"/>
    </row>
    <row r="70" spans="1:10" x14ac:dyDescent="0.25">
      <c r="B70" s="831"/>
      <c r="C70" s="888" t="s">
        <v>1164</v>
      </c>
      <c r="D70" s="2248" t="s">
        <v>1163</v>
      </c>
      <c r="E70" s="2249"/>
      <c r="F70" s="2250"/>
      <c r="G70" s="887" t="s">
        <v>1089</v>
      </c>
      <c r="H70" s="685" t="s">
        <v>1223</v>
      </c>
      <c r="I70" s="832">
        <f t="shared" si="2"/>
        <v>0</v>
      </c>
      <c r="J70" s="833"/>
    </row>
    <row r="71" spans="1:10" ht="15" customHeight="1" x14ac:dyDescent="0.25">
      <c r="B71" s="831"/>
      <c r="C71" s="888" t="s">
        <v>1162</v>
      </c>
      <c r="D71" s="2248" t="s">
        <v>1161</v>
      </c>
      <c r="E71" s="2249"/>
      <c r="F71" s="2250"/>
      <c r="G71" s="889" t="s">
        <v>1160</v>
      </c>
      <c r="H71" s="685" t="s">
        <v>1223</v>
      </c>
      <c r="I71" s="832">
        <f t="shared" si="2"/>
        <v>0</v>
      </c>
      <c r="J71" s="833"/>
    </row>
    <row r="72" spans="1:10" x14ac:dyDescent="0.25">
      <c r="B72" s="831"/>
      <c r="C72" s="888" t="s">
        <v>1159</v>
      </c>
      <c r="D72" s="2248" t="s">
        <v>1158</v>
      </c>
      <c r="E72" s="2249"/>
      <c r="F72" s="2250"/>
      <c r="G72" s="887" t="s">
        <v>1238</v>
      </c>
      <c r="H72" s="682">
        <v>3</v>
      </c>
      <c r="I72" s="832">
        <f t="shared" si="2"/>
        <v>3</v>
      </c>
      <c r="J72" s="833"/>
    </row>
    <row r="73" spans="1:10" x14ac:dyDescent="0.25">
      <c r="B73" s="831"/>
      <c r="C73" s="888" t="s">
        <v>1157</v>
      </c>
      <c r="D73" s="2248" t="s">
        <v>1156</v>
      </c>
      <c r="E73" s="2249"/>
      <c r="F73" s="2250"/>
      <c r="G73" s="887" t="s">
        <v>1089</v>
      </c>
      <c r="H73" s="685" t="s">
        <v>1223</v>
      </c>
      <c r="I73" s="832">
        <f t="shared" si="2"/>
        <v>0</v>
      </c>
      <c r="J73" s="833"/>
    </row>
    <row r="74" spans="1:10" x14ac:dyDescent="0.25">
      <c r="B74" s="831"/>
      <c r="C74" s="888" t="s">
        <v>1155</v>
      </c>
      <c r="D74" s="2254" t="s">
        <v>1250</v>
      </c>
      <c r="E74" s="2255"/>
      <c r="F74" s="2256"/>
      <c r="G74" s="887" t="str">
        <f>IF(D17&lt;&gt;"Select…",IF(D19="New Construction","Mandatory","n/a"),"&lt;SELECT REGION AND ACTIVITY&gt;")</f>
        <v>n/a</v>
      </c>
      <c r="H74" s="682" t="str">
        <f>IF(G74&lt;&gt;"&lt;SELECT REGION AND ACTIVITY&gt;",IF(D19="New Construction","X","n/a"),"")</f>
        <v>n/a</v>
      </c>
      <c r="I74" s="832">
        <f t="shared" si="2"/>
        <v>0</v>
      </c>
      <c r="J74" s="833"/>
    </row>
    <row r="75" spans="1:10" x14ac:dyDescent="0.25">
      <c r="B75" s="831"/>
      <c r="C75" s="886" t="s">
        <v>1212</v>
      </c>
      <c r="D75" s="2257" t="s">
        <v>1251</v>
      </c>
      <c r="E75" s="2258"/>
      <c r="F75" s="2259"/>
      <c r="G75" s="887" t="str">
        <f>IF(D17&lt;&gt;"Select…",IF(D19="Rehab","0 or 2","n/a"),"&lt;SELECT REGION AND ACTIVITY&gt;")</f>
        <v>0 or 2</v>
      </c>
      <c r="H75" s="682">
        <v>2</v>
      </c>
      <c r="I75" s="832">
        <f t="shared" si="2"/>
        <v>2</v>
      </c>
      <c r="J75" s="833"/>
    </row>
    <row r="76" spans="1:10" x14ac:dyDescent="0.25">
      <c r="B76" s="831"/>
      <c r="C76" s="888" t="s">
        <v>1154</v>
      </c>
      <c r="D76" s="2254" t="s">
        <v>1253</v>
      </c>
      <c r="E76" s="2249"/>
      <c r="F76" s="2250"/>
      <c r="G76" s="887" t="s">
        <v>1232</v>
      </c>
      <c r="H76" s="682">
        <v>0</v>
      </c>
      <c r="I76" s="832">
        <f t="shared" si="2"/>
        <v>0</v>
      </c>
      <c r="J76" s="833"/>
    </row>
    <row r="77" spans="1:10" x14ac:dyDescent="0.25">
      <c r="B77" s="831"/>
      <c r="C77" s="888" t="s">
        <v>1153</v>
      </c>
      <c r="D77" s="2248" t="s">
        <v>1152</v>
      </c>
      <c r="E77" s="2249"/>
      <c r="F77" s="2250"/>
      <c r="G77" s="887" t="s">
        <v>1243</v>
      </c>
      <c r="H77" s="682">
        <v>0</v>
      </c>
      <c r="I77" s="832">
        <f t="shared" si="2"/>
        <v>0</v>
      </c>
      <c r="J77" s="833"/>
    </row>
    <row r="78" spans="1:10" x14ac:dyDescent="0.25">
      <c r="B78" s="831"/>
      <c r="C78" s="888" t="s">
        <v>1151</v>
      </c>
      <c r="D78" s="2254" t="s">
        <v>1254</v>
      </c>
      <c r="E78" s="2249"/>
      <c r="F78" s="2250"/>
      <c r="G78" s="887" t="s">
        <v>1233</v>
      </c>
      <c r="H78" s="682">
        <v>0</v>
      </c>
      <c r="I78" s="832">
        <f t="shared" si="2"/>
        <v>0</v>
      </c>
      <c r="J78" s="833"/>
    </row>
    <row r="79" spans="1:10" x14ac:dyDescent="0.25">
      <c r="B79" s="831"/>
      <c r="C79" s="888" t="s">
        <v>1150</v>
      </c>
      <c r="D79" s="2248" t="s">
        <v>1149</v>
      </c>
      <c r="E79" s="2249"/>
      <c r="F79" s="2250"/>
      <c r="G79" s="887" t="s">
        <v>1089</v>
      </c>
      <c r="H79" s="685" t="s">
        <v>1223</v>
      </c>
      <c r="I79" s="832">
        <f t="shared" si="2"/>
        <v>0</v>
      </c>
      <c r="J79" s="833"/>
    </row>
    <row r="80" spans="1:10" x14ac:dyDescent="0.25">
      <c r="B80" s="831"/>
      <c r="C80" s="888" t="s">
        <v>1148</v>
      </c>
      <c r="D80" s="2254" t="s">
        <v>1255</v>
      </c>
      <c r="E80" s="2249"/>
      <c r="F80" s="2250"/>
      <c r="G80" s="887" t="s">
        <v>1244</v>
      </c>
      <c r="H80" s="682">
        <v>5</v>
      </c>
      <c r="I80" s="832">
        <f t="shared" si="2"/>
        <v>5</v>
      </c>
      <c r="J80" s="833"/>
    </row>
    <row r="81" spans="2:10" x14ac:dyDescent="0.25">
      <c r="B81" s="831"/>
      <c r="C81" s="888">
        <v>5.1100000000000003</v>
      </c>
      <c r="D81" s="2269" t="s">
        <v>1256</v>
      </c>
      <c r="E81" s="2270"/>
      <c r="F81" s="2271"/>
      <c r="G81" s="887" t="str">
        <f>IF(D17&lt;&gt;"Select…",IF(D19="Rehab","0, 3 or 7","n/a"),"&lt;SELECT REGION AND ACTIVITY&gt;")</f>
        <v>0, 3 or 7</v>
      </c>
      <c r="H81" s="682">
        <v>0</v>
      </c>
      <c r="I81" s="832">
        <f t="shared" si="2"/>
        <v>0</v>
      </c>
      <c r="J81" s="833"/>
    </row>
    <row r="82" spans="2:10" x14ac:dyDescent="0.25">
      <c r="B82" s="831"/>
      <c r="C82" s="888">
        <v>5.12</v>
      </c>
      <c r="D82" s="2272" t="s">
        <v>1257</v>
      </c>
      <c r="E82" s="2273"/>
      <c r="F82" s="2274"/>
      <c r="G82" s="887" t="str">
        <f>IF(D17&lt;&gt;"Select…",IF(D19="Rehab","0 or 10","n/a"),"&lt;SELECT REGION AND ACTIVITY&gt;")</f>
        <v>0 or 10</v>
      </c>
      <c r="H82" s="682">
        <v>0</v>
      </c>
      <c r="I82" s="832">
        <f t="shared" si="2"/>
        <v>0</v>
      </c>
      <c r="J82" s="833"/>
    </row>
    <row r="83" spans="2:10" x14ac:dyDescent="0.25">
      <c r="B83" s="831"/>
      <c r="C83" s="890">
        <v>5.13</v>
      </c>
      <c r="D83" s="2266" t="s">
        <v>1258</v>
      </c>
      <c r="E83" s="2267"/>
      <c r="F83" s="2268"/>
      <c r="G83" s="891" t="str">
        <f>IF(D17&lt;&gt;"Select…",IF(D19="Rehab","0, 2, 5 or 7","n/a"),"&lt;SELECT REGION AND ACTIVITY&gt;")</f>
        <v>0, 2, 5 or 7</v>
      </c>
      <c r="H83" s="683">
        <v>0</v>
      </c>
      <c r="I83" s="832">
        <f t="shared" si="2"/>
        <v>0</v>
      </c>
      <c r="J83" s="833"/>
    </row>
    <row r="84" spans="2:10" x14ac:dyDescent="0.25">
      <c r="B84" s="831"/>
      <c r="C84" s="858" t="s">
        <v>35</v>
      </c>
      <c r="D84" s="859"/>
      <c r="E84" s="860"/>
      <c r="F84" s="860"/>
      <c r="G84" s="861" t="s">
        <v>1147</v>
      </c>
      <c r="H84" s="862">
        <f>SUM(I66:I83)</f>
        <v>10</v>
      </c>
      <c r="I84" s="832"/>
      <c r="J84" s="833"/>
    </row>
    <row r="85" spans="2:10" s="822" customFormat="1" ht="9" customHeight="1" thickBot="1" x14ac:dyDescent="0.3">
      <c r="B85" s="892"/>
      <c r="C85" s="893"/>
      <c r="D85" s="894"/>
      <c r="E85" s="893"/>
      <c r="F85" s="893"/>
      <c r="G85" s="895"/>
      <c r="H85" s="894"/>
      <c r="I85" s="894"/>
      <c r="J85" s="896"/>
    </row>
    <row r="86" spans="2:10" s="822" customFormat="1" ht="26.45" customHeight="1" x14ac:dyDescent="0.25">
      <c r="B86" s="828"/>
      <c r="C86" s="897" t="s">
        <v>1146</v>
      </c>
      <c r="D86" s="829"/>
      <c r="E86" s="897"/>
      <c r="F86" s="897"/>
      <c r="G86" s="898"/>
      <c r="H86" s="829"/>
      <c r="I86" s="829"/>
      <c r="J86" s="830"/>
    </row>
    <row r="87" spans="2:10" x14ac:dyDescent="0.25">
      <c r="B87" s="831"/>
      <c r="C87" s="1422" t="s">
        <v>1230</v>
      </c>
      <c r="D87" s="1423" t="s">
        <v>1231</v>
      </c>
      <c r="E87" s="1424"/>
      <c r="F87" s="1424"/>
      <c r="G87" s="1425" t="s">
        <v>1097</v>
      </c>
      <c r="H87" s="1426" t="s">
        <v>1096</v>
      </c>
      <c r="I87" s="832"/>
      <c r="J87" s="833"/>
    </row>
    <row r="88" spans="2:10" x14ac:dyDescent="0.25">
      <c r="B88" s="831"/>
      <c r="C88" s="884" t="s">
        <v>1145</v>
      </c>
      <c r="D88" s="2251" t="s">
        <v>1144</v>
      </c>
      <c r="E88" s="2252"/>
      <c r="F88" s="2253"/>
      <c r="G88" s="885" t="s">
        <v>1089</v>
      </c>
      <c r="H88" s="677" t="s">
        <v>1223</v>
      </c>
      <c r="I88" s="832">
        <f t="shared" ref="I88:I96" si="3">N(H88)</f>
        <v>0</v>
      </c>
      <c r="J88" s="833"/>
    </row>
    <row r="89" spans="2:10" x14ac:dyDescent="0.25">
      <c r="B89" s="831"/>
      <c r="C89" s="888" t="s">
        <v>1143</v>
      </c>
      <c r="D89" s="2248" t="s">
        <v>1142</v>
      </c>
      <c r="E89" s="2249"/>
      <c r="F89" s="2250"/>
      <c r="G89" s="887" t="s">
        <v>1089</v>
      </c>
      <c r="H89" s="685" t="s">
        <v>1223</v>
      </c>
      <c r="I89" s="832">
        <f t="shared" si="3"/>
        <v>0</v>
      </c>
      <c r="J89" s="833"/>
    </row>
    <row r="90" spans="2:10" x14ac:dyDescent="0.25">
      <c r="B90" s="831"/>
      <c r="C90" s="888" t="s">
        <v>1141</v>
      </c>
      <c r="D90" s="2248" t="s">
        <v>1140</v>
      </c>
      <c r="E90" s="2249"/>
      <c r="F90" s="2250"/>
      <c r="G90" s="887" t="s">
        <v>1234</v>
      </c>
      <c r="H90" s="682">
        <v>5</v>
      </c>
      <c r="I90" s="832">
        <f t="shared" si="3"/>
        <v>5</v>
      </c>
      <c r="J90" s="833"/>
    </row>
    <row r="91" spans="2:10" x14ac:dyDescent="0.25">
      <c r="B91" s="831"/>
      <c r="C91" s="888" t="s">
        <v>1139</v>
      </c>
      <c r="D91" s="2248" t="s">
        <v>1138</v>
      </c>
      <c r="E91" s="2249"/>
      <c r="F91" s="2250"/>
      <c r="G91" s="887" t="s">
        <v>1235</v>
      </c>
      <c r="H91" s="682">
        <v>0.5</v>
      </c>
      <c r="I91" s="832">
        <f t="shared" si="3"/>
        <v>0.5</v>
      </c>
      <c r="J91" s="833"/>
    </row>
    <row r="92" spans="2:10" x14ac:dyDescent="0.25">
      <c r="B92" s="831"/>
      <c r="C92" s="888" t="s">
        <v>1137</v>
      </c>
      <c r="D92" s="2248" t="s">
        <v>1136</v>
      </c>
      <c r="E92" s="2249"/>
      <c r="F92" s="2250"/>
      <c r="G92" s="887" t="s">
        <v>1234</v>
      </c>
      <c r="H92" s="682">
        <v>0</v>
      </c>
      <c r="I92" s="832">
        <f t="shared" si="3"/>
        <v>0</v>
      </c>
      <c r="J92" s="833"/>
    </row>
    <row r="93" spans="2:10" x14ac:dyDescent="0.25">
      <c r="B93" s="831"/>
      <c r="C93" s="888" t="s">
        <v>1135</v>
      </c>
      <c r="D93" s="2248" t="s">
        <v>1134</v>
      </c>
      <c r="E93" s="2249"/>
      <c r="F93" s="2250"/>
      <c r="G93" s="887" t="s">
        <v>1234</v>
      </c>
      <c r="H93" s="682">
        <v>0</v>
      </c>
      <c r="I93" s="832">
        <f t="shared" si="3"/>
        <v>0</v>
      </c>
      <c r="J93" s="833"/>
    </row>
    <row r="94" spans="2:10" x14ac:dyDescent="0.25">
      <c r="B94" s="831"/>
      <c r="C94" s="888" t="s">
        <v>1133</v>
      </c>
      <c r="D94" s="2248" t="s">
        <v>1132</v>
      </c>
      <c r="E94" s="2249"/>
      <c r="F94" s="2250"/>
      <c r="G94" s="887" t="s">
        <v>1237</v>
      </c>
      <c r="H94" s="682">
        <v>0</v>
      </c>
      <c r="I94" s="832">
        <f t="shared" si="3"/>
        <v>0</v>
      </c>
      <c r="J94" s="833"/>
    </row>
    <row r="95" spans="2:10" x14ac:dyDescent="0.25">
      <c r="B95" s="831"/>
      <c r="C95" s="888" t="s">
        <v>1131</v>
      </c>
      <c r="D95" s="2248" t="s">
        <v>1130</v>
      </c>
      <c r="E95" s="2249"/>
      <c r="F95" s="2250"/>
      <c r="G95" s="887" t="s">
        <v>1237</v>
      </c>
      <c r="H95" s="682">
        <v>0</v>
      </c>
      <c r="I95" s="832">
        <f t="shared" si="3"/>
        <v>0</v>
      </c>
      <c r="J95" s="833"/>
    </row>
    <row r="96" spans="2:10" x14ac:dyDescent="0.25">
      <c r="B96" s="831"/>
      <c r="C96" s="890" t="s">
        <v>1129</v>
      </c>
      <c r="D96" s="2245" t="s">
        <v>1128</v>
      </c>
      <c r="E96" s="2246"/>
      <c r="F96" s="2247"/>
      <c r="G96" s="891" t="s">
        <v>1245</v>
      </c>
      <c r="H96" s="683">
        <v>0</v>
      </c>
      <c r="I96" s="832">
        <f t="shared" si="3"/>
        <v>0</v>
      </c>
      <c r="J96" s="833"/>
    </row>
    <row r="97" spans="2:14" x14ac:dyDescent="0.25">
      <c r="B97" s="831"/>
      <c r="C97" s="858" t="s">
        <v>35</v>
      </c>
      <c r="D97" s="859"/>
      <c r="E97" s="860"/>
      <c r="F97" s="860"/>
      <c r="G97" s="861" t="s">
        <v>1127</v>
      </c>
      <c r="H97" s="862">
        <f>SUM(I88:I96)</f>
        <v>5.5</v>
      </c>
      <c r="I97" s="832"/>
      <c r="J97" s="833"/>
      <c r="M97" s="822"/>
      <c r="N97" s="822"/>
    </row>
    <row r="98" spans="2:14" s="822" customFormat="1" ht="7.5" customHeight="1" x14ac:dyDescent="0.25">
      <c r="B98" s="831"/>
      <c r="C98" s="863"/>
      <c r="D98" s="865"/>
      <c r="E98" s="863"/>
      <c r="F98" s="863"/>
      <c r="G98" s="864"/>
      <c r="H98" s="865"/>
      <c r="I98" s="832"/>
      <c r="J98" s="833"/>
    </row>
    <row r="99" spans="2:14" s="822" customFormat="1" ht="7.5" customHeight="1" x14ac:dyDescent="0.25">
      <c r="B99" s="831"/>
      <c r="C99" s="882"/>
      <c r="D99" s="832"/>
      <c r="E99" s="882"/>
      <c r="F99" s="882"/>
      <c r="G99" s="864"/>
      <c r="H99" s="832"/>
      <c r="I99" s="832"/>
      <c r="J99" s="833"/>
    </row>
    <row r="100" spans="2:14" s="822" customFormat="1" x14ac:dyDescent="0.25">
      <c r="B100" s="831"/>
      <c r="C100" s="883" t="s">
        <v>1126</v>
      </c>
      <c r="D100" s="832"/>
      <c r="E100" s="883"/>
      <c r="F100" s="883"/>
      <c r="G100" s="864"/>
      <c r="H100" s="832"/>
      <c r="I100" s="832"/>
      <c r="J100" s="833"/>
    </row>
    <row r="101" spans="2:14" x14ac:dyDescent="0.25">
      <c r="B101" s="831"/>
      <c r="C101" s="1422" t="s">
        <v>1230</v>
      </c>
      <c r="D101" s="1423" t="s">
        <v>1231</v>
      </c>
      <c r="E101" s="1424"/>
      <c r="F101" s="1424"/>
      <c r="G101" s="1425" t="s">
        <v>1097</v>
      </c>
      <c r="H101" s="1426" t="s">
        <v>1096</v>
      </c>
      <c r="I101" s="832"/>
      <c r="J101" s="833"/>
    </row>
    <row r="102" spans="2:14" x14ac:dyDescent="0.25">
      <c r="B102" s="831"/>
      <c r="C102" s="884" t="s">
        <v>1125</v>
      </c>
      <c r="D102" s="2263" t="s">
        <v>1124</v>
      </c>
      <c r="E102" s="2264"/>
      <c r="F102" s="2265"/>
      <c r="G102" s="885" t="s">
        <v>1089</v>
      </c>
      <c r="H102" s="677" t="s">
        <v>1223</v>
      </c>
      <c r="I102" s="832">
        <f t="shared" ref="I102:I123" si="4">N(H102)</f>
        <v>0</v>
      </c>
      <c r="J102" s="833"/>
    </row>
    <row r="103" spans="2:14" ht="15" customHeight="1" x14ac:dyDescent="0.25">
      <c r="B103" s="831"/>
      <c r="C103" s="888" t="s">
        <v>1123</v>
      </c>
      <c r="D103" s="2248" t="s">
        <v>1120</v>
      </c>
      <c r="E103" s="2249"/>
      <c r="F103" s="2250"/>
      <c r="G103" s="889" t="s">
        <v>1122</v>
      </c>
      <c r="H103" s="685" t="s">
        <v>1223</v>
      </c>
      <c r="I103" s="832">
        <f t="shared" si="4"/>
        <v>0</v>
      </c>
      <c r="J103" s="833"/>
    </row>
    <row r="104" spans="2:14" x14ac:dyDescent="0.25">
      <c r="B104" s="831"/>
      <c r="C104" s="888" t="s">
        <v>1121</v>
      </c>
      <c r="D104" s="2248" t="s">
        <v>1120</v>
      </c>
      <c r="E104" s="2249"/>
      <c r="F104" s="2250"/>
      <c r="G104" s="887" t="s">
        <v>1246</v>
      </c>
      <c r="H104" s="682">
        <v>0</v>
      </c>
      <c r="I104" s="832">
        <f t="shared" si="4"/>
        <v>0</v>
      </c>
      <c r="J104" s="833"/>
    </row>
    <row r="105" spans="2:14" x14ac:dyDescent="0.25">
      <c r="B105" s="831"/>
      <c r="C105" s="888" t="s">
        <v>1119</v>
      </c>
      <c r="D105" s="2254" t="s">
        <v>1225</v>
      </c>
      <c r="E105" s="2255"/>
      <c r="F105" s="2256"/>
      <c r="G105" s="887" t="str">
        <f>IF(D17&lt;&gt;"Select…",IF(CONCATENATE(D19,"-",D21)="Rehab-Substantial","Mandatory",(IF(CONCATENATE(D19,"-",D21)="Rehab-Moderate","n/a","Mandatory"))),"&lt;SELECT REGION AND ACTIVITY&gt;")</f>
        <v>Mandatory</v>
      </c>
      <c r="H105" s="682" t="str">
        <f>IF(G105&lt;&gt;"&lt;SELECT REGION AND ACTIVITY&gt;",IF(G105="Mandatory","X","n/a"),"")</f>
        <v>X</v>
      </c>
      <c r="I105" s="832">
        <f t="shared" si="4"/>
        <v>0</v>
      </c>
      <c r="J105" s="833"/>
    </row>
    <row r="106" spans="2:14" x14ac:dyDescent="0.25">
      <c r="B106" s="831"/>
      <c r="C106" s="886" t="s">
        <v>1213</v>
      </c>
      <c r="D106" s="2257" t="s">
        <v>1226</v>
      </c>
      <c r="E106" s="2258"/>
      <c r="F106" s="2259"/>
      <c r="G106" s="887" t="str">
        <f>IF(D17&lt;&gt;"Select…",IF(CONCATENATE(D19,"-",D21)="Rehab-Moderate","0 or 5","n/a"),"&lt;SELECT REGION AND ACTIVITY&gt;")</f>
        <v>n/a</v>
      </c>
      <c r="H106" s="682" t="str">
        <f>IF(G106&lt;&gt;"&lt;SELECT REGION AND ACTIVITY&gt;",IF(G106="n/a","n/a",""),"")</f>
        <v>n/a</v>
      </c>
      <c r="I106" s="832">
        <f t="shared" si="4"/>
        <v>0</v>
      </c>
      <c r="J106" s="833"/>
    </row>
    <row r="107" spans="2:14" x14ac:dyDescent="0.25">
      <c r="B107" s="831"/>
      <c r="C107" s="888" t="s">
        <v>1118</v>
      </c>
      <c r="D107" s="2254" t="s">
        <v>1227</v>
      </c>
      <c r="E107" s="2255"/>
      <c r="F107" s="2256"/>
      <c r="G107" s="887" t="str">
        <f>IF(D17&lt;&gt;"Select…",IF(D19="New Construction","Mandatory","n/a"),"&lt;SELECT REGION AND ACTIVITY&gt;")</f>
        <v>n/a</v>
      </c>
      <c r="H107" s="682" t="s">
        <v>1400</v>
      </c>
      <c r="I107" s="832">
        <f t="shared" si="4"/>
        <v>0</v>
      </c>
      <c r="J107" s="833"/>
    </row>
    <row r="108" spans="2:14" x14ac:dyDescent="0.25">
      <c r="B108" s="831"/>
      <c r="C108" s="886" t="s">
        <v>1214</v>
      </c>
      <c r="D108" s="2254" t="s">
        <v>1228</v>
      </c>
      <c r="E108" s="2255"/>
      <c r="F108" s="2256"/>
      <c r="G108" s="887" t="str">
        <f>IF(D17&lt;&gt;"Select…",IF(D19="Rehab","0 or 3","n/a"),"&lt;SELECT REGION AND ACTIVITY&gt;")</f>
        <v>0 or 3</v>
      </c>
      <c r="H108" s="682">
        <v>0</v>
      </c>
      <c r="I108" s="832">
        <f t="shared" si="4"/>
        <v>0</v>
      </c>
      <c r="J108" s="833"/>
    </row>
    <row r="109" spans="2:14" x14ac:dyDescent="0.25">
      <c r="B109" s="831"/>
      <c r="C109" s="888">
        <v>7.5</v>
      </c>
      <c r="D109" s="2248" t="s">
        <v>1117</v>
      </c>
      <c r="E109" s="2249"/>
      <c r="F109" s="2250"/>
      <c r="G109" s="887" t="s">
        <v>1089</v>
      </c>
      <c r="H109" s="685" t="s">
        <v>1223</v>
      </c>
      <c r="I109" s="832">
        <f t="shared" si="4"/>
        <v>0</v>
      </c>
      <c r="J109" s="833"/>
    </row>
    <row r="110" spans="2:14" x14ac:dyDescent="0.25">
      <c r="B110" s="831"/>
      <c r="C110" s="888">
        <v>7.6</v>
      </c>
      <c r="D110" s="2248" t="s">
        <v>1116</v>
      </c>
      <c r="E110" s="2249"/>
      <c r="F110" s="2250"/>
      <c r="G110" s="887" t="s">
        <v>1089</v>
      </c>
      <c r="H110" s="685" t="s">
        <v>1223</v>
      </c>
      <c r="I110" s="832">
        <f t="shared" si="4"/>
        <v>0</v>
      </c>
      <c r="J110" s="833"/>
    </row>
    <row r="111" spans="2:14" x14ac:dyDescent="0.25">
      <c r="B111" s="831"/>
      <c r="C111" s="888">
        <v>7.7</v>
      </c>
      <c r="D111" s="2248" t="s">
        <v>1115</v>
      </c>
      <c r="E111" s="2249"/>
      <c r="F111" s="2250"/>
      <c r="G111" s="887" t="s">
        <v>1089</v>
      </c>
      <c r="H111" s="685" t="s">
        <v>1223</v>
      </c>
      <c r="I111" s="832">
        <f t="shared" si="4"/>
        <v>0</v>
      </c>
      <c r="J111" s="833"/>
    </row>
    <row r="112" spans="2:14" x14ac:dyDescent="0.25">
      <c r="B112" s="831"/>
      <c r="C112" s="888">
        <v>7.8</v>
      </c>
      <c r="D112" s="2248" t="s">
        <v>1114</v>
      </c>
      <c r="E112" s="2249"/>
      <c r="F112" s="2250"/>
      <c r="G112" s="887" t="s">
        <v>1089</v>
      </c>
      <c r="H112" s="685" t="s">
        <v>1223</v>
      </c>
      <c r="I112" s="832">
        <f t="shared" si="4"/>
        <v>0</v>
      </c>
      <c r="J112" s="833"/>
    </row>
    <row r="113" spans="2:12" s="827" customFormat="1" x14ac:dyDescent="0.25">
      <c r="B113" s="899"/>
      <c r="C113" s="900" t="s">
        <v>1113</v>
      </c>
      <c r="D113" s="2260" t="s">
        <v>1229</v>
      </c>
      <c r="E113" s="2261"/>
      <c r="F113" s="2262"/>
      <c r="G113" s="887" t="str">
        <f>IF(D17&lt;&gt;"Select…",IF(D19="Rehab","n/a","Mandatory"),"&lt;SELECT REGION AND ACTIVITY&gt;")</f>
        <v>n/a</v>
      </c>
      <c r="H113" s="684" t="str">
        <f>IF(G113&lt;&gt;"&lt;SELECT REGION AND ACTIVITY&gt;",IF(D19="New Construction","X","n/a"),"")</f>
        <v>n/a</v>
      </c>
      <c r="I113" s="832">
        <f t="shared" si="4"/>
        <v>0</v>
      </c>
      <c r="J113" s="901"/>
      <c r="L113" s="821"/>
    </row>
    <row r="114" spans="2:12" x14ac:dyDescent="0.25">
      <c r="B114" s="831"/>
      <c r="C114" s="888" t="s">
        <v>1112</v>
      </c>
      <c r="D114" s="2248" t="s">
        <v>1111</v>
      </c>
      <c r="E114" s="2249"/>
      <c r="F114" s="2250"/>
      <c r="G114" s="887" t="s">
        <v>1089</v>
      </c>
      <c r="H114" s="685" t="s">
        <v>1223</v>
      </c>
      <c r="I114" s="832">
        <f t="shared" si="4"/>
        <v>0</v>
      </c>
      <c r="J114" s="833"/>
    </row>
    <row r="115" spans="2:12" x14ac:dyDescent="0.25">
      <c r="B115" s="831"/>
      <c r="C115" s="888" t="s">
        <v>1110</v>
      </c>
      <c r="D115" s="2248" t="s">
        <v>1109</v>
      </c>
      <c r="E115" s="2249"/>
      <c r="F115" s="2250"/>
      <c r="G115" s="887" t="s">
        <v>1089</v>
      </c>
      <c r="H115" s="685" t="s">
        <v>1223</v>
      </c>
      <c r="I115" s="832">
        <f t="shared" si="4"/>
        <v>0</v>
      </c>
      <c r="J115" s="833"/>
    </row>
    <row r="116" spans="2:12" x14ac:dyDescent="0.25">
      <c r="B116" s="831"/>
      <c r="C116" s="888" t="s">
        <v>1108</v>
      </c>
      <c r="D116" s="2248" t="s">
        <v>1107</v>
      </c>
      <c r="E116" s="2249"/>
      <c r="F116" s="2250"/>
      <c r="G116" s="887" t="s">
        <v>1089</v>
      </c>
      <c r="H116" s="685" t="s">
        <v>1223</v>
      </c>
      <c r="I116" s="832">
        <f t="shared" si="4"/>
        <v>0</v>
      </c>
      <c r="J116" s="833"/>
    </row>
    <row r="117" spans="2:12" x14ac:dyDescent="0.25">
      <c r="B117" s="831"/>
      <c r="C117" s="888">
        <v>7.11</v>
      </c>
      <c r="D117" s="2248" t="s">
        <v>1106</v>
      </c>
      <c r="E117" s="2249"/>
      <c r="F117" s="2250"/>
      <c r="G117" s="887" t="s">
        <v>1089</v>
      </c>
      <c r="H117" s="685" t="s">
        <v>1223</v>
      </c>
      <c r="I117" s="832">
        <f t="shared" si="4"/>
        <v>0</v>
      </c>
      <c r="J117" s="833"/>
    </row>
    <row r="118" spans="2:12" x14ac:dyDescent="0.25">
      <c r="B118" s="831"/>
      <c r="C118" s="888">
        <v>7.12</v>
      </c>
      <c r="D118" s="2248" t="s">
        <v>1105</v>
      </c>
      <c r="E118" s="2249"/>
      <c r="F118" s="2250"/>
      <c r="G118" s="887" t="s">
        <v>1089</v>
      </c>
      <c r="H118" s="685" t="s">
        <v>1223</v>
      </c>
      <c r="I118" s="832">
        <f t="shared" si="4"/>
        <v>0</v>
      </c>
      <c r="J118" s="833"/>
    </row>
    <row r="119" spans="2:12" x14ac:dyDescent="0.25">
      <c r="B119" s="831"/>
      <c r="C119" s="888">
        <v>7.13</v>
      </c>
      <c r="D119" s="2248" t="s">
        <v>1104</v>
      </c>
      <c r="E119" s="2249"/>
      <c r="F119" s="2250"/>
      <c r="G119" s="887" t="str">
        <f>IF(D17&lt;&gt;"Select…",IF((CONCATENATE(D19,"-",D21))="Rehab-Moderate","n/a",(IF(CONCATENATE(D19,"-",D21)="Rehab-Substantial","0, 2 to 8","0, 2 to 8"))),"&lt;SELECT REGION AND ACTIVITY&gt;")</f>
        <v>0, 2 to 8</v>
      </c>
      <c r="H119" s="682">
        <v>6</v>
      </c>
      <c r="I119" s="832">
        <f t="shared" si="4"/>
        <v>6</v>
      </c>
      <c r="J119" s="870"/>
    </row>
    <row r="120" spans="2:12" x14ac:dyDescent="0.25">
      <c r="B120" s="831"/>
      <c r="C120" s="888">
        <v>7.14</v>
      </c>
      <c r="D120" s="2248" t="s">
        <v>1103</v>
      </c>
      <c r="E120" s="2249"/>
      <c r="F120" s="2250"/>
      <c r="G120" s="887" t="s">
        <v>1089</v>
      </c>
      <c r="H120" s="685" t="s">
        <v>1223</v>
      </c>
      <c r="I120" s="832">
        <f t="shared" si="4"/>
        <v>0</v>
      </c>
      <c r="J120" s="833"/>
    </row>
    <row r="121" spans="2:12" x14ac:dyDescent="0.25">
      <c r="B121" s="831"/>
      <c r="C121" s="888">
        <v>7.15</v>
      </c>
      <c r="D121" s="2248" t="s">
        <v>1102</v>
      </c>
      <c r="E121" s="2249"/>
      <c r="F121" s="2250"/>
      <c r="G121" s="887" t="s">
        <v>1089</v>
      </c>
      <c r="H121" s="685" t="s">
        <v>1223</v>
      </c>
      <c r="I121" s="832">
        <f t="shared" si="4"/>
        <v>0</v>
      </c>
      <c r="J121" s="833"/>
    </row>
    <row r="122" spans="2:12" x14ac:dyDescent="0.25">
      <c r="B122" s="831"/>
      <c r="C122" s="888">
        <v>7.16</v>
      </c>
      <c r="D122" s="2248" t="s">
        <v>1101</v>
      </c>
      <c r="E122" s="2249"/>
      <c r="F122" s="2250"/>
      <c r="G122" s="887" t="s">
        <v>1089</v>
      </c>
      <c r="H122" s="685" t="s">
        <v>1223</v>
      </c>
      <c r="I122" s="832">
        <f t="shared" si="4"/>
        <v>0</v>
      </c>
      <c r="J122" s="833"/>
    </row>
    <row r="123" spans="2:12" x14ac:dyDescent="0.25">
      <c r="B123" s="831"/>
      <c r="C123" s="890">
        <v>7.17</v>
      </c>
      <c r="D123" s="2245" t="s">
        <v>1100</v>
      </c>
      <c r="E123" s="2246"/>
      <c r="F123" s="2247"/>
      <c r="G123" s="891" t="s">
        <v>1247</v>
      </c>
      <c r="H123" s="683">
        <v>7</v>
      </c>
      <c r="I123" s="832">
        <f t="shared" si="4"/>
        <v>7</v>
      </c>
      <c r="J123" s="833"/>
    </row>
    <row r="124" spans="2:12" x14ac:dyDescent="0.25">
      <c r="B124" s="831"/>
      <c r="C124" s="858"/>
      <c r="D124" s="859"/>
      <c r="E124" s="860"/>
      <c r="F124" s="860"/>
      <c r="G124" s="861" t="s">
        <v>1099</v>
      </c>
      <c r="H124" s="862">
        <f>SUM(I102:I123)</f>
        <v>13</v>
      </c>
      <c r="I124" s="832"/>
      <c r="J124" s="833"/>
    </row>
    <row r="125" spans="2:12" ht="7.5" customHeight="1" x14ac:dyDescent="0.25">
      <c r="B125" s="831"/>
      <c r="C125" s="863"/>
      <c r="D125" s="865"/>
      <c r="E125" s="863"/>
      <c r="F125" s="863"/>
      <c r="G125" s="864"/>
      <c r="H125" s="865"/>
      <c r="I125" s="832"/>
      <c r="J125" s="833"/>
    </row>
    <row r="126" spans="2:12" x14ac:dyDescent="0.25">
      <c r="B126" s="831"/>
      <c r="C126" s="883" t="s">
        <v>1098</v>
      </c>
      <c r="D126" s="832"/>
      <c r="E126" s="883"/>
      <c r="F126" s="883"/>
      <c r="G126" s="864"/>
      <c r="H126" s="832"/>
      <c r="I126" s="832"/>
      <c r="J126" s="833"/>
    </row>
    <row r="127" spans="2:12" x14ac:dyDescent="0.25">
      <c r="B127" s="831"/>
      <c r="C127" s="1422" t="s">
        <v>1230</v>
      </c>
      <c r="D127" s="1423" t="s">
        <v>1231</v>
      </c>
      <c r="E127" s="1424"/>
      <c r="F127" s="1424"/>
      <c r="G127" s="1425" t="s">
        <v>1097</v>
      </c>
      <c r="H127" s="1426" t="s">
        <v>1096</v>
      </c>
      <c r="I127" s="832"/>
      <c r="J127" s="833"/>
    </row>
    <row r="128" spans="2:12" x14ac:dyDescent="0.25">
      <c r="B128" s="831"/>
      <c r="C128" s="884" t="s">
        <v>1095</v>
      </c>
      <c r="D128" s="2251" t="s">
        <v>1094</v>
      </c>
      <c r="E128" s="2252"/>
      <c r="F128" s="2253"/>
      <c r="G128" s="885" t="s">
        <v>1089</v>
      </c>
      <c r="H128" s="677" t="s">
        <v>1223</v>
      </c>
      <c r="I128" s="832">
        <f>N(H128)</f>
        <v>0</v>
      </c>
      <c r="J128" s="833"/>
    </row>
    <row r="129" spans="2:10" x14ac:dyDescent="0.25">
      <c r="B129" s="831"/>
      <c r="C129" s="888" t="s">
        <v>1093</v>
      </c>
      <c r="D129" s="2248" t="s">
        <v>1092</v>
      </c>
      <c r="E129" s="2249"/>
      <c r="F129" s="2250"/>
      <c r="G129" s="887" t="s">
        <v>1089</v>
      </c>
      <c r="H129" s="685" t="s">
        <v>1223</v>
      </c>
      <c r="I129" s="832">
        <f>N(H129)</f>
        <v>0</v>
      </c>
      <c r="J129" s="833"/>
    </row>
    <row r="130" spans="2:10" x14ac:dyDescent="0.25">
      <c r="B130" s="831"/>
      <c r="C130" s="888" t="s">
        <v>1091</v>
      </c>
      <c r="D130" s="2248" t="s">
        <v>1090</v>
      </c>
      <c r="E130" s="2249"/>
      <c r="F130" s="2250"/>
      <c r="G130" s="887" t="s">
        <v>1089</v>
      </c>
      <c r="H130" s="685" t="s">
        <v>1223</v>
      </c>
      <c r="I130" s="832">
        <f>N(H130)</f>
        <v>0</v>
      </c>
      <c r="J130" s="833"/>
    </row>
    <row r="131" spans="2:10" x14ac:dyDescent="0.25">
      <c r="B131" s="831"/>
      <c r="C131" s="888" t="s">
        <v>1088</v>
      </c>
      <c r="D131" s="2248" t="s">
        <v>1087</v>
      </c>
      <c r="E131" s="2249"/>
      <c r="F131" s="2250"/>
      <c r="G131" s="887" t="s">
        <v>1247</v>
      </c>
      <c r="H131" s="682">
        <v>0</v>
      </c>
      <c r="I131" s="832">
        <f>N(H131)</f>
        <v>0</v>
      </c>
      <c r="J131" s="833"/>
    </row>
    <row r="132" spans="2:10" x14ac:dyDescent="0.25">
      <c r="B132" s="831"/>
      <c r="C132" s="890" t="s">
        <v>1086</v>
      </c>
      <c r="D132" s="2245" t="s">
        <v>1085</v>
      </c>
      <c r="E132" s="2246"/>
      <c r="F132" s="2247"/>
      <c r="G132" s="891" t="s">
        <v>1248</v>
      </c>
      <c r="H132" s="683">
        <v>0</v>
      </c>
      <c r="I132" s="832">
        <f>N(H132)</f>
        <v>0</v>
      </c>
      <c r="J132" s="833"/>
    </row>
    <row r="133" spans="2:10" x14ac:dyDescent="0.25">
      <c r="B133" s="831"/>
      <c r="C133" s="858"/>
      <c r="D133" s="859"/>
      <c r="E133" s="860"/>
      <c r="F133" s="860"/>
      <c r="G133" s="861" t="s">
        <v>1084</v>
      </c>
      <c r="H133" s="862">
        <f>SUM(I128:I132)</f>
        <v>0</v>
      </c>
      <c r="I133" s="832"/>
      <c r="J133" s="833"/>
    </row>
    <row r="134" spans="2:10" ht="15.75" thickBot="1" x14ac:dyDescent="0.3">
      <c r="B134" s="831"/>
      <c r="C134" s="832"/>
      <c r="D134" s="832"/>
      <c r="E134" s="832"/>
      <c r="F134" s="832"/>
      <c r="G134" s="832"/>
      <c r="H134" s="832"/>
      <c r="I134" s="832"/>
      <c r="J134" s="833"/>
    </row>
    <row r="135" spans="2:10" x14ac:dyDescent="0.25">
      <c r="B135" s="831"/>
      <c r="C135" s="832"/>
      <c r="D135" s="832"/>
      <c r="E135" s="832"/>
      <c r="F135" s="832"/>
      <c r="G135" s="902" t="s">
        <v>1083</v>
      </c>
      <c r="H135" s="903">
        <f>H27</f>
        <v>0</v>
      </c>
      <c r="I135" s="832"/>
      <c r="J135" s="833"/>
    </row>
    <row r="136" spans="2:10" x14ac:dyDescent="0.25">
      <c r="B136" s="831"/>
      <c r="C136" s="832"/>
      <c r="D136" s="832"/>
      <c r="E136" s="832"/>
      <c r="F136" s="832"/>
      <c r="G136" s="904" t="s">
        <v>1082</v>
      </c>
      <c r="H136" s="905">
        <f>H42</f>
        <v>13</v>
      </c>
      <c r="I136" s="832"/>
      <c r="J136" s="833"/>
    </row>
    <row r="137" spans="2:10" x14ac:dyDescent="0.25">
      <c r="B137" s="831"/>
      <c r="C137" s="832"/>
      <c r="D137" s="832"/>
      <c r="E137" s="832"/>
      <c r="F137" s="832"/>
      <c r="G137" s="904" t="s">
        <v>1081</v>
      </c>
      <c r="H137" s="905">
        <f>H54</f>
        <v>10</v>
      </c>
      <c r="I137" s="832"/>
      <c r="J137" s="833"/>
    </row>
    <row r="138" spans="2:10" x14ac:dyDescent="0.25">
      <c r="B138" s="831"/>
      <c r="C138" s="832"/>
      <c r="D138" s="832"/>
      <c r="E138" s="832"/>
      <c r="F138" s="832"/>
      <c r="G138" s="904" t="s">
        <v>1080</v>
      </c>
      <c r="H138" s="905">
        <f>H61</f>
        <v>4</v>
      </c>
      <c r="I138" s="832"/>
      <c r="J138" s="833"/>
    </row>
    <row r="139" spans="2:10" x14ac:dyDescent="0.25">
      <c r="B139" s="831"/>
      <c r="C139" s="832"/>
      <c r="D139" s="832"/>
      <c r="E139" s="832"/>
      <c r="F139" s="832"/>
      <c r="G139" s="904" t="s">
        <v>1079</v>
      </c>
      <c r="H139" s="905">
        <f>H84</f>
        <v>10</v>
      </c>
      <c r="I139" s="832"/>
      <c r="J139" s="833"/>
    </row>
    <row r="140" spans="2:10" x14ac:dyDescent="0.25">
      <c r="B140" s="831"/>
      <c r="C140" s="832"/>
      <c r="D140" s="832"/>
      <c r="E140" s="832"/>
      <c r="F140" s="832"/>
      <c r="G140" s="904" t="s">
        <v>1078</v>
      </c>
      <c r="H140" s="905">
        <f>H97</f>
        <v>5.5</v>
      </c>
      <c r="I140" s="832"/>
      <c r="J140" s="833"/>
    </row>
    <row r="141" spans="2:10" x14ac:dyDescent="0.25">
      <c r="B141" s="831"/>
      <c r="C141" s="832"/>
      <c r="D141" s="832"/>
      <c r="E141" s="832"/>
      <c r="F141" s="832"/>
      <c r="G141" s="904" t="s">
        <v>1077</v>
      </c>
      <c r="H141" s="905">
        <f>H124</f>
        <v>13</v>
      </c>
      <c r="I141" s="832"/>
      <c r="J141" s="833"/>
    </row>
    <row r="142" spans="2:10" ht="15.75" thickBot="1" x14ac:dyDescent="0.3">
      <c r="B142" s="831"/>
      <c r="C142" s="832"/>
      <c r="D142" s="832"/>
      <c r="E142" s="832"/>
      <c r="F142" s="832"/>
      <c r="G142" s="906" t="s">
        <v>1076</v>
      </c>
      <c r="H142" s="907">
        <f>H133</f>
        <v>0</v>
      </c>
      <c r="I142" s="832"/>
      <c r="J142" s="833"/>
    </row>
    <row r="143" spans="2:10" ht="16.5" thickTop="1" thickBot="1" x14ac:dyDescent="0.3">
      <c r="B143" s="831"/>
      <c r="C143" s="832"/>
      <c r="D143" s="832"/>
      <c r="E143" s="832"/>
      <c r="F143" s="832"/>
      <c r="G143" s="908" t="s">
        <v>1075</v>
      </c>
      <c r="H143" s="909">
        <f>SUM(H135:H142)</f>
        <v>55.5</v>
      </c>
      <c r="I143" s="832"/>
      <c r="J143" s="833"/>
    </row>
    <row r="144" spans="2:10" ht="9" customHeight="1" thickBot="1" x14ac:dyDescent="0.3">
      <c r="B144" s="892"/>
      <c r="C144" s="894"/>
      <c r="D144" s="894"/>
      <c r="E144" s="894"/>
      <c r="F144" s="894"/>
      <c r="G144" s="894"/>
      <c r="H144" s="894"/>
      <c r="I144" s="894"/>
      <c r="J144" s="896"/>
    </row>
  </sheetData>
  <sheetProtection algorithmName="SHA-512" hashValue="6jenpI6OxfFGWUKv10jKa/9IzJi1ZqcPMC1+ZxC+/GP7gxKn0HwzMsCmsS6JZpGv/Zk3ZygEZ0PhTGTBZlDbHg==" saltValue="MwmaHm59OYa+MQlhkSz5Vg==" spinCount="100000" sheet="1" objects="1" scenarios="1" formatCells="0" formatColumns="0" formatRows="0"/>
  <dataConsolidate/>
  <mergeCells count="79">
    <mergeCell ref="D132:F132"/>
    <mergeCell ref="D122:F122"/>
    <mergeCell ref="D123:F123"/>
    <mergeCell ref="D128:F128"/>
    <mergeCell ref="D129:F129"/>
    <mergeCell ref="D130:F130"/>
    <mergeCell ref="D131:F131"/>
    <mergeCell ref="D121:F121"/>
    <mergeCell ref="D110:F110"/>
    <mergeCell ref="D111:F111"/>
    <mergeCell ref="D112:F112"/>
    <mergeCell ref="D113:F113"/>
    <mergeCell ref="D114:F114"/>
    <mergeCell ref="D115:F115"/>
    <mergeCell ref="D116:F116"/>
    <mergeCell ref="D117:F117"/>
    <mergeCell ref="D118:F118"/>
    <mergeCell ref="D119:F119"/>
    <mergeCell ref="D120:F120"/>
    <mergeCell ref="D109:F109"/>
    <mergeCell ref="D93:F93"/>
    <mergeCell ref="D94:F94"/>
    <mergeCell ref="D95:F95"/>
    <mergeCell ref="D96:F96"/>
    <mergeCell ref="D102:F102"/>
    <mergeCell ref="D103:F103"/>
    <mergeCell ref="D104:F104"/>
    <mergeCell ref="D105:F105"/>
    <mergeCell ref="D106:F106"/>
    <mergeCell ref="D107:F107"/>
    <mergeCell ref="D108:F108"/>
    <mergeCell ref="D92:F92"/>
    <mergeCell ref="D77:F77"/>
    <mergeCell ref="D78:F78"/>
    <mergeCell ref="D79:F79"/>
    <mergeCell ref="D80:F80"/>
    <mergeCell ref="D81:F81"/>
    <mergeCell ref="D82:F82"/>
    <mergeCell ref="D83:F83"/>
    <mergeCell ref="D88:F88"/>
    <mergeCell ref="D89:F89"/>
    <mergeCell ref="D90:F90"/>
    <mergeCell ref="D91:F91"/>
    <mergeCell ref="D76:F76"/>
    <mergeCell ref="D60:F60"/>
    <mergeCell ref="D66:F66"/>
    <mergeCell ref="D67:F67"/>
    <mergeCell ref="D68:F68"/>
    <mergeCell ref="D69:F69"/>
    <mergeCell ref="D70:F70"/>
    <mergeCell ref="D71:F71"/>
    <mergeCell ref="D72:F72"/>
    <mergeCell ref="D73:F73"/>
    <mergeCell ref="D74:F74"/>
    <mergeCell ref="D75:F75"/>
    <mergeCell ref="D59:F59"/>
    <mergeCell ref="D40:F40"/>
    <mergeCell ref="D41:F41"/>
    <mergeCell ref="D46:F46"/>
    <mergeCell ref="D47:F47"/>
    <mergeCell ref="D48:F48"/>
    <mergeCell ref="D49:F49"/>
    <mergeCell ref="D50:F50"/>
    <mergeCell ref="D51:F51"/>
    <mergeCell ref="D52:F52"/>
    <mergeCell ref="D53:F53"/>
    <mergeCell ref="D58:F58"/>
    <mergeCell ref="D39:F39"/>
    <mergeCell ref="C13:H13"/>
    <mergeCell ref="D25:F25"/>
    <mergeCell ref="D26:F26"/>
    <mergeCell ref="D31:F31"/>
    <mergeCell ref="D32:F32"/>
    <mergeCell ref="D33:F33"/>
    <mergeCell ref="D34:F34"/>
    <mergeCell ref="D35:F35"/>
    <mergeCell ref="D36:F36"/>
    <mergeCell ref="D37:F37"/>
    <mergeCell ref="D38:F38"/>
  </mergeCells>
  <conditionalFormatting sqref="E20:E21 C21">
    <cfRule type="expression" dxfId="44" priority="34">
      <formula>$D$19&lt;&gt;"Rehab"</formula>
    </cfRule>
  </conditionalFormatting>
  <conditionalFormatting sqref="F20:F21 D21">
    <cfRule type="expression" dxfId="43" priority="33">
      <formula>$D$19&lt;&gt;"Rehab"</formula>
    </cfRule>
  </conditionalFormatting>
  <conditionalFormatting sqref="H25">
    <cfRule type="expression" dxfId="42" priority="32">
      <formula>$H$25&lt;&gt;"X"</formula>
    </cfRule>
  </conditionalFormatting>
  <conditionalFormatting sqref="H31">
    <cfRule type="expression" dxfId="41" priority="31">
      <formula>$H$31&lt;&gt;"X"</formula>
    </cfRule>
  </conditionalFormatting>
  <conditionalFormatting sqref="H33">
    <cfRule type="expression" dxfId="40" priority="30">
      <formula>$H$33&lt;&gt;"X"</formula>
    </cfRule>
  </conditionalFormatting>
  <conditionalFormatting sqref="H46">
    <cfRule type="expression" dxfId="39" priority="29">
      <formula>$H$46&lt;&gt;"X"</formula>
    </cfRule>
  </conditionalFormatting>
  <conditionalFormatting sqref="H58">
    <cfRule type="expression" dxfId="38" priority="28">
      <formula>$H$25&lt;&gt;"X"</formula>
    </cfRule>
  </conditionalFormatting>
  <conditionalFormatting sqref="H47">
    <cfRule type="expression" dxfId="37" priority="27">
      <formula>H47&lt;&gt;"X"</formula>
    </cfRule>
  </conditionalFormatting>
  <conditionalFormatting sqref="H48">
    <cfRule type="expression" dxfId="36" priority="26">
      <formula>H48&lt;&gt;"X"</formula>
    </cfRule>
  </conditionalFormatting>
  <conditionalFormatting sqref="H51">
    <cfRule type="expression" dxfId="35" priority="25">
      <formula>H51&lt;&gt;"X"</formula>
    </cfRule>
  </conditionalFormatting>
  <conditionalFormatting sqref="H70">
    <cfRule type="expression" dxfId="34" priority="24">
      <formula>H70&lt;&gt;"X"</formula>
    </cfRule>
  </conditionalFormatting>
  <conditionalFormatting sqref="H71">
    <cfRule type="expression" dxfId="33" priority="23">
      <formula>H71&lt;&gt;"X"</formula>
    </cfRule>
  </conditionalFormatting>
  <conditionalFormatting sqref="H73">
    <cfRule type="expression" dxfId="32" priority="22">
      <formula>H73&lt;&gt;"X"</formula>
    </cfRule>
  </conditionalFormatting>
  <conditionalFormatting sqref="H79">
    <cfRule type="expression" dxfId="31" priority="21">
      <formula>H79&lt;&gt;"X"</formula>
    </cfRule>
  </conditionalFormatting>
  <conditionalFormatting sqref="H89">
    <cfRule type="expression" dxfId="30" priority="20">
      <formula>H89&lt;&gt;"X"</formula>
    </cfRule>
  </conditionalFormatting>
  <conditionalFormatting sqref="H103">
    <cfRule type="expression" dxfId="29" priority="19">
      <formula>H103&lt;&gt;"X"</formula>
    </cfRule>
  </conditionalFormatting>
  <conditionalFormatting sqref="H109:H112">
    <cfRule type="expression" dxfId="28" priority="18">
      <formula>H109&lt;&gt;"X"</formula>
    </cfRule>
  </conditionalFormatting>
  <conditionalFormatting sqref="H114:H118">
    <cfRule type="expression" dxfId="27" priority="17">
      <formula>H114&lt;&gt;"X"</formula>
    </cfRule>
  </conditionalFormatting>
  <conditionalFormatting sqref="H120:H122">
    <cfRule type="expression" dxfId="26" priority="16">
      <formula>H120&lt;&gt;"X"</formula>
    </cfRule>
  </conditionalFormatting>
  <conditionalFormatting sqref="H129">
    <cfRule type="expression" dxfId="25" priority="15">
      <formula>H129&lt;&gt;"X"</formula>
    </cfRule>
  </conditionalFormatting>
  <conditionalFormatting sqref="H130">
    <cfRule type="expression" dxfId="24" priority="14">
      <formula>H130&lt;&gt;"X"</formula>
    </cfRule>
  </conditionalFormatting>
  <conditionalFormatting sqref="H128">
    <cfRule type="expression" dxfId="23" priority="13">
      <formula>H128&lt;&gt;"X"</formula>
    </cfRule>
  </conditionalFormatting>
  <conditionalFormatting sqref="H102">
    <cfRule type="expression" dxfId="22" priority="12">
      <formula>H102&lt;&gt;"X"</formula>
    </cfRule>
  </conditionalFormatting>
  <conditionalFormatting sqref="H88">
    <cfRule type="expression" dxfId="21" priority="11">
      <formula>H88&lt;&gt;"X"</formula>
    </cfRule>
  </conditionalFormatting>
  <conditionalFormatting sqref="H53">
    <cfRule type="expression" dxfId="20" priority="10">
      <formula>H53&lt;&gt;"X"</formula>
    </cfRule>
  </conditionalFormatting>
  <conditionalFormatting sqref="H81:H83">
    <cfRule type="expression" dxfId="19" priority="9">
      <formula>$H$69=5</formula>
    </cfRule>
  </conditionalFormatting>
  <conditionalFormatting sqref="H80">
    <cfRule type="expression" dxfId="18" priority="8">
      <formula>(AND(H68&lt;&gt;"n/a",H68&lt;&gt;0))</formula>
    </cfRule>
  </conditionalFormatting>
  <conditionalFormatting sqref="H78">
    <cfRule type="expression" dxfId="17" priority="7">
      <formula>(AND(H68&lt;&gt;"n/a",H66&lt;&gt;0))</formula>
    </cfRule>
  </conditionalFormatting>
  <conditionalFormatting sqref="H76">
    <cfRule type="expression" dxfId="16" priority="6">
      <formula>(AND(H68&lt;&gt;"n/a",H68&lt;&gt;0))</formula>
    </cfRule>
  </conditionalFormatting>
  <conditionalFormatting sqref="H19">
    <cfRule type="expression" dxfId="15" priority="5">
      <formula>$H$19&lt;&gt;""</formula>
    </cfRule>
  </conditionalFormatting>
  <conditionalFormatting sqref="H21">
    <cfRule type="expression" dxfId="14" priority="4">
      <formula>$H$21&lt;&gt;""</formula>
    </cfRule>
  </conditionalFormatting>
  <conditionalFormatting sqref="D17:H17">
    <cfRule type="expression" dxfId="13" priority="2">
      <formula>$D$17="Rural"</formula>
    </cfRule>
    <cfRule type="expression" dxfId="12" priority="3">
      <formula>$D$17="Urban"</formula>
    </cfRule>
  </conditionalFormatting>
  <conditionalFormatting sqref="H128:H130 H120:H122 H114:H118 H109:H112 H102:H103 H88:H89 H79 H73 H70:H71 H58 H53 H51 H46:H48 H33 H31 H25">
    <cfRule type="cellIs" dxfId="11" priority="1" operator="notEqual">
      <formula>"X"</formula>
    </cfRule>
  </conditionalFormatting>
  <dataValidations count="5">
    <dataValidation type="list" allowBlank="1" showInputMessage="1" showErrorMessage="1" sqref="H25 H31 H33 H46:H48 H51 H53 H58 H70:H71 H73 H79 H88:H89 H102:H103 H109:H112 H114:H118 H120:H122 H128:H130">
      <formula1>"X,n/a"</formula1>
    </dataValidation>
    <dataValidation type="list" allowBlank="1" showInputMessage="1" showErrorMessage="1" sqref="D21 F20">
      <formula1>"Select…,Moderate,Substantial"</formula1>
    </dataValidation>
    <dataValidation type="list" allowBlank="1" showInputMessage="1" showErrorMessage="1" sqref="D19:D20">
      <formula1>"Select…,New Construction,Rehab"</formula1>
    </dataValidation>
    <dataValidation type="list" allowBlank="1" showInputMessage="1" showErrorMessage="1" sqref="D17:D18">
      <formula1>"Select…,Urban,Rural"</formula1>
    </dataValidation>
    <dataValidation type="date" operator="greaterThan" allowBlank="1" showInputMessage="1" showErrorMessage="1" errorTitle="Incorrect Date/Format" error="Please enter a date in the format mm/dd/yyyy." sqref="F16:G16 C16:D16">
      <formula1>39630</formula1>
    </dataValidation>
  </dataValidations>
  <printOptions horizontalCentered="1"/>
  <pageMargins left="0.7" right="0.7" top="0.75" bottom="0.75" header="0.3" footer="0.3"/>
  <pageSetup scale="64" fitToHeight="2" orientation="portrait" r:id="rId1"/>
  <headerFooter>
    <oddFooter>&amp;LForm 2C
Evergreen Standard Checklist
(ESDS v2.2)&amp;CCFA Forms&amp;REdition: 2015
Version: 1.0</oddFooter>
  </headerFooter>
  <rowBreaks count="1" manualBreakCount="1">
    <brk id="85" min="1" max="9"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I44"/>
  <sheetViews>
    <sheetView showGridLines="0" view="pageBreakPreview" topLeftCell="A10" zoomScale="60" zoomScaleNormal="100" workbookViewId="0">
      <selection activeCell="C31" sqref="C31:H43"/>
    </sheetView>
  </sheetViews>
  <sheetFormatPr defaultColWidth="9.140625" defaultRowHeight="15" x14ac:dyDescent="0.25"/>
  <cols>
    <col min="1" max="2" width="1.7109375" style="734" customWidth="1"/>
    <col min="3" max="3" width="20.42578125" style="734" customWidth="1"/>
    <col min="4" max="4" width="16.140625" style="734" customWidth="1"/>
    <col min="5" max="5" width="14.5703125" style="734" customWidth="1"/>
    <col min="6" max="6" width="20.85546875" style="734" customWidth="1"/>
    <col min="7" max="7" width="6.7109375" style="734" bestFit="1" customWidth="1"/>
    <col min="8" max="8" width="12.7109375" style="734" bestFit="1" customWidth="1"/>
    <col min="9" max="9" width="1.7109375" style="734" customWidth="1"/>
    <col min="10" max="16384" width="9.140625" style="734"/>
  </cols>
  <sheetData>
    <row r="10" spans="2:9" ht="9" customHeight="1" thickBot="1" x14ac:dyDescent="0.3"/>
    <row r="11" spans="2:9" ht="9" customHeight="1" x14ac:dyDescent="0.25">
      <c r="B11" s="916"/>
      <c r="C11" s="917"/>
      <c r="D11" s="917"/>
      <c r="E11" s="917"/>
      <c r="F11" s="917"/>
      <c r="G11" s="917"/>
      <c r="H11" s="917"/>
      <c r="I11" s="918"/>
    </row>
    <row r="12" spans="2:9" ht="18.75" x14ac:dyDescent="0.3">
      <c r="B12" s="919"/>
      <c r="C12" s="2208" t="s">
        <v>79</v>
      </c>
      <c r="D12" s="2208"/>
      <c r="E12" s="2208"/>
      <c r="F12" s="2208"/>
      <c r="G12" s="2208"/>
      <c r="H12" s="2208"/>
      <c r="I12" s="920"/>
    </row>
    <row r="13" spans="2:9" x14ac:dyDescent="0.25">
      <c r="B13" s="919"/>
      <c r="C13" s="921"/>
      <c r="D13" s="786"/>
      <c r="E13" s="786"/>
      <c r="F13" s="786"/>
      <c r="G13" s="786"/>
      <c r="H13" s="786"/>
      <c r="I13" s="920"/>
    </row>
    <row r="14" spans="2:9" x14ac:dyDescent="0.25">
      <c r="B14" s="919"/>
      <c r="C14" s="193" t="s">
        <v>1</v>
      </c>
      <c r="D14" s="922" t="str">
        <f>IF('1A'!G5="","Enter Project Name on Form 1A",'1A'!G5)</f>
        <v xml:space="preserve">Building 9 </v>
      </c>
      <c r="E14" s="812"/>
      <c r="F14" s="922"/>
      <c r="G14" s="787"/>
      <c r="H14" s="787"/>
      <c r="I14" s="920"/>
    </row>
    <row r="15" spans="2:9" ht="22.7" customHeight="1" thickBot="1" x14ac:dyDescent="0.3">
      <c r="B15" s="919"/>
      <c r="C15" s="921"/>
      <c r="D15" s="786"/>
      <c r="E15" s="786"/>
      <c r="F15" s="786"/>
      <c r="G15" s="786"/>
      <c r="H15" s="786"/>
      <c r="I15" s="920"/>
    </row>
    <row r="16" spans="2:9" ht="30" x14ac:dyDescent="0.25">
      <c r="B16" s="923"/>
      <c r="C16" s="2293" t="s">
        <v>80</v>
      </c>
      <c r="D16" s="2294"/>
      <c r="E16" s="924" t="s">
        <v>81</v>
      </c>
      <c r="F16" s="925" t="s">
        <v>82</v>
      </c>
      <c r="G16" s="924" t="s">
        <v>83</v>
      </c>
      <c r="H16" s="926" t="s">
        <v>84</v>
      </c>
      <c r="I16" s="927"/>
    </row>
    <row r="17" spans="2:9" x14ac:dyDescent="0.25">
      <c r="B17" s="919"/>
      <c r="C17" s="2308" t="s">
        <v>711</v>
      </c>
      <c r="D17" s="2309"/>
      <c r="E17" s="1947" t="s">
        <v>1390</v>
      </c>
      <c r="F17" s="1948" t="s">
        <v>1401</v>
      </c>
      <c r="G17" s="1949" t="s">
        <v>277</v>
      </c>
      <c r="H17" s="1950">
        <v>103</v>
      </c>
      <c r="I17" s="920"/>
    </row>
    <row r="18" spans="2:9" x14ac:dyDescent="0.25">
      <c r="B18" s="919"/>
      <c r="C18" s="2310" t="s">
        <v>713</v>
      </c>
      <c r="D18" s="2311"/>
      <c r="E18" s="1945" t="s">
        <v>1390</v>
      </c>
      <c r="F18" s="1951" t="s">
        <v>1401</v>
      </c>
      <c r="G18" s="1945" t="s">
        <v>277</v>
      </c>
      <c r="H18" s="1946">
        <v>8</v>
      </c>
      <c r="I18" s="920"/>
    </row>
    <row r="19" spans="2:9" x14ac:dyDescent="0.25">
      <c r="B19" s="919"/>
      <c r="C19" s="2310" t="s">
        <v>709</v>
      </c>
      <c r="D19" s="2311"/>
      <c r="E19" s="1945" t="s">
        <v>1390</v>
      </c>
      <c r="F19" s="1951" t="s">
        <v>1401</v>
      </c>
      <c r="G19" s="1945" t="s">
        <v>277</v>
      </c>
      <c r="H19" s="1946">
        <v>17</v>
      </c>
      <c r="I19" s="920"/>
    </row>
    <row r="20" spans="2:9" x14ac:dyDescent="0.25">
      <c r="B20" s="919"/>
      <c r="C20" s="2304"/>
      <c r="D20" s="2305"/>
      <c r="E20" s="910"/>
      <c r="F20" s="911"/>
      <c r="G20" s="910"/>
      <c r="H20" s="912"/>
      <c r="I20" s="920"/>
    </row>
    <row r="21" spans="2:9" x14ac:dyDescent="0.25">
      <c r="B21" s="919"/>
      <c r="C21" s="2304"/>
      <c r="D21" s="2305"/>
      <c r="E21" s="910"/>
      <c r="F21" s="911"/>
      <c r="G21" s="910"/>
      <c r="H21" s="912"/>
      <c r="I21" s="920"/>
    </row>
    <row r="22" spans="2:9" x14ac:dyDescent="0.25">
      <c r="B22" s="919"/>
      <c r="C22" s="2304"/>
      <c r="D22" s="2305"/>
      <c r="E22" s="910"/>
      <c r="F22" s="911"/>
      <c r="G22" s="910"/>
      <c r="H22" s="912"/>
      <c r="I22" s="920"/>
    </row>
    <row r="23" spans="2:9" x14ac:dyDescent="0.25">
      <c r="B23" s="919"/>
      <c r="C23" s="2304"/>
      <c r="D23" s="2305"/>
      <c r="E23" s="910"/>
      <c r="F23" s="911"/>
      <c r="G23" s="910"/>
      <c r="H23" s="912"/>
      <c r="I23" s="920"/>
    </row>
    <row r="24" spans="2:9" x14ac:dyDescent="0.25">
      <c r="B24" s="919"/>
      <c r="C24" s="2304"/>
      <c r="D24" s="2305"/>
      <c r="E24" s="910"/>
      <c r="F24" s="911"/>
      <c r="G24" s="910"/>
      <c r="H24" s="912"/>
      <c r="I24" s="920"/>
    </row>
    <row r="25" spans="2:9" x14ac:dyDescent="0.25">
      <c r="B25" s="919"/>
      <c r="C25" s="2304"/>
      <c r="D25" s="2305"/>
      <c r="E25" s="910"/>
      <c r="F25" s="911"/>
      <c r="G25" s="910"/>
      <c r="H25" s="912"/>
      <c r="I25" s="920"/>
    </row>
    <row r="26" spans="2:9" x14ac:dyDescent="0.25">
      <c r="B26" s="919"/>
      <c r="C26" s="2304"/>
      <c r="D26" s="2305"/>
      <c r="E26" s="910"/>
      <c r="F26" s="911"/>
      <c r="G26" s="910"/>
      <c r="H26" s="912"/>
      <c r="I26" s="920"/>
    </row>
    <row r="27" spans="2:9" x14ac:dyDescent="0.25">
      <c r="B27" s="919"/>
      <c r="C27" s="2304"/>
      <c r="D27" s="2305"/>
      <c r="E27" s="910"/>
      <c r="F27" s="911"/>
      <c r="G27" s="910"/>
      <c r="H27" s="912"/>
      <c r="I27" s="920"/>
    </row>
    <row r="28" spans="2:9" ht="15.75" thickBot="1" x14ac:dyDescent="0.3">
      <c r="B28" s="919"/>
      <c r="C28" s="2306"/>
      <c r="D28" s="2307"/>
      <c r="E28" s="913"/>
      <c r="F28" s="914"/>
      <c r="G28" s="913"/>
      <c r="H28" s="915"/>
      <c r="I28" s="920"/>
    </row>
    <row r="29" spans="2:9" ht="16.5" thickTop="1" thickBot="1" x14ac:dyDescent="0.3">
      <c r="B29" s="919"/>
      <c r="C29" s="786"/>
      <c r="D29" s="786"/>
      <c r="E29" s="786"/>
      <c r="F29" s="786"/>
      <c r="G29" s="928" t="str">
        <f>IF(H29&gt;'1B'!L68,"WARNING: Units duplicated. Please ensure Total Units matches Form 1B","")</f>
        <v/>
      </c>
      <c r="H29" s="933">
        <f>SUM(H17:H28)</f>
        <v>128</v>
      </c>
      <c r="I29" s="920"/>
    </row>
    <row r="30" spans="2:9" ht="15.75" thickTop="1" x14ac:dyDescent="0.25">
      <c r="B30" s="919"/>
      <c r="C30" s="929" t="s">
        <v>85</v>
      </c>
      <c r="D30" s="786"/>
      <c r="E30" s="786"/>
      <c r="F30" s="786"/>
      <c r="G30" s="786"/>
      <c r="H30" s="786"/>
      <c r="I30" s="920"/>
    </row>
    <row r="31" spans="2:9" x14ac:dyDescent="0.25">
      <c r="B31" s="919"/>
      <c r="C31" s="2295" t="s">
        <v>1556</v>
      </c>
      <c r="D31" s="2296"/>
      <c r="E31" s="2296"/>
      <c r="F31" s="2296"/>
      <c r="G31" s="2296"/>
      <c r="H31" s="2297"/>
      <c r="I31" s="920"/>
    </row>
    <row r="32" spans="2:9" x14ac:dyDescent="0.25">
      <c r="B32" s="919"/>
      <c r="C32" s="2298"/>
      <c r="D32" s="2299"/>
      <c r="E32" s="2299"/>
      <c r="F32" s="2299"/>
      <c r="G32" s="2299"/>
      <c r="H32" s="2300"/>
      <c r="I32" s="920"/>
    </row>
    <row r="33" spans="2:9" x14ac:dyDescent="0.25">
      <c r="B33" s="919"/>
      <c r="C33" s="2298"/>
      <c r="D33" s="2299"/>
      <c r="E33" s="2299"/>
      <c r="F33" s="2299"/>
      <c r="G33" s="2299"/>
      <c r="H33" s="2300"/>
      <c r="I33" s="920"/>
    </row>
    <row r="34" spans="2:9" x14ac:dyDescent="0.25">
      <c r="B34" s="919"/>
      <c r="C34" s="2298"/>
      <c r="D34" s="2299"/>
      <c r="E34" s="2299"/>
      <c r="F34" s="2299"/>
      <c r="G34" s="2299"/>
      <c r="H34" s="2300"/>
      <c r="I34" s="920"/>
    </row>
    <row r="35" spans="2:9" x14ac:dyDescent="0.25">
      <c r="B35" s="919"/>
      <c r="C35" s="2298"/>
      <c r="D35" s="2299"/>
      <c r="E35" s="2299"/>
      <c r="F35" s="2299"/>
      <c r="G35" s="2299"/>
      <c r="H35" s="2300"/>
      <c r="I35" s="920"/>
    </row>
    <row r="36" spans="2:9" x14ac:dyDescent="0.25">
      <c r="B36" s="919"/>
      <c r="C36" s="2298"/>
      <c r="D36" s="2299"/>
      <c r="E36" s="2299"/>
      <c r="F36" s="2299"/>
      <c r="G36" s="2299"/>
      <c r="H36" s="2300"/>
      <c r="I36" s="920"/>
    </row>
    <row r="37" spans="2:9" x14ac:dyDescent="0.25">
      <c r="B37" s="919"/>
      <c r="C37" s="2298"/>
      <c r="D37" s="2299"/>
      <c r="E37" s="2299"/>
      <c r="F37" s="2299"/>
      <c r="G37" s="2299"/>
      <c r="H37" s="2300"/>
      <c r="I37" s="920"/>
    </row>
    <row r="38" spans="2:9" x14ac:dyDescent="0.25">
      <c r="B38" s="919"/>
      <c r="C38" s="2298"/>
      <c r="D38" s="2299"/>
      <c r="E38" s="2299"/>
      <c r="F38" s="2299"/>
      <c r="G38" s="2299"/>
      <c r="H38" s="2300"/>
      <c r="I38" s="920"/>
    </row>
    <row r="39" spans="2:9" x14ac:dyDescent="0.25">
      <c r="B39" s="919"/>
      <c r="C39" s="2298"/>
      <c r="D39" s="2299"/>
      <c r="E39" s="2299"/>
      <c r="F39" s="2299"/>
      <c r="G39" s="2299"/>
      <c r="H39" s="2300"/>
      <c r="I39" s="920"/>
    </row>
    <row r="40" spans="2:9" x14ac:dyDescent="0.25">
      <c r="B40" s="919"/>
      <c r="C40" s="2298"/>
      <c r="D40" s="2299"/>
      <c r="E40" s="2299"/>
      <c r="F40" s="2299"/>
      <c r="G40" s="2299"/>
      <c r="H40" s="2300"/>
      <c r="I40" s="920"/>
    </row>
    <row r="41" spans="2:9" x14ac:dyDescent="0.25">
      <c r="B41" s="919"/>
      <c r="C41" s="2298"/>
      <c r="D41" s="2299"/>
      <c r="E41" s="2299"/>
      <c r="F41" s="2299"/>
      <c r="G41" s="2299"/>
      <c r="H41" s="2300"/>
      <c r="I41" s="920"/>
    </row>
    <row r="42" spans="2:9" x14ac:dyDescent="0.25">
      <c r="B42" s="919"/>
      <c r="C42" s="2298"/>
      <c r="D42" s="2299"/>
      <c r="E42" s="2299"/>
      <c r="F42" s="2299"/>
      <c r="G42" s="2299"/>
      <c r="H42" s="2300"/>
      <c r="I42" s="920"/>
    </row>
    <row r="43" spans="2:9" x14ac:dyDescent="0.25">
      <c r="B43" s="919"/>
      <c r="C43" s="2301"/>
      <c r="D43" s="2302"/>
      <c r="E43" s="2302"/>
      <c r="F43" s="2302"/>
      <c r="G43" s="2302"/>
      <c r="H43" s="2303"/>
      <c r="I43" s="920"/>
    </row>
    <row r="44" spans="2:9" ht="9" customHeight="1" thickBot="1" x14ac:dyDescent="0.3">
      <c r="B44" s="930"/>
      <c r="C44" s="931"/>
      <c r="D44" s="931"/>
      <c r="E44" s="931"/>
      <c r="F44" s="931"/>
      <c r="G44" s="931"/>
      <c r="H44" s="931"/>
      <c r="I44" s="932"/>
    </row>
  </sheetData>
  <sheetProtection algorithmName="SHA-512" hashValue="1P0X3nOvGpu814N7KQWPTgiSMusKsm3606J9pnV+yBx4Am6HDYwvvV+EkZnFEMi6B+DDRETktcxFCEWRq6nPyw==" saltValue="KfXlk8m1rXsbLsOvZrDB4A==" spinCount="100000" sheet="1" objects="1" scenarios="1" formatCells="0" formatColumns="0" formatRows="0"/>
  <mergeCells count="15">
    <mergeCell ref="C12:H12"/>
    <mergeCell ref="C16:D16"/>
    <mergeCell ref="C31:H43"/>
    <mergeCell ref="C24:D24"/>
    <mergeCell ref="C28:D28"/>
    <mergeCell ref="C25:D25"/>
    <mergeCell ref="C26:D26"/>
    <mergeCell ref="C27:D27"/>
    <mergeCell ref="C21:D21"/>
    <mergeCell ref="C22:D22"/>
    <mergeCell ref="C23:D23"/>
    <mergeCell ref="C20:D20"/>
    <mergeCell ref="C17:D17"/>
    <mergeCell ref="C18:D18"/>
    <mergeCell ref="C19:D19"/>
  </mergeCells>
  <dataValidations count="4">
    <dataValidation type="list" allowBlank="1" showInputMessage="1" showErrorMessage="1" sqref="F17:F28">
      <formula1>"Shelter,Transitional,Permanent Supportive,Multifamily Rental,Homeownership"</formula1>
    </dataValidation>
    <dataValidation type="list" allowBlank="1" showInputMessage="1" showErrorMessage="1" sqref="C17:D28">
      <formula1>Population_Types</formula1>
    </dataValidation>
    <dataValidation type="list" allowBlank="1" showInputMessage="1" showErrorMessage="1" sqref="G17:G28">
      <formula1>"Unit,Bed"</formula1>
    </dataValidation>
    <dataValidation type="list" allowBlank="1" showInputMessage="1" showErrorMessage="1" sqref="E17:E28">
      <formula1>"Yes,No"</formula1>
    </dataValidation>
  </dataValidations>
  <pageMargins left="0.7" right="0.7" top="0.75" bottom="0.75" header="0.3" footer="0.3"/>
  <pageSetup scale="95" orientation="portrait" r:id="rId1"/>
  <headerFooter>
    <oddFooter>&amp;LForm 3
Populations to be Served&amp;CCFA Forms&amp;REdition: 2015
Version: 1.0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7"/>
  <sheetViews>
    <sheetView showGridLines="0" view="pageBreakPreview" zoomScale="60" zoomScaleNormal="100" workbookViewId="0">
      <selection activeCell="F1" sqref="F1"/>
    </sheetView>
  </sheetViews>
  <sheetFormatPr defaultColWidth="9.140625" defaultRowHeight="15" x14ac:dyDescent="0.25"/>
  <cols>
    <col min="1" max="1" width="1.7109375" style="734" customWidth="1"/>
    <col min="2" max="2" width="1.7109375" style="806" customWidth="1"/>
    <col min="3" max="3" width="21.140625" style="734" customWidth="1"/>
    <col min="4" max="4" width="19.85546875" style="734" customWidth="1"/>
    <col min="5" max="5" width="23.5703125" style="734" customWidth="1"/>
    <col min="6" max="6" width="11.42578125" style="734" customWidth="1"/>
    <col min="7" max="7" width="21.42578125" style="734" customWidth="1"/>
    <col min="8" max="8" width="1.7109375" style="806" customWidth="1"/>
    <col min="9" max="16384" width="9.140625" style="734"/>
  </cols>
  <sheetData>
    <row r="1" spans="2:8" ht="9" customHeight="1" thickBot="1" x14ac:dyDescent="0.3"/>
    <row r="2" spans="2:8" ht="9" customHeight="1" x14ac:dyDescent="0.25">
      <c r="B2" s="934"/>
      <c r="C2" s="935"/>
      <c r="D2" s="935"/>
      <c r="E2" s="935"/>
      <c r="F2" s="935"/>
      <c r="G2" s="935"/>
      <c r="H2" s="936"/>
    </row>
    <row r="3" spans="2:8" ht="18.75" x14ac:dyDescent="0.3">
      <c r="B3" s="937"/>
      <c r="C3" s="2323" t="s">
        <v>86</v>
      </c>
      <c r="D3" s="2323"/>
      <c r="E3" s="2323"/>
      <c r="F3" s="2323"/>
      <c r="G3" s="2323"/>
      <c r="H3" s="938"/>
    </row>
    <row r="4" spans="2:8" x14ac:dyDescent="0.25">
      <c r="B4" s="937"/>
      <c r="C4" s="787"/>
      <c r="D4" s="787"/>
      <c r="E4" s="787"/>
      <c r="F4" s="787"/>
      <c r="G4" s="787"/>
      <c r="H4" s="938"/>
    </row>
    <row r="5" spans="2:8" x14ac:dyDescent="0.25">
      <c r="B5" s="937"/>
      <c r="C5" s="810" t="s">
        <v>1</v>
      </c>
      <c r="D5" s="2230" t="str">
        <f>IF('1A'!G5="","Enter Project Name on Form 1A",'1A'!G5)</f>
        <v xml:space="preserve">Building 9 </v>
      </c>
      <c r="E5" s="2230"/>
      <c r="F5" s="2230"/>
      <c r="G5" s="787"/>
      <c r="H5" s="938"/>
    </row>
    <row r="6" spans="2:8" ht="22.7" customHeight="1" thickBot="1" x14ac:dyDescent="0.3">
      <c r="B6" s="937"/>
      <c r="C6" s="787"/>
      <c r="D6" s="787"/>
      <c r="E6" s="787"/>
      <c r="F6" s="787"/>
      <c r="G6" s="787"/>
      <c r="H6" s="938"/>
    </row>
    <row r="7" spans="2:8" ht="39" customHeight="1" thickBot="1" x14ac:dyDescent="0.3">
      <c r="B7" s="937"/>
      <c r="C7" s="939" t="s">
        <v>87</v>
      </c>
      <c r="D7" s="940"/>
      <c r="E7" s="941" t="s">
        <v>88</v>
      </c>
      <c r="F7" s="942" t="s">
        <v>89</v>
      </c>
      <c r="G7" s="943" t="s">
        <v>90</v>
      </c>
      <c r="H7" s="938"/>
    </row>
    <row r="8" spans="2:8" ht="50.25" customHeight="1" x14ac:dyDescent="0.25">
      <c r="B8" s="937"/>
      <c r="C8" s="2312" t="s">
        <v>91</v>
      </c>
      <c r="D8" s="2313"/>
      <c r="E8" s="944"/>
      <c r="F8" s="945"/>
      <c r="G8" s="946"/>
      <c r="H8" s="938"/>
    </row>
    <row r="9" spans="2:8" x14ac:dyDescent="0.25">
      <c r="B9" s="937"/>
      <c r="C9" s="947" t="s">
        <v>92</v>
      </c>
      <c r="D9" s="948"/>
      <c r="E9" s="3"/>
      <c r="F9" s="2"/>
      <c r="G9" s="949">
        <f>E9*F9</f>
        <v>0</v>
      </c>
      <c r="H9" s="938"/>
    </row>
    <row r="10" spans="2:8" x14ac:dyDescent="0.25">
      <c r="B10" s="937"/>
      <c r="C10" s="947" t="s">
        <v>93</v>
      </c>
      <c r="D10" s="948"/>
      <c r="E10" s="145"/>
      <c r="F10" s="144"/>
      <c r="G10" s="950">
        <f t="shared" ref="G10:G17" si="0">E10*F10</f>
        <v>0</v>
      </c>
      <c r="H10" s="938"/>
    </row>
    <row r="11" spans="2:8" x14ac:dyDescent="0.25">
      <c r="B11" s="937"/>
      <c r="C11" s="947" t="s">
        <v>94</v>
      </c>
      <c r="D11" s="948"/>
      <c r="E11" s="145"/>
      <c r="F11" s="144"/>
      <c r="G11" s="950">
        <f t="shared" si="0"/>
        <v>0</v>
      </c>
      <c r="H11" s="938"/>
    </row>
    <row r="12" spans="2:8" x14ac:dyDescent="0.25">
      <c r="B12" s="937"/>
      <c r="C12" s="947" t="s">
        <v>95</v>
      </c>
      <c r="D12" s="948"/>
      <c r="E12" s="145"/>
      <c r="F12" s="144"/>
      <c r="G12" s="950">
        <f t="shared" si="0"/>
        <v>0</v>
      </c>
      <c r="H12" s="938"/>
    </row>
    <row r="13" spans="2:8" x14ac:dyDescent="0.25">
      <c r="B13" s="937"/>
      <c r="C13" s="947" t="s">
        <v>96</v>
      </c>
      <c r="D13" s="948"/>
      <c r="E13" s="145"/>
      <c r="F13" s="144"/>
      <c r="G13" s="950">
        <f t="shared" si="0"/>
        <v>0</v>
      </c>
      <c r="H13" s="938"/>
    </row>
    <row r="14" spans="2:8" x14ac:dyDescent="0.25">
      <c r="B14" s="937"/>
      <c r="C14" s="947" t="s">
        <v>97</v>
      </c>
      <c r="D14" s="948"/>
      <c r="E14" s="145"/>
      <c r="F14" s="144"/>
      <c r="G14" s="950">
        <f t="shared" si="0"/>
        <v>0</v>
      </c>
      <c r="H14" s="938"/>
    </row>
    <row r="15" spans="2:8" x14ac:dyDescent="0.25">
      <c r="B15" s="937"/>
      <c r="C15" s="947" t="s">
        <v>98</v>
      </c>
      <c r="D15" s="948"/>
      <c r="E15" s="145"/>
      <c r="F15" s="144"/>
      <c r="G15" s="950">
        <f t="shared" si="0"/>
        <v>0</v>
      </c>
      <c r="H15" s="938"/>
    </row>
    <row r="16" spans="2:8" x14ac:dyDescent="0.25">
      <c r="B16" s="937"/>
      <c r="C16" s="947" t="s">
        <v>99</v>
      </c>
      <c r="D16" s="948"/>
      <c r="E16" s="145"/>
      <c r="F16" s="144"/>
      <c r="G16" s="950">
        <f t="shared" si="0"/>
        <v>0</v>
      </c>
      <c r="H16" s="938"/>
    </row>
    <row r="17" spans="2:8" ht="15.75" thickBot="1" x14ac:dyDescent="0.3">
      <c r="B17" s="937"/>
      <c r="C17" s="951" t="s">
        <v>100</v>
      </c>
      <c r="D17" s="952"/>
      <c r="E17" s="586"/>
      <c r="F17" s="1"/>
      <c r="G17" s="953">
        <f t="shared" si="0"/>
        <v>0</v>
      </c>
      <c r="H17" s="938"/>
    </row>
    <row r="18" spans="2:8" ht="16.5" thickTop="1" thickBot="1" x14ac:dyDescent="0.3">
      <c r="B18" s="937"/>
      <c r="C18" s="954" t="s">
        <v>101</v>
      </c>
      <c r="D18" s="955"/>
      <c r="E18" s="956"/>
      <c r="F18" s="588">
        <f>SUM(F9:F17)</f>
        <v>0</v>
      </c>
      <c r="G18" s="177">
        <f>SUM(G9:G17)</f>
        <v>0</v>
      </c>
      <c r="H18" s="938"/>
    </row>
    <row r="19" spans="2:8" s="806" customFormat="1" x14ac:dyDescent="0.25">
      <c r="B19" s="937"/>
      <c r="C19" s="957"/>
      <c r="D19" s="958"/>
      <c r="E19" s="787"/>
      <c r="F19" s="787"/>
      <c r="G19" s="959" t="s">
        <v>35</v>
      </c>
      <c r="H19" s="938"/>
    </row>
    <row r="20" spans="2:8" s="806" customFormat="1" x14ac:dyDescent="0.25">
      <c r="B20" s="937"/>
      <c r="C20" s="787" t="s">
        <v>102</v>
      </c>
      <c r="D20" s="787"/>
      <c r="E20" s="787"/>
      <c r="F20" s="787"/>
      <c r="G20" s="787"/>
      <c r="H20" s="938"/>
    </row>
    <row r="21" spans="2:8" x14ac:dyDescent="0.25">
      <c r="B21" s="937"/>
      <c r="C21" s="2314"/>
      <c r="D21" s="2315"/>
      <c r="E21" s="2315"/>
      <c r="F21" s="2315"/>
      <c r="G21" s="2316"/>
      <c r="H21" s="938"/>
    </row>
    <row r="22" spans="2:8" x14ac:dyDescent="0.25">
      <c r="B22" s="937"/>
      <c r="C22" s="2317"/>
      <c r="D22" s="2318"/>
      <c r="E22" s="2318"/>
      <c r="F22" s="2318"/>
      <c r="G22" s="2319"/>
      <c r="H22" s="938"/>
    </row>
    <row r="23" spans="2:8" x14ac:dyDescent="0.25">
      <c r="B23" s="937"/>
      <c r="C23" s="2317"/>
      <c r="D23" s="2318"/>
      <c r="E23" s="2318"/>
      <c r="F23" s="2318"/>
      <c r="G23" s="2319"/>
      <c r="H23" s="938"/>
    </row>
    <row r="24" spans="2:8" x14ac:dyDescent="0.25">
      <c r="B24" s="937"/>
      <c r="C24" s="2317"/>
      <c r="D24" s="2318"/>
      <c r="E24" s="2318"/>
      <c r="F24" s="2318"/>
      <c r="G24" s="2319"/>
      <c r="H24" s="938"/>
    </row>
    <row r="25" spans="2:8" x14ac:dyDescent="0.25">
      <c r="B25" s="937"/>
      <c r="C25" s="2317"/>
      <c r="D25" s="2318"/>
      <c r="E25" s="2318"/>
      <c r="F25" s="2318"/>
      <c r="G25" s="2319"/>
      <c r="H25" s="938"/>
    </row>
    <row r="26" spans="2:8" x14ac:dyDescent="0.25">
      <c r="B26" s="937"/>
      <c r="C26" s="2320"/>
      <c r="D26" s="2321"/>
      <c r="E26" s="2321"/>
      <c r="F26" s="2321"/>
      <c r="G26" s="2322"/>
      <c r="H26" s="938"/>
    </row>
    <row r="27" spans="2:8" ht="9" customHeight="1" thickBot="1" x14ac:dyDescent="0.3">
      <c r="B27" s="960"/>
      <c r="C27" s="961"/>
      <c r="D27" s="961"/>
      <c r="E27" s="961"/>
      <c r="F27" s="961"/>
      <c r="G27" s="961"/>
      <c r="H27" s="962"/>
    </row>
  </sheetData>
  <sheetProtection password="9F6B" sheet="1" objects="1" scenarios="1" formatCells="0" formatColumns="0" formatRows="0"/>
  <mergeCells count="4">
    <mergeCell ref="C8:D8"/>
    <mergeCell ref="C21:G26"/>
    <mergeCell ref="D5:F5"/>
    <mergeCell ref="C3:G3"/>
  </mergeCells>
  <pageMargins left="0.7" right="0.7" top="0.75" bottom="0.75" header="0.3" footer="0.3"/>
  <pageSetup scale="89" orientation="portrait" r:id="rId1"/>
  <headerFooter>
    <oddFooter>&amp;LForm 4
Relocation Budget&amp;CCFA Forms&amp;REdition: 2015
Version: 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H71"/>
  <sheetViews>
    <sheetView showGridLines="0" view="pageBreakPreview" zoomScale="60" zoomScaleNormal="100" workbookViewId="0">
      <selection activeCell="E43" sqref="E43:E44"/>
    </sheetView>
  </sheetViews>
  <sheetFormatPr defaultColWidth="9.140625" defaultRowHeight="15" x14ac:dyDescent="0.25"/>
  <cols>
    <col min="1" max="2" width="1.7109375" style="734" customWidth="1"/>
    <col min="3" max="3" width="20.7109375" style="734" customWidth="1"/>
    <col min="4" max="4" width="7.5703125" style="734" customWidth="1"/>
    <col min="5" max="5" width="47" style="734" customWidth="1"/>
    <col min="6" max="6" width="18.7109375" style="734" customWidth="1"/>
    <col min="7" max="7" width="42.85546875" style="734" customWidth="1"/>
    <col min="8" max="8" width="1.7109375" style="734" customWidth="1"/>
    <col min="9" max="16384" width="9.140625" style="734"/>
  </cols>
  <sheetData>
    <row r="7" spans="2:8" ht="9" customHeight="1" thickBot="1" x14ac:dyDescent="0.3"/>
    <row r="8" spans="2:8" ht="9" customHeight="1" x14ac:dyDescent="0.25">
      <c r="B8" s="20"/>
      <c r="C8" s="21"/>
      <c r="D8" s="21"/>
      <c r="E8" s="21"/>
      <c r="F8" s="21"/>
      <c r="G8" s="21"/>
      <c r="H8" s="22"/>
    </row>
    <row r="9" spans="2:8" ht="18.75" x14ac:dyDescent="0.3">
      <c r="B9" s="23"/>
      <c r="C9" s="2323" t="s">
        <v>103</v>
      </c>
      <c r="D9" s="2323"/>
      <c r="E9" s="2323"/>
      <c r="F9" s="2323"/>
      <c r="G9" s="2323"/>
      <c r="H9" s="24"/>
    </row>
    <row r="10" spans="2:8" x14ac:dyDescent="0.25">
      <c r="B10" s="8"/>
      <c r="C10" s="6"/>
      <c r="D10" s="6"/>
      <c r="E10" s="6"/>
      <c r="F10" s="5"/>
      <c r="G10" s="5"/>
      <c r="H10" s="7"/>
    </row>
    <row r="11" spans="2:8" x14ac:dyDescent="0.25">
      <c r="B11" s="8"/>
      <c r="C11" s="810" t="s">
        <v>63</v>
      </c>
      <c r="D11" s="2332" t="str">
        <f>IF('1A'!G5="","Enter Project Name on Form 1A",'1A'!G5)</f>
        <v xml:space="preserve">Building 9 </v>
      </c>
      <c r="E11" s="2332"/>
      <c r="F11" s="2332"/>
      <c r="G11" s="5"/>
      <c r="H11" s="7"/>
    </row>
    <row r="12" spans="2:8" ht="22.7" customHeight="1" thickBot="1" x14ac:dyDescent="0.3">
      <c r="B12" s="8"/>
      <c r="C12" s="963"/>
      <c r="D12" s="963"/>
      <c r="E12" s="786"/>
      <c r="F12" s="786"/>
      <c r="G12" s="5"/>
      <c r="H12" s="7"/>
    </row>
    <row r="13" spans="2:8" ht="39" thickBot="1" x14ac:dyDescent="0.3">
      <c r="B13" s="8"/>
      <c r="C13" s="2343" t="s">
        <v>104</v>
      </c>
      <c r="D13" s="2344"/>
      <c r="E13" s="182" t="s">
        <v>105</v>
      </c>
      <c r="F13" s="183" t="s">
        <v>642</v>
      </c>
      <c r="G13" s="184" t="s">
        <v>106</v>
      </c>
      <c r="H13" s="7"/>
    </row>
    <row r="14" spans="2:8" x14ac:dyDescent="0.25">
      <c r="B14" s="8"/>
      <c r="C14" s="2347" t="s">
        <v>107</v>
      </c>
      <c r="D14" s="2348"/>
      <c r="E14" s="29" t="s">
        <v>108</v>
      </c>
      <c r="F14" s="1973">
        <v>41977</v>
      </c>
      <c r="G14" s="18" t="s">
        <v>1566</v>
      </c>
      <c r="H14" s="7"/>
    </row>
    <row r="15" spans="2:8" x14ac:dyDescent="0.25">
      <c r="B15" s="8"/>
      <c r="C15" s="2326" t="s">
        <v>109</v>
      </c>
      <c r="D15" s="2327"/>
      <c r="E15" s="19" t="s">
        <v>110</v>
      </c>
      <c r="F15" s="19"/>
      <c r="G15" s="13" t="s">
        <v>1359</v>
      </c>
      <c r="H15" s="7"/>
    </row>
    <row r="16" spans="2:8" x14ac:dyDescent="0.25">
      <c r="B16" s="8"/>
      <c r="C16" s="2326" t="s">
        <v>109</v>
      </c>
      <c r="D16" s="2327"/>
      <c r="E16" s="19" t="s">
        <v>111</v>
      </c>
      <c r="F16" s="28">
        <v>42767</v>
      </c>
      <c r="G16" s="13" t="s">
        <v>1567</v>
      </c>
      <c r="H16" s="7"/>
    </row>
    <row r="17" spans="2:8" x14ac:dyDescent="0.25">
      <c r="B17" s="8"/>
      <c r="C17" s="2326"/>
      <c r="D17" s="2327"/>
      <c r="E17" s="19"/>
      <c r="F17" s="19"/>
      <c r="G17" s="16"/>
      <c r="H17" s="7"/>
    </row>
    <row r="18" spans="2:8" x14ac:dyDescent="0.25">
      <c r="B18" s="8"/>
      <c r="C18" s="2341" t="s">
        <v>112</v>
      </c>
      <c r="D18" s="2342"/>
      <c r="E18" s="19" t="s">
        <v>113</v>
      </c>
      <c r="F18" s="28">
        <v>42186</v>
      </c>
      <c r="G18" s="13" t="s">
        <v>1568</v>
      </c>
      <c r="H18" s="7"/>
    </row>
    <row r="19" spans="2:8" x14ac:dyDescent="0.25">
      <c r="B19" s="8"/>
      <c r="C19" s="2326" t="s">
        <v>112</v>
      </c>
      <c r="D19" s="2327"/>
      <c r="E19" s="19" t="s">
        <v>114</v>
      </c>
      <c r="F19" s="28">
        <v>42200</v>
      </c>
      <c r="G19" s="16" t="s">
        <v>1568</v>
      </c>
      <c r="H19" s="7"/>
    </row>
    <row r="20" spans="2:8" x14ac:dyDescent="0.25">
      <c r="B20" s="8"/>
      <c r="C20" s="2326" t="s">
        <v>112</v>
      </c>
      <c r="D20" s="2327"/>
      <c r="E20" s="19" t="s">
        <v>115</v>
      </c>
      <c r="F20" s="28">
        <v>42036</v>
      </c>
      <c r="G20" s="16" t="s">
        <v>1568</v>
      </c>
      <c r="H20" s="7"/>
    </row>
    <row r="21" spans="2:8" x14ac:dyDescent="0.25">
      <c r="B21" s="8"/>
      <c r="C21" s="2326" t="s">
        <v>112</v>
      </c>
      <c r="D21" s="2327"/>
      <c r="E21" s="19" t="s">
        <v>116</v>
      </c>
      <c r="F21" s="19"/>
      <c r="G21" s="16" t="s">
        <v>1359</v>
      </c>
      <c r="H21" s="7"/>
    </row>
    <row r="22" spans="2:8" x14ac:dyDescent="0.25">
      <c r="B22" s="8"/>
      <c r="C22" s="2326" t="s">
        <v>112</v>
      </c>
      <c r="D22" s="2327"/>
      <c r="E22" s="19" t="s">
        <v>117</v>
      </c>
      <c r="F22" s="28">
        <v>42522</v>
      </c>
      <c r="G22" s="16" t="s">
        <v>1569</v>
      </c>
      <c r="H22" s="7"/>
    </row>
    <row r="23" spans="2:8" x14ac:dyDescent="0.25">
      <c r="B23" s="8"/>
      <c r="C23" s="2326" t="s">
        <v>112</v>
      </c>
      <c r="D23" s="2327"/>
      <c r="E23" s="19" t="s">
        <v>118</v>
      </c>
      <c r="F23" s="19"/>
      <c r="G23" s="16" t="s">
        <v>1359</v>
      </c>
      <c r="H23" s="7"/>
    </row>
    <row r="24" spans="2:8" x14ac:dyDescent="0.25">
      <c r="B24" s="8"/>
      <c r="C24" s="2326" t="s">
        <v>112</v>
      </c>
      <c r="D24" s="2327"/>
      <c r="E24" s="19" t="s">
        <v>119</v>
      </c>
      <c r="F24" s="19"/>
      <c r="G24" s="16" t="s">
        <v>1359</v>
      </c>
      <c r="H24" s="7"/>
    </row>
    <row r="25" spans="2:8" x14ac:dyDescent="0.25">
      <c r="B25" s="8"/>
      <c r="C25" s="2326" t="s">
        <v>112</v>
      </c>
      <c r="D25" s="2327"/>
      <c r="E25" s="19" t="s">
        <v>120</v>
      </c>
      <c r="F25" s="28">
        <v>43101</v>
      </c>
      <c r="G25" s="16" t="s">
        <v>1570</v>
      </c>
      <c r="H25" s="7"/>
    </row>
    <row r="26" spans="2:8" x14ac:dyDescent="0.25">
      <c r="B26" s="8"/>
      <c r="C26" s="2326" t="s">
        <v>112</v>
      </c>
      <c r="D26" s="2327"/>
      <c r="E26" s="19" t="s">
        <v>121</v>
      </c>
      <c r="F26" s="28">
        <v>42186</v>
      </c>
      <c r="G26" s="14" t="s">
        <v>1571</v>
      </c>
      <c r="H26" s="7"/>
    </row>
    <row r="27" spans="2:8" x14ac:dyDescent="0.25">
      <c r="B27" s="8"/>
      <c r="C27" s="2326" t="s">
        <v>112</v>
      </c>
      <c r="D27" s="2327"/>
      <c r="E27" s="19" t="s">
        <v>122</v>
      </c>
      <c r="F27" s="19"/>
      <c r="G27" s="14" t="s">
        <v>1359</v>
      </c>
      <c r="H27" s="7"/>
    </row>
    <row r="28" spans="2:8" x14ac:dyDescent="0.25">
      <c r="B28" s="8"/>
      <c r="C28" s="2337"/>
      <c r="D28" s="2338"/>
      <c r="E28" s="19"/>
      <c r="F28" s="19"/>
      <c r="G28" s="14"/>
      <c r="H28" s="7"/>
    </row>
    <row r="29" spans="2:8" x14ac:dyDescent="0.25">
      <c r="B29" s="8"/>
      <c r="C29" s="2326" t="s">
        <v>124</v>
      </c>
      <c r="D29" s="2327"/>
      <c r="E29" s="19" t="s">
        <v>125</v>
      </c>
      <c r="F29" s="28">
        <v>42522</v>
      </c>
      <c r="G29" s="13" t="s">
        <v>1572</v>
      </c>
      <c r="H29" s="7"/>
    </row>
    <row r="30" spans="2:8" x14ac:dyDescent="0.25">
      <c r="B30" s="8"/>
      <c r="C30" s="2339" t="s">
        <v>126</v>
      </c>
      <c r="D30" s="2340"/>
      <c r="E30" s="25" t="s">
        <v>127</v>
      </c>
      <c r="F30" s="28">
        <v>42125</v>
      </c>
      <c r="G30" s="15"/>
      <c r="H30" s="7"/>
    </row>
    <row r="31" spans="2:8" x14ac:dyDescent="0.25">
      <c r="B31" s="8"/>
      <c r="C31" s="2326" t="s">
        <v>124</v>
      </c>
      <c r="D31" s="2327"/>
      <c r="E31" s="25" t="s">
        <v>1573</v>
      </c>
      <c r="F31" s="28">
        <v>41883</v>
      </c>
      <c r="G31" s="14" t="s">
        <v>1574</v>
      </c>
      <c r="H31" s="7"/>
    </row>
    <row r="32" spans="2:8" x14ac:dyDescent="0.25">
      <c r="B32" s="8"/>
      <c r="C32" s="2326" t="s">
        <v>124</v>
      </c>
      <c r="D32" s="2327"/>
      <c r="E32" s="25" t="s">
        <v>1575</v>
      </c>
      <c r="F32" s="28">
        <v>42263</v>
      </c>
      <c r="G32" s="14" t="s">
        <v>1576</v>
      </c>
      <c r="H32" s="7"/>
    </row>
    <row r="33" spans="2:8" x14ac:dyDescent="0.25">
      <c r="B33" s="8"/>
      <c r="C33" s="2326" t="s">
        <v>124</v>
      </c>
      <c r="D33" s="2327"/>
      <c r="E33" s="25" t="s">
        <v>1577</v>
      </c>
      <c r="F33" s="28">
        <v>42370</v>
      </c>
      <c r="G33" s="14"/>
      <c r="H33" s="7"/>
    </row>
    <row r="34" spans="2:8" x14ac:dyDescent="0.25">
      <c r="B34" s="8"/>
      <c r="C34" s="1956" t="s">
        <v>124</v>
      </c>
      <c r="D34" s="1957"/>
      <c r="E34" s="25" t="s">
        <v>1584</v>
      </c>
      <c r="F34" s="28">
        <v>42125</v>
      </c>
      <c r="G34" s="14" t="s">
        <v>1574</v>
      </c>
      <c r="H34" s="7"/>
    </row>
    <row r="35" spans="2:8" x14ac:dyDescent="0.25">
      <c r="B35" s="8"/>
      <c r="C35" s="2326" t="s">
        <v>124</v>
      </c>
      <c r="D35" s="2327"/>
      <c r="E35" s="19" t="s">
        <v>128</v>
      </c>
      <c r="F35" s="28">
        <v>42236</v>
      </c>
      <c r="G35" s="14" t="s">
        <v>1574</v>
      </c>
      <c r="H35" s="7"/>
    </row>
    <row r="36" spans="2:8" x14ac:dyDescent="0.25">
      <c r="B36" s="8"/>
      <c r="C36" s="2326" t="s">
        <v>124</v>
      </c>
      <c r="D36" s="2327"/>
      <c r="E36" s="19" t="s">
        <v>129</v>
      </c>
      <c r="F36" s="28">
        <v>42430</v>
      </c>
      <c r="G36" s="14" t="s">
        <v>1578</v>
      </c>
      <c r="H36" s="7"/>
    </row>
    <row r="37" spans="2:8" x14ac:dyDescent="0.25">
      <c r="B37" s="8"/>
      <c r="C37" s="2339" t="s">
        <v>126</v>
      </c>
      <c r="D37" s="2340"/>
      <c r="E37" s="25" t="s">
        <v>130</v>
      </c>
      <c r="F37" s="25"/>
      <c r="G37" s="12" t="s">
        <v>1579</v>
      </c>
      <c r="H37" s="7"/>
    </row>
    <row r="38" spans="2:8" x14ac:dyDescent="0.25">
      <c r="B38" s="8"/>
      <c r="C38" s="2326" t="s">
        <v>124</v>
      </c>
      <c r="D38" s="2327"/>
      <c r="E38" s="19" t="s">
        <v>1580</v>
      </c>
      <c r="F38" s="28">
        <v>42005</v>
      </c>
      <c r="G38" s="14" t="s">
        <v>1583</v>
      </c>
      <c r="H38" s="7"/>
    </row>
    <row r="39" spans="2:8" x14ac:dyDescent="0.25">
      <c r="B39" s="8"/>
      <c r="C39" s="2326" t="s">
        <v>124</v>
      </c>
      <c r="D39" s="2327"/>
      <c r="E39" s="19" t="s">
        <v>1581</v>
      </c>
      <c r="F39" s="28">
        <v>42338</v>
      </c>
      <c r="G39" s="14"/>
      <c r="H39" s="7"/>
    </row>
    <row r="40" spans="2:8" x14ac:dyDescent="0.25">
      <c r="B40" s="8"/>
      <c r="C40" s="2326" t="s">
        <v>124</v>
      </c>
      <c r="D40" s="2327"/>
      <c r="E40" s="19" t="s">
        <v>1582</v>
      </c>
      <c r="F40" s="28">
        <v>42401</v>
      </c>
      <c r="G40" s="14"/>
      <c r="H40" s="7"/>
    </row>
    <row r="41" spans="2:8" x14ac:dyDescent="0.25">
      <c r="B41" s="8"/>
      <c r="C41" s="1956" t="s">
        <v>124</v>
      </c>
      <c r="D41" s="1957"/>
      <c r="E41" s="19" t="s">
        <v>1586</v>
      </c>
      <c r="F41" s="28">
        <v>42156</v>
      </c>
      <c r="G41" s="14" t="s">
        <v>1585</v>
      </c>
      <c r="H41" s="7"/>
    </row>
    <row r="42" spans="2:8" x14ac:dyDescent="0.25">
      <c r="B42" s="8"/>
      <c r="C42" s="2326" t="s">
        <v>124</v>
      </c>
      <c r="D42" s="2327"/>
      <c r="E42" s="19" t="s">
        <v>131</v>
      </c>
      <c r="F42" s="28">
        <v>42767</v>
      </c>
      <c r="G42" s="14"/>
      <c r="H42" s="7"/>
    </row>
    <row r="43" spans="2:8" x14ac:dyDescent="0.25">
      <c r="B43" s="8"/>
      <c r="C43" s="2326"/>
      <c r="D43" s="2327"/>
      <c r="E43" s="19"/>
      <c r="F43" s="19"/>
      <c r="G43" s="14"/>
      <c r="H43" s="7"/>
    </row>
    <row r="44" spans="2:8" x14ac:dyDescent="0.25">
      <c r="B44" s="8"/>
      <c r="C44" s="2345" t="s">
        <v>132</v>
      </c>
      <c r="D44" s="2346"/>
      <c r="E44" s="19" t="s">
        <v>133</v>
      </c>
      <c r="F44" s="28">
        <v>42186</v>
      </c>
      <c r="G44" s="13" t="s">
        <v>1568</v>
      </c>
      <c r="H44" s="7"/>
    </row>
    <row r="45" spans="2:8" x14ac:dyDescent="0.25">
      <c r="B45" s="8"/>
      <c r="C45" s="2326" t="s">
        <v>132</v>
      </c>
      <c r="D45" s="2327"/>
      <c r="E45" s="19" t="s">
        <v>134</v>
      </c>
      <c r="F45" s="28">
        <v>42151</v>
      </c>
      <c r="G45" s="13" t="s">
        <v>1568</v>
      </c>
      <c r="H45" s="7"/>
    </row>
    <row r="46" spans="2:8" x14ac:dyDescent="0.25">
      <c r="B46" s="8"/>
      <c r="C46" s="2326" t="s">
        <v>132</v>
      </c>
      <c r="D46" s="2327"/>
      <c r="E46" s="19" t="s">
        <v>135</v>
      </c>
      <c r="F46" s="28">
        <v>42401</v>
      </c>
      <c r="G46" s="13" t="s">
        <v>1567</v>
      </c>
      <c r="H46" s="7"/>
    </row>
    <row r="47" spans="2:8" x14ac:dyDescent="0.25">
      <c r="B47" s="8"/>
      <c r="C47" s="2326" t="s">
        <v>132</v>
      </c>
      <c r="D47" s="2327"/>
      <c r="E47" s="19" t="s">
        <v>136</v>
      </c>
      <c r="F47" s="28">
        <v>42461</v>
      </c>
      <c r="G47" s="13" t="s">
        <v>1567</v>
      </c>
      <c r="H47" s="7"/>
    </row>
    <row r="48" spans="2:8" x14ac:dyDescent="0.25">
      <c r="B48" s="8"/>
      <c r="C48" s="2326" t="s">
        <v>132</v>
      </c>
      <c r="D48" s="2327"/>
      <c r="E48" s="19" t="s">
        <v>137</v>
      </c>
      <c r="F48" s="28">
        <v>42736</v>
      </c>
      <c r="G48" s="13" t="s">
        <v>1567</v>
      </c>
      <c r="H48" s="7"/>
    </row>
    <row r="49" spans="2:8" x14ac:dyDescent="0.25">
      <c r="B49" s="8"/>
      <c r="C49" s="2328" t="s">
        <v>132</v>
      </c>
      <c r="D49" s="2329"/>
      <c r="E49" s="25" t="s">
        <v>138</v>
      </c>
      <c r="F49" s="1974">
        <v>42522</v>
      </c>
      <c r="G49" s="13" t="s">
        <v>1567</v>
      </c>
      <c r="H49" s="7"/>
    </row>
    <row r="50" spans="2:8" ht="15.75" thickBot="1" x14ac:dyDescent="0.3">
      <c r="B50" s="31"/>
      <c r="C50" s="2324" t="s">
        <v>132</v>
      </c>
      <c r="D50" s="2325"/>
      <c r="E50" s="30" t="s">
        <v>139</v>
      </c>
      <c r="F50" s="1975">
        <v>42705</v>
      </c>
      <c r="G50" s="13" t="s">
        <v>1567</v>
      </c>
      <c r="H50" s="32"/>
    </row>
    <row r="51" spans="2:8" ht="9" customHeight="1" thickBot="1" x14ac:dyDescent="0.3">
      <c r="B51" s="35"/>
      <c r="C51" s="964"/>
      <c r="D51" s="964"/>
      <c r="E51" s="965"/>
      <c r="F51" s="965"/>
      <c r="G51" s="964"/>
      <c r="H51" s="36"/>
    </row>
    <row r="52" spans="2:8" x14ac:dyDescent="0.25">
      <c r="B52" s="37"/>
      <c r="C52" s="38"/>
      <c r="D52" s="38"/>
      <c r="E52" s="38"/>
      <c r="F52" s="38"/>
      <c r="G52" s="38"/>
      <c r="H52" s="39"/>
    </row>
    <row r="53" spans="2:8" ht="18.75" x14ac:dyDescent="0.3">
      <c r="B53" s="23"/>
      <c r="C53" s="2323" t="s">
        <v>140</v>
      </c>
      <c r="D53" s="2323"/>
      <c r="E53" s="2323"/>
      <c r="F53" s="2323"/>
      <c r="G53" s="2323"/>
      <c r="H53" s="24"/>
    </row>
    <row r="54" spans="2:8" x14ac:dyDescent="0.25">
      <c r="B54" s="8"/>
      <c r="C54" s="6"/>
      <c r="D54" s="6"/>
      <c r="E54" s="6"/>
      <c r="F54" s="5"/>
      <c r="G54" s="5"/>
      <c r="H54" s="7"/>
    </row>
    <row r="55" spans="2:8" ht="22.7" customHeight="1" x14ac:dyDescent="0.25">
      <c r="B55" s="8"/>
      <c r="C55" s="810" t="s">
        <v>63</v>
      </c>
      <c r="D55" s="2332" t="str">
        <f>IF('1A'!G5="","Enter Project Name on Form 1A",'1A'!G5)</f>
        <v xml:space="preserve">Building 9 </v>
      </c>
      <c r="E55" s="2332"/>
      <c r="F55" s="2332"/>
      <c r="G55" s="5"/>
      <c r="H55" s="7"/>
    </row>
    <row r="56" spans="2:8" ht="15.75" thickBot="1" x14ac:dyDescent="0.3">
      <c r="B56" s="8"/>
      <c r="C56" s="963"/>
      <c r="D56" s="963"/>
      <c r="E56" s="786"/>
      <c r="F56" s="786"/>
      <c r="G56" s="181"/>
      <c r="H56" s="7"/>
    </row>
    <row r="57" spans="2:8" ht="39" thickBot="1" x14ac:dyDescent="0.3">
      <c r="B57" s="8"/>
      <c r="C57" s="2330" t="s">
        <v>104</v>
      </c>
      <c r="D57" s="2331"/>
      <c r="E57" s="178" t="s">
        <v>105</v>
      </c>
      <c r="F57" s="179" t="s">
        <v>642</v>
      </c>
      <c r="G57" s="180" t="s">
        <v>106</v>
      </c>
      <c r="H57" s="7"/>
    </row>
    <row r="58" spans="2:8" x14ac:dyDescent="0.25">
      <c r="B58" s="8"/>
      <c r="C58" s="2333" t="s">
        <v>141</v>
      </c>
      <c r="D58" s="2334"/>
      <c r="E58" s="33" t="s">
        <v>142</v>
      </c>
      <c r="F58" s="1976">
        <v>42064</v>
      </c>
      <c r="G58" s="34" t="s">
        <v>1587</v>
      </c>
      <c r="H58" s="7"/>
    </row>
    <row r="59" spans="2:8" x14ac:dyDescent="0.25">
      <c r="B59" s="8"/>
      <c r="C59" s="2326" t="s">
        <v>141</v>
      </c>
      <c r="D59" s="2327"/>
      <c r="E59" s="19" t="s">
        <v>143</v>
      </c>
      <c r="F59" s="28">
        <v>42767</v>
      </c>
      <c r="G59" s="14" t="s">
        <v>1567</v>
      </c>
      <c r="H59" s="7"/>
    </row>
    <row r="60" spans="2:8" x14ac:dyDescent="0.25">
      <c r="B60" s="8"/>
      <c r="C60" s="2326" t="s">
        <v>141</v>
      </c>
      <c r="D60" s="2327"/>
      <c r="E60" s="19" t="s">
        <v>144</v>
      </c>
      <c r="F60" s="28">
        <v>43313</v>
      </c>
      <c r="G60" s="14" t="s">
        <v>1567</v>
      </c>
      <c r="H60" s="7"/>
    </row>
    <row r="61" spans="2:8" x14ac:dyDescent="0.25">
      <c r="B61" s="8"/>
      <c r="C61" s="2326"/>
      <c r="D61" s="2327"/>
      <c r="E61" s="29"/>
      <c r="F61" s="29"/>
      <c r="G61" s="18"/>
      <c r="H61" s="7"/>
    </row>
    <row r="62" spans="2:8" x14ac:dyDescent="0.25">
      <c r="B62" s="8"/>
      <c r="C62" s="2326" t="s">
        <v>145</v>
      </c>
      <c r="D62" s="2327"/>
      <c r="E62" s="29" t="s">
        <v>146</v>
      </c>
      <c r="F62" s="29"/>
      <c r="G62" s="18" t="s">
        <v>1419</v>
      </c>
      <c r="H62" s="7"/>
    </row>
    <row r="63" spans="2:8" x14ac:dyDescent="0.25">
      <c r="B63" s="8"/>
      <c r="C63" s="2326" t="s">
        <v>145</v>
      </c>
      <c r="D63" s="2327"/>
      <c r="E63" s="19" t="s">
        <v>147</v>
      </c>
      <c r="F63" s="28"/>
      <c r="G63" s="14" t="s">
        <v>1531</v>
      </c>
      <c r="H63" s="7"/>
    </row>
    <row r="64" spans="2:8" x14ac:dyDescent="0.25">
      <c r="B64" s="8"/>
      <c r="C64" s="2326" t="s">
        <v>145</v>
      </c>
      <c r="D64" s="2327"/>
      <c r="E64" s="19" t="s">
        <v>148</v>
      </c>
      <c r="F64" s="28">
        <v>43313</v>
      </c>
      <c r="G64" s="14" t="s">
        <v>1567</v>
      </c>
      <c r="H64" s="7"/>
    </row>
    <row r="65" spans="2:8" x14ac:dyDescent="0.25">
      <c r="B65" s="8"/>
      <c r="C65" s="2326" t="s">
        <v>145</v>
      </c>
      <c r="D65" s="2327"/>
      <c r="E65" s="19" t="s">
        <v>149</v>
      </c>
      <c r="F65" s="28">
        <v>43465</v>
      </c>
      <c r="G65" s="14" t="s">
        <v>1567</v>
      </c>
      <c r="H65" s="7"/>
    </row>
    <row r="66" spans="2:8" x14ac:dyDescent="0.25">
      <c r="B66" s="8"/>
      <c r="C66" s="2339" t="s">
        <v>145</v>
      </c>
      <c r="D66" s="2340"/>
      <c r="E66" s="25" t="s">
        <v>150</v>
      </c>
      <c r="F66" s="1974">
        <v>43343</v>
      </c>
      <c r="G66" s="14" t="s">
        <v>1567</v>
      </c>
      <c r="H66" s="7"/>
    </row>
    <row r="67" spans="2:8" x14ac:dyDescent="0.25">
      <c r="B67" s="8"/>
      <c r="C67" s="2339" t="s">
        <v>145</v>
      </c>
      <c r="D67" s="2340"/>
      <c r="E67" s="25" t="s">
        <v>151</v>
      </c>
      <c r="F67" s="1974">
        <v>43343</v>
      </c>
      <c r="G67" s="14" t="s">
        <v>1567</v>
      </c>
      <c r="H67" s="7"/>
    </row>
    <row r="68" spans="2:8" ht="25.5" x14ac:dyDescent="0.25">
      <c r="B68" s="8"/>
      <c r="C68" s="2335" t="s">
        <v>145</v>
      </c>
      <c r="D68" s="2336"/>
      <c r="E68" s="26" t="s">
        <v>152</v>
      </c>
      <c r="F68" s="1974">
        <v>43132</v>
      </c>
      <c r="G68" s="14" t="s">
        <v>1567</v>
      </c>
      <c r="H68" s="7"/>
    </row>
    <row r="69" spans="2:8" x14ac:dyDescent="0.25">
      <c r="B69" s="8"/>
      <c r="C69" s="2335" t="s">
        <v>145</v>
      </c>
      <c r="D69" s="2336"/>
      <c r="E69" s="26" t="s">
        <v>153</v>
      </c>
      <c r="F69" s="30">
        <v>2018</v>
      </c>
      <c r="G69" s="14" t="s">
        <v>1567</v>
      </c>
      <c r="H69" s="7"/>
    </row>
    <row r="70" spans="2:8" ht="9" customHeight="1" thickBot="1" x14ac:dyDescent="0.3">
      <c r="B70" s="8"/>
      <c r="C70" s="2324"/>
      <c r="D70" s="2325"/>
      <c r="E70" s="27"/>
      <c r="F70" s="27"/>
      <c r="G70" s="17"/>
      <c r="H70" s="7"/>
    </row>
    <row r="71" spans="2:8" ht="15.75" thickBot="1" x14ac:dyDescent="0.3">
      <c r="B71" s="9"/>
      <c r="C71" s="10"/>
      <c r="D71" s="10"/>
      <c r="E71" s="10"/>
      <c r="F71" s="10"/>
      <c r="G71" s="10"/>
      <c r="H71" s="11"/>
    </row>
  </sheetData>
  <sheetProtection algorithmName="SHA-512" hashValue="bQsInmqiLvc02/nReC/SwGv5xewaieGsKKWIS928BYo3lkbibV1X9Kzx/Msr3pn6fGGsENj1P4+AWQ04mbhBmw==" saltValue="bopx//n8URp99qZa0XNjOw==" spinCount="100000" sheet="1" objects="1" scenarios="1" formatCells="0" formatColumns="0" formatRows="0" insertRows="0"/>
  <mergeCells count="54">
    <mergeCell ref="C64:D64"/>
    <mergeCell ref="C65:D65"/>
    <mergeCell ref="C66:D66"/>
    <mergeCell ref="C67:D67"/>
    <mergeCell ref="C9:G9"/>
    <mergeCell ref="C18:D18"/>
    <mergeCell ref="C13:D13"/>
    <mergeCell ref="C44:D44"/>
    <mergeCell ref="C14:D14"/>
    <mergeCell ref="C15:D15"/>
    <mergeCell ref="C16:D16"/>
    <mergeCell ref="C17:D17"/>
    <mergeCell ref="C19:D19"/>
    <mergeCell ref="C20:D20"/>
    <mergeCell ref="C21:D21"/>
    <mergeCell ref="C22:D22"/>
    <mergeCell ref="C46:D46"/>
    <mergeCell ref="C35:D35"/>
    <mergeCell ref="C36:D36"/>
    <mergeCell ref="C37:D37"/>
    <mergeCell ref="C38:D38"/>
    <mergeCell ref="C39:D39"/>
    <mergeCell ref="D11:F11"/>
    <mergeCell ref="C40:D40"/>
    <mergeCell ref="C42:D42"/>
    <mergeCell ref="C43:D43"/>
    <mergeCell ref="C45:D45"/>
    <mergeCell ref="C29:D29"/>
    <mergeCell ref="C31:D31"/>
    <mergeCell ref="C32:D32"/>
    <mergeCell ref="C33:D33"/>
    <mergeCell ref="C28:D28"/>
    <mergeCell ref="C23:D23"/>
    <mergeCell ref="C30:D30"/>
    <mergeCell ref="C24:D24"/>
    <mergeCell ref="C25:D25"/>
    <mergeCell ref="C26:D26"/>
    <mergeCell ref="C27:D27"/>
    <mergeCell ref="C70:D70"/>
    <mergeCell ref="C47:D47"/>
    <mergeCell ref="C48:D48"/>
    <mergeCell ref="C49:D49"/>
    <mergeCell ref="C50:D50"/>
    <mergeCell ref="C53:G53"/>
    <mergeCell ref="C57:D57"/>
    <mergeCell ref="D55:F55"/>
    <mergeCell ref="C58:D58"/>
    <mergeCell ref="C59:D59"/>
    <mergeCell ref="C60:D60"/>
    <mergeCell ref="C61:D61"/>
    <mergeCell ref="C62:D62"/>
    <mergeCell ref="C68:D68"/>
    <mergeCell ref="C69:D69"/>
    <mergeCell ref="C63:D63"/>
  </mergeCells>
  <pageMargins left="0.25" right="0.25" top="0.75" bottom="0.75" header="0.3" footer="0.3"/>
  <pageSetup scale="75" orientation="landscape" r:id="rId1"/>
  <headerFooter>
    <oddFooter>&amp;LForm 5
Project Schedule&amp;CCFA Forms&amp;REdition: 2015
Version: 1.0</oddFooter>
  </headerFooter>
  <rowBreaks count="1" manualBreakCount="1">
    <brk id="51" min="1"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Z131"/>
  <sheetViews>
    <sheetView showGridLines="0" tabSelected="1" topLeftCell="A3" zoomScale="90" zoomScaleNormal="90" zoomScaleSheetLayoutView="70" workbookViewId="0">
      <pane ySplit="17" topLeftCell="A113" activePane="bottomLeft" state="frozen"/>
      <selection activeCell="E43" sqref="E43:E44"/>
      <selection pane="bottomLeft" activeCell="F126" sqref="F126"/>
    </sheetView>
  </sheetViews>
  <sheetFormatPr defaultColWidth="9.140625" defaultRowHeight="15" x14ac:dyDescent="0.25"/>
  <cols>
    <col min="1" max="2" width="1.7109375" style="1674" customWidth="1"/>
    <col min="3" max="3" width="13.28515625" style="1674" customWidth="1"/>
    <col min="4" max="4" width="5.7109375" style="1674" customWidth="1"/>
    <col min="5" max="5" width="14" style="1674" customWidth="1"/>
    <col min="6" max="6" width="12.7109375" style="1674" bestFit="1" customWidth="1"/>
    <col min="7" max="7" width="8" style="1674" customWidth="1"/>
    <col min="8" max="8" width="3.28515625" style="1674" customWidth="1"/>
    <col min="9" max="9" width="10.42578125" style="1674" customWidth="1"/>
    <col min="10" max="10" width="17.85546875" style="1674" bestFit="1" customWidth="1"/>
    <col min="11" max="11" width="16.28515625" style="1674" bestFit="1" customWidth="1"/>
    <col min="12" max="12" width="12.140625" style="1674" customWidth="1"/>
    <col min="13" max="13" width="9.5703125" style="1674" customWidth="1"/>
    <col min="14" max="14" width="12.5703125" style="1674" customWidth="1"/>
    <col min="15" max="16" width="12.7109375" style="1674" customWidth="1"/>
    <col min="17" max="17" width="11.28515625" style="1674" customWidth="1"/>
    <col min="18" max="18" width="10" style="1674" customWidth="1"/>
    <col min="19" max="19" width="9.7109375" style="1674" customWidth="1"/>
    <col min="20" max="20" width="10.5703125" style="1674" customWidth="1"/>
    <col min="21" max="21" width="0.7109375" style="1674" customWidth="1"/>
    <col min="22" max="22" width="10.85546875" style="1674" customWidth="1"/>
    <col min="23" max="23" width="12.42578125" style="2024" customWidth="1"/>
    <col min="24" max="24" width="12.140625" style="1674" customWidth="1"/>
    <col min="25" max="25" width="1.7109375" style="1674" customWidth="1"/>
    <col min="26" max="16384" width="9.140625" style="1674"/>
  </cols>
  <sheetData>
    <row r="9" spans="2:25" ht="9" customHeight="1" thickBot="1" x14ac:dyDescent="0.3"/>
    <row r="10" spans="2:25" ht="9" customHeight="1" x14ac:dyDescent="0.25">
      <c r="B10" s="2025"/>
      <c r="C10" s="2026"/>
      <c r="D10" s="2026"/>
      <c r="E10" s="2026"/>
      <c r="F10" s="2026"/>
      <c r="G10" s="2026"/>
      <c r="H10" s="2026"/>
      <c r="I10" s="1675"/>
      <c r="J10" s="1675"/>
      <c r="K10" s="1675"/>
      <c r="L10" s="1675"/>
      <c r="M10" s="2026"/>
      <c r="N10" s="2026"/>
      <c r="O10" s="2027"/>
      <c r="P10" s="2027"/>
      <c r="Q10" s="2027"/>
      <c r="R10" s="2027"/>
      <c r="S10" s="2027"/>
      <c r="T10" s="2027"/>
      <c r="U10" s="2027"/>
      <c r="V10" s="2027"/>
      <c r="W10" s="2027"/>
      <c r="X10" s="2027"/>
      <c r="Y10" s="2028"/>
    </row>
    <row r="11" spans="2:25" ht="18.75" x14ac:dyDescent="0.3">
      <c r="B11" s="2029"/>
      <c r="C11" s="2352" t="s">
        <v>154</v>
      </c>
      <c r="D11" s="2352"/>
      <c r="E11" s="2352"/>
      <c r="F11" s="2352"/>
      <c r="G11" s="2352"/>
      <c r="H11" s="2352"/>
      <c r="I11" s="2352"/>
      <c r="J11" s="2352"/>
      <c r="K11" s="2352"/>
      <c r="L11" s="2352"/>
      <c r="M11" s="2352"/>
      <c r="N11" s="2352"/>
      <c r="O11" s="2352"/>
      <c r="P11" s="2352"/>
      <c r="Q11" s="2352"/>
      <c r="R11" s="2352"/>
      <c r="S11" s="2352"/>
      <c r="T11" s="2352"/>
      <c r="U11" s="2352"/>
      <c r="V11" s="2352"/>
      <c r="W11" s="2352"/>
      <c r="X11" s="2352"/>
      <c r="Y11" s="2030"/>
    </row>
    <row r="12" spans="2:25" ht="15" customHeight="1" x14ac:dyDescent="0.25">
      <c r="B12" s="2029"/>
      <c r="C12" s="78"/>
      <c r="D12" s="78"/>
      <c r="E12" s="78"/>
      <c r="F12" s="78"/>
      <c r="G12" s="78"/>
      <c r="H12" s="78"/>
      <c r="I12" s="1676"/>
      <c r="J12" s="2031"/>
      <c r="K12" s="1676"/>
      <c r="L12" s="1676"/>
      <c r="M12" s="78"/>
      <c r="N12" s="78"/>
      <c r="O12" s="2032"/>
      <c r="P12" s="2032"/>
      <c r="Q12" s="2032"/>
      <c r="R12" s="2032"/>
      <c r="S12" s="2032"/>
      <c r="T12" s="2032"/>
      <c r="U12" s="2032"/>
      <c r="V12" s="2032"/>
      <c r="W12" s="2032"/>
      <c r="X12" s="2032"/>
      <c r="Y12" s="2030"/>
    </row>
    <row r="13" spans="2:25" x14ac:dyDescent="0.25">
      <c r="B13" s="2033"/>
      <c r="C13" s="2031"/>
      <c r="D13" s="2034" t="s">
        <v>63</v>
      </c>
      <c r="E13" s="2035"/>
      <c r="F13" s="1677" t="str">
        <f>IF('1A'!G5="","Enter Project Name on Form 1A",'1A'!G5)</f>
        <v xml:space="preserve">Building 9 </v>
      </c>
      <c r="G13" s="1677"/>
      <c r="H13" s="1677"/>
      <c r="I13" s="1677"/>
      <c r="J13" s="1677"/>
      <c r="K13" s="1677"/>
      <c r="L13" s="2036"/>
      <c r="M13" s="1678"/>
      <c r="N13" s="1678"/>
      <c r="O13" s="1678"/>
      <c r="P13" s="1678"/>
      <c r="Q13" s="1678"/>
      <c r="R13" s="1678"/>
      <c r="S13" s="1678"/>
      <c r="T13" s="1678"/>
      <c r="U13" s="1678"/>
      <c r="V13" s="78"/>
      <c r="W13" s="2036"/>
      <c r="X13" s="78"/>
      <c r="Y13" s="2037"/>
    </row>
    <row r="14" spans="2:25" ht="7.5" customHeight="1" thickBot="1" x14ac:dyDescent="0.3">
      <c r="B14" s="2033"/>
      <c r="C14" s="1678"/>
      <c r="D14" s="2038"/>
      <c r="E14" s="2035"/>
      <c r="F14" s="2035"/>
      <c r="G14" s="2035"/>
      <c r="H14" s="2035"/>
      <c r="I14" s="2035"/>
      <c r="J14" s="2035"/>
      <c r="K14" s="1678"/>
      <c r="L14" s="2035"/>
      <c r="M14" s="1678"/>
      <c r="N14" s="1678"/>
      <c r="O14" s="1678"/>
      <c r="P14" s="1678"/>
      <c r="Q14" s="1678"/>
      <c r="R14" s="1678"/>
      <c r="S14" s="1678"/>
      <c r="T14" s="1678"/>
      <c r="U14" s="1678"/>
      <c r="V14" s="78"/>
      <c r="W14" s="2036"/>
      <c r="X14" s="78"/>
      <c r="Y14" s="2037"/>
    </row>
    <row r="15" spans="2:25" x14ac:dyDescent="0.25">
      <c r="B15" s="2029"/>
      <c r="C15" s="2031"/>
      <c r="D15" s="2039" t="s">
        <v>155</v>
      </c>
      <c r="E15" s="2035"/>
      <c r="F15" s="2151">
        <f ca="1">TODAY()</f>
        <v>42285</v>
      </c>
      <c r="G15" s="1676"/>
      <c r="H15" s="1676"/>
      <c r="I15" s="2358" t="s">
        <v>156</v>
      </c>
      <c r="J15" s="2358" t="s">
        <v>157</v>
      </c>
      <c r="K15" s="2355" t="s">
        <v>64</v>
      </c>
      <c r="L15" s="2356"/>
      <c r="M15" s="2356"/>
      <c r="N15" s="2356"/>
      <c r="O15" s="2356"/>
      <c r="P15" s="2357"/>
      <c r="Q15" s="2357"/>
      <c r="R15" s="2357"/>
      <c r="S15" s="2356"/>
      <c r="T15" s="2356"/>
      <c r="U15" s="2040"/>
      <c r="V15" s="2353" t="s">
        <v>65</v>
      </c>
      <c r="W15" s="2353"/>
      <c r="X15" s="2354"/>
      <c r="Y15" s="2037"/>
    </row>
    <row r="16" spans="2:25" x14ac:dyDescent="0.25">
      <c r="B16" s="2029"/>
      <c r="C16" s="1678"/>
      <c r="D16" s="2035"/>
      <c r="E16" s="2035"/>
      <c r="F16" s="2035"/>
      <c r="G16" s="2035"/>
      <c r="H16" s="2035"/>
      <c r="I16" s="2359"/>
      <c r="J16" s="2359"/>
      <c r="K16" s="2361" t="s">
        <v>159</v>
      </c>
      <c r="L16" s="967" t="s">
        <v>160</v>
      </c>
      <c r="M16" s="967" t="s">
        <v>160</v>
      </c>
      <c r="N16" s="967" t="s">
        <v>160</v>
      </c>
      <c r="O16" s="967" t="s">
        <v>160</v>
      </c>
      <c r="P16" s="967" t="s">
        <v>160</v>
      </c>
      <c r="Q16" s="967" t="s">
        <v>160</v>
      </c>
      <c r="R16" s="967" t="s">
        <v>160</v>
      </c>
      <c r="S16" s="967" t="s">
        <v>160</v>
      </c>
      <c r="T16" s="967" t="s">
        <v>160</v>
      </c>
      <c r="U16" s="2041"/>
      <c r="V16" s="2363" t="s">
        <v>645</v>
      </c>
      <c r="W16" s="1672" t="s">
        <v>160</v>
      </c>
      <c r="X16" s="968" t="s">
        <v>160</v>
      </c>
      <c r="Y16" s="2037"/>
    </row>
    <row r="17" spans="2:25" x14ac:dyDescent="0.25">
      <c r="B17" s="2029"/>
      <c r="C17" s="1678"/>
      <c r="D17" s="2035"/>
      <c r="E17" s="2035"/>
      <c r="F17" s="2035"/>
      <c r="G17" s="2035"/>
      <c r="H17" s="2035"/>
      <c r="I17" s="2359"/>
      <c r="J17" s="2359"/>
      <c r="K17" s="2361"/>
      <c r="L17" s="2367" t="s">
        <v>1408</v>
      </c>
      <c r="M17" s="2367" t="s">
        <v>1402</v>
      </c>
      <c r="N17" s="2367" t="s">
        <v>1403</v>
      </c>
      <c r="O17" s="2367" t="s">
        <v>1404</v>
      </c>
      <c r="P17" s="2367" t="s">
        <v>1409</v>
      </c>
      <c r="Q17" s="2367" t="s">
        <v>1561</v>
      </c>
      <c r="R17" s="2367" t="s">
        <v>1562</v>
      </c>
      <c r="S17" s="2367" t="s">
        <v>1405</v>
      </c>
      <c r="T17" s="2365" t="s">
        <v>1406</v>
      </c>
      <c r="U17" s="2041"/>
      <c r="V17" s="2363"/>
      <c r="W17" s="2367" t="s">
        <v>1608</v>
      </c>
      <c r="X17" s="2369" t="s">
        <v>1592</v>
      </c>
      <c r="Y17" s="2037"/>
    </row>
    <row r="18" spans="2:25" ht="25.5" customHeight="1" thickBot="1" x14ac:dyDescent="0.3">
      <c r="B18" s="2029"/>
      <c r="C18" s="1678"/>
      <c r="D18" s="2035"/>
      <c r="E18" s="78"/>
      <c r="F18" s="78"/>
      <c r="G18" s="78"/>
      <c r="H18" s="78"/>
      <c r="I18" s="2360"/>
      <c r="J18" s="2360"/>
      <c r="K18" s="2362"/>
      <c r="L18" s="2368"/>
      <c r="M18" s="2368"/>
      <c r="N18" s="2368"/>
      <c r="O18" s="2368"/>
      <c r="P18" s="2368"/>
      <c r="Q18" s="2368"/>
      <c r="R18" s="2368"/>
      <c r="S18" s="2368"/>
      <c r="T18" s="2366"/>
      <c r="U18" s="2042"/>
      <c r="V18" s="2364"/>
      <c r="W18" s="2368"/>
      <c r="X18" s="2370"/>
      <c r="Y18" s="2043"/>
    </row>
    <row r="19" spans="2:25" ht="15.75" thickBot="1" x14ac:dyDescent="0.3">
      <c r="B19" s="2029"/>
      <c r="C19" s="85" t="s">
        <v>161</v>
      </c>
      <c r="D19" s="85"/>
      <c r="E19" s="85"/>
      <c r="F19" s="85"/>
      <c r="G19" s="85"/>
      <c r="H19" s="54"/>
      <c r="I19" s="54"/>
      <c r="J19" s="54"/>
      <c r="K19" s="54"/>
      <c r="L19" s="2035"/>
      <c r="M19" s="1678"/>
      <c r="N19" s="1678"/>
      <c r="O19" s="969"/>
      <c r="P19" s="969"/>
      <c r="Q19" s="969"/>
      <c r="R19" s="969"/>
      <c r="S19" s="969"/>
      <c r="T19" s="969"/>
      <c r="U19" s="78"/>
      <c r="V19" s="78"/>
      <c r="W19" s="1673"/>
      <c r="X19" s="969"/>
      <c r="Y19" s="2043"/>
    </row>
    <row r="20" spans="2:25" x14ac:dyDescent="0.25">
      <c r="B20" s="2029"/>
      <c r="C20" s="1678"/>
      <c r="D20" s="2044" t="s">
        <v>162</v>
      </c>
      <c r="E20" s="2044"/>
      <c r="F20" s="2044"/>
      <c r="G20" s="2044"/>
      <c r="H20" s="2044"/>
      <c r="I20" s="2045">
        <f>IFERROR(J20/J$118," ")</f>
        <v>0</v>
      </c>
      <c r="J20" s="2046">
        <f t="shared" ref="J20:J25" si="0">K20+V20</f>
        <v>0</v>
      </c>
      <c r="K20" s="1679">
        <f t="shared" ref="K20:K25" si="1">SUM(L20:T20)</f>
        <v>0</v>
      </c>
      <c r="L20" s="2047"/>
      <c r="M20" s="2048"/>
      <c r="N20" s="2048"/>
      <c r="O20" s="2048"/>
      <c r="P20" s="2048"/>
      <c r="Q20" s="2048"/>
      <c r="R20" s="2048"/>
      <c r="S20" s="2048"/>
      <c r="T20" s="2048"/>
      <c r="U20" s="2049"/>
      <c r="V20" s="2050">
        <f t="shared" ref="V20:V25" si="2">SUM(W20:X20)</f>
        <v>0</v>
      </c>
      <c r="W20" s="2051"/>
      <c r="X20" s="2052"/>
      <c r="Y20" s="2043"/>
    </row>
    <row r="21" spans="2:25" x14ac:dyDescent="0.25">
      <c r="B21" s="2029"/>
      <c r="C21" s="1678"/>
      <c r="D21" s="2053" t="s">
        <v>163</v>
      </c>
      <c r="E21" s="2053"/>
      <c r="F21" s="2053"/>
      <c r="G21" s="2053"/>
      <c r="H21" s="2053"/>
      <c r="I21" s="2054">
        <f t="shared" ref="I21:I26" si="3">IFERROR(J21/J$118," ")</f>
        <v>0</v>
      </c>
      <c r="J21" s="2055">
        <f t="shared" si="0"/>
        <v>0</v>
      </c>
      <c r="K21" s="1680">
        <f t="shared" si="1"/>
        <v>0</v>
      </c>
      <c r="L21" s="2056"/>
      <c r="M21" s="2057"/>
      <c r="N21" s="2057"/>
      <c r="O21" s="2057"/>
      <c r="P21" s="2057"/>
      <c r="Q21" s="2057"/>
      <c r="R21" s="2057"/>
      <c r="S21" s="2057"/>
      <c r="T21" s="2057"/>
      <c r="U21" s="2058"/>
      <c r="V21" s="2059">
        <f t="shared" si="2"/>
        <v>0</v>
      </c>
      <c r="W21" s="2060"/>
      <c r="X21" s="2061"/>
      <c r="Y21" s="2043"/>
    </row>
    <row r="22" spans="2:25" x14ac:dyDescent="0.25">
      <c r="B22" s="2029"/>
      <c r="C22" s="1678"/>
      <c r="D22" s="51" t="s">
        <v>164</v>
      </c>
      <c r="E22" s="51"/>
      <c r="F22" s="51"/>
      <c r="G22" s="51"/>
      <c r="H22" s="51"/>
      <c r="I22" s="2054">
        <f t="shared" si="3"/>
        <v>0</v>
      </c>
      <c r="J22" s="2055">
        <f t="shared" si="0"/>
        <v>0</v>
      </c>
      <c r="K22" s="1680">
        <f t="shared" si="1"/>
        <v>0</v>
      </c>
      <c r="L22" s="2056"/>
      <c r="M22" s="2057"/>
      <c r="N22" s="2057"/>
      <c r="O22" s="2057"/>
      <c r="P22" s="2057"/>
      <c r="Q22" s="2057"/>
      <c r="R22" s="2057"/>
      <c r="S22" s="2057"/>
      <c r="T22" s="2057"/>
      <c r="U22" s="2058"/>
      <c r="V22" s="2059">
        <f t="shared" si="2"/>
        <v>0</v>
      </c>
      <c r="W22" s="2060"/>
      <c r="X22" s="2061"/>
      <c r="Y22" s="2043"/>
    </row>
    <row r="23" spans="2:25" x14ac:dyDescent="0.25">
      <c r="B23" s="2029"/>
      <c r="C23" s="1678"/>
      <c r="D23" s="51" t="s">
        <v>165</v>
      </c>
      <c r="E23" s="51"/>
      <c r="F23" s="51"/>
      <c r="G23" s="51"/>
      <c r="H23" s="51"/>
      <c r="I23" s="2054">
        <f t="shared" si="3"/>
        <v>7.2068721273307608E-4</v>
      </c>
      <c r="J23" s="2055">
        <f t="shared" si="0"/>
        <v>45000</v>
      </c>
      <c r="K23" s="1680">
        <f t="shared" si="1"/>
        <v>45000</v>
      </c>
      <c r="L23" s="2056"/>
      <c r="M23" s="2057">
        <f>16008+28992</f>
        <v>45000</v>
      </c>
      <c r="N23" s="2057"/>
      <c r="O23" s="2057"/>
      <c r="P23" s="2057"/>
      <c r="Q23" s="2057"/>
      <c r="R23" s="2057"/>
      <c r="S23" s="2057"/>
      <c r="T23" s="2057"/>
      <c r="U23" s="2058"/>
      <c r="V23" s="2059">
        <f t="shared" si="2"/>
        <v>0</v>
      </c>
      <c r="W23" s="2060"/>
      <c r="X23" s="2061"/>
      <c r="Y23" s="2043"/>
    </row>
    <row r="24" spans="2:25" x14ac:dyDescent="0.25">
      <c r="B24" s="2029"/>
      <c r="C24" s="1678"/>
      <c r="D24" s="51" t="s">
        <v>166</v>
      </c>
      <c r="E24" s="51"/>
      <c r="F24" s="51"/>
      <c r="G24" s="51"/>
      <c r="H24" s="51"/>
      <c r="I24" s="2054">
        <f t="shared" si="3"/>
        <v>0</v>
      </c>
      <c r="J24" s="2055">
        <f t="shared" si="0"/>
        <v>0</v>
      </c>
      <c r="K24" s="1680">
        <f t="shared" si="1"/>
        <v>0</v>
      </c>
      <c r="L24" s="2056"/>
      <c r="M24" s="2057"/>
      <c r="N24" s="2057"/>
      <c r="O24" s="2057"/>
      <c r="P24" s="2057"/>
      <c r="Q24" s="2057"/>
      <c r="R24" s="2057"/>
      <c r="S24" s="2057"/>
      <c r="T24" s="2057"/>
      <c r="U24" s="2058"/>
      <c r="V24" s="2059">
        <f t="shared" si="2"/>
        <v>0</v>
      </c>
      <c r="W24" s="2060"/>
      <c r="X24" s="2061"/>
      <c r="Y24" s="2043"/>
    </row>
    <row r="25" spans="2:25" x14ac:dyDescent="0.25">
      <c r="B25" s="2029"/>
      <c r="C25" s="1678"/>
      <c r="D25" s="51" t="s">
        <v>473</v>
      </c>
      <c r="E25" s="2349"/>
      <c r="F25" s="2350"/>
      <c r="G25" s="2351"/>
      <c r="H25" s="2062"/>
      <c r="I25" s="2054">
        <f t="shared" si="3"/>
        <v>0</v>
      </c>
      <c r="J25" s="2063">
        <f t="shared" si="0"/>
        <v>0</v>
      </c>
      <c r="K25" s="1681">
        <f t="shared" si="1"/>
        <v>0</v>
      </c>
      <c r="L25" s="2064"/>
      <c r="M25" s="2065"/>
      <c r="N25" s="2065"/>
      <c r="O25" s="2065"/>
      <c r="P25" s="2065"/>
      <c r="Q25" s="2065"/>
      <c r="R25" s="2065"/>
      <c r="S25" s="2065"/>
      <c r="T25" s="2065"/>
      <c r="U25" s="2058"/>
      <c r="V25" s="2066">
        <f t="shared" si="2"/>
        <v>0</v>
      </c>
      <c r="W25" s="2067"/>
      <c r="X25" s="2068"/>
      <c r="Y25" s="2043"/>
    </row>
    <row r="26" spans="2:25" ht="15.75" thickBot="1" x14ac:dyDescent="0.3">
      <c r="B26" s="2029"/>
      <c r="C26" s="1678"/>
      <c r="D26" s="51"/>
      <c r="E26" s="51"/>
      <c r="F26" s="51"/>
      <c r="G26" s="55" t="s">
        <v>167</v>
      </c>
      <c r="H26" s="55"/>
      <c r="I26" s="2069">
        <f t="shared" si="3"/>
        <v>7.2068721273307608E-4</v>
      </c>
      <c r="J26" s="2070">
        <f>SUM(J20:J25)</f>
        <v>45000</v>
      </c>
      <c r="K26" s="1682">
        <f>SUM(K20:K25)</f>
        <v>45000</v>
      </c>
      <c r="L26" s="2071">
        <f>SUM(L20:L25)</f>
        <v>0</v>
      </c>
      <c r="M26" s="2072">
        <f t="shared" ref="M26:T26" si="4">SUM(M20:M25)</f>
        <v>45000</v>
      </c>
      <c r="N26" s="2072">
        <f t="shared" si="4"/>
        <v>0</v>
      </c>
      <c r="O26" s="2072">
        <f t="shared" si="4"/>
        <v>0</v>
      </c>
      <c r="P26" s="2072">
        <f t="shared" si="4"/>
        <v>0</v>
      </c>
      <c r="Q26" s="2072"/>
      <c r="R26" s="2072"/>
      <c r="S26" s="2072">
        <f t="shared" si="4"/>
        <v>0</v>
      </c>
      <c r="T26" s="2072">
        <f t="shared" si="4"/>
        <v>0</v>
      </c>
      <c r="U26" s="2073"/>
      <c r="V26" s="2074">
        <f>SUM(V20:V25)</f>
        <v>0</v>
      </c>
      <c r="W26" s="2071"/>
      <c r="X26" s="2075"/>
      <c r="Y26" s="2043"/>
    </row>
    <row r="27" spans="2:25" ht="3.75" customHeight="1" x14ac:dyDescent="0.25">
      <c r="B27" s="2029"/>
      <c r="C27" s="51"/>
      <c r="D27" s="51"/>
      <c r="E27" s="51"/>
      <c r="F27" s="51"/>
      <c r="G27" s="51"/>
      <c r="H27" s="51"/>
      <c r="I27" s="2035"/>
      <c r="J27" s="2076"/>
      <c r="K27" s="1678"/>
      <c r="L27" s="2077"/>
      <c r="M27" s="2077"/>
      <c r="N27" s="2077"/>
      <c r="O27" s="2077"/>
      <c r="P27" s="2077"/>
      <c r="Q27" s="2077"/>
      <c r="R27" s="2077"/>
      <c r="S27" s="1678"/>
      <c r="T27" s="2077"/>
      <c r="U27" s="2058"/>
      <c r="V27" s="2077"/>
      <c r="W27" s="2077"/>
      <c r="X27" s="2077"/>
      <c r="Y27" s="2043"/>
    </row>
    <row r="28" spans="2:25" ht="15.75" thickBot="1" x14ac:dyDescent="0.3">
      <c r="B28" s="2029"/>
      <c r="C28" s="85" t="s">
        <v>168</v>
      </c>
      <c r="D28" s="85"/>
      <c r="E28" s="85"/>
      <c r="F28" s="85"/>
      <c r="G28" s="85"/>
      <c r="H28" s="54"/>
      <c r="I28" s="54"/>
      <c r="J28" s="54"/>
      <c r="K28" s="54"/>
      <c r="L28" s="2035"/>
      <c r="M28" s="1678"/>
      <c r="N28" s="1678"/>
      <c r="O28" s="969"/>
      <c r="P28" s="969"/>
      <c r="Q28" s="969"/>
      <c r="R28" s="969"/>
      <c r="S28" s="969"/>
      <c r="T28" s="969"/>
      <c r="U28" s="2041"/>
      <c r="V28" s="78"/>
      <c r="W28" s="1673"/>
      <c r="X28" s="969"/>
      <c r="Y28" s="2043"/>
    </row>
    <row r="29" spans="2:25" x14ac:dyDescent="0.25">
      <c r="B29" s="2029"/>
      <c r="C29" s="1678"/>
      <c r="D29" s="190" t="s">
        <v>169</v>
      </c>
      <c r="E29" s="190"/>
      <c r="F29" s="190"/>
      <c r="G29" s="190"/>
      <c r="H29" s="190"/>
      <c r="I29" s="2045">
        <f t="shared" ref="I29:I45" si="5">IFERROR(J29/J$118," ")</f>
        <v>0</v>
      </c>
      <c r="J29" s="2046">
        <f t="shared" ref="J29:J44" si="6">K29+V29</f>
        <v>0</v>
      </c>
      <c r="K29" s="1683">
        <f t="shared" ref="K29:K44" si="7">SUM(L29:T29)</f>
        <v>0</v>
      </c>
      <c r="L29" s="2051"/>
      <c r="M29" s="2078"/>
      <c r="N29" s="2078"/>
      <c r="O29" s="2078"/>
      <c r="P29" s="2079"/>
      <c r="Q29" s="2079"/>
      <c r="R29" s="2079"/>
      <c r="S29" s="2078"/>
      <c r="T29" s="2078"/>
      <c r="U29" s="2049"/>
      <c r="V29" s="2080">
        <f t="shared" ref="V29:V44" si="8">SUM(W29:X29)</f>
        <v>0</v>
      </c>
      <c r="W29" s="2051"/>
      <c r="X29" s="2052"/>
      <c r="Y29" s="2043"/>
    </row>
    <row r="30" spans="2:25" x14ac:dyDescent="0.25">
      <c r="B30" s="2029"/>
      <c r="C30" s="1678"/>
      <c r="D30" s="51" t="s">
        <v>170</v>
      </c>
      <c r="E30" s="51"/>
      <c r="F30" s="51"/>
      <c r="G30" s="51"/>
      <c r="H30" s="51"/>
      <c r="I30" s="2054">
        <f t="shared" si="5"/>
        <v>0</v>
      </c>
      <c r="J30" s="2055">
        <f t="shared" si="6"/>
        <v>0</v>
      </c>
      <c r="K30" s="1684">
        <f t="shared" si="7"/>
        <v>0</v>
      </c>
      <c r="L30" s="2060"/>
      <c r="M30" s="2081"/>
      <c r="N30" s="2081"/>
      <c r="O30" s="2081"/>
      <c r="P30" s="2081"/>
      <c r="Q30" s="2081"/>
      <c r="R30" s="2081"/>
      <c r="S30" s="2081"/>
      <c r="T30" s="2081"/>
      <c r="U30" s="2058"/>
      <c r="V30" s="2059">
        <f t="shared" si="8"/>
        <v>0</v>
      </c>
      <c r="W30" s="2060"/>
      <c r="X30" s="2061"/>
      <c r="Y30" s="2043"/>
    </row>
    <row r="31" spans="2:25" x14ac:dyDescent="0.25">
      <c r="B31" s="2029"/>
      <c r="C31" s="1678"/>
      <c r="D31" s="51" t="s">
        <v>171</v>
      </c>
      <c r="E31" s="51"/>
      <c r="F31" s="51"/>
      <c r="G31" s="51"/>
      <c r="H31" s="51"/>
      <c r="I31" s="2054">
        <f t="shared" si="5"/>
        <v>0.58524777618747914</v>
      </c>
      <c r="J31" s="2055">
        <f t="shared" si="6"/>
        <v>36543107</v>
      </c>
      <c r="K31" s="1684">
        <f t="shared" si="7"/>
        <v>33196189</v>
      </c>
      <c r="L31" s="2060">
        <f>1600000-36100+1654398+1351005-683513+78</f>
        <v>3885868</v>
      </c>
      <c r="M31" s="2081">
        <f>5666404+36100-6023-95595+977578+99145+147170-35280+1</f>
        <v>6789500</v>
      </c>
      <c r="N31" s="2081">
        <f>4300000+6023+30000+1621+200000+718793</f>
        <v>5256437</v>
      </c>
      <c r="O31" s="2081">
        <f>5800000+800000+30000+1190-61061+1+399</f>
        <v>6570529</v>
      </c>
      <c r="P31" s="2081"/>
      <c r="Q31" s="2081">
        <v>200</v>
      </c>
      <c r="R31" s="2081"/>
      <c r="S31" s="2081">
        <f>4800000+444699+56667-99145-86111</f>
        <v>5116110</v>
      </c>
      <c r="T31" s="2081">
        <f>5800000-444699-800000-60000-1191-1621-199+38928+1046327</f>
        <v>5577545</v>
      </c>
      <c r="U31" s="2058"/>
      <c r="V31" s="2059">
        <f t="shared" si="8"/>
        <v>3346918</v>
      </c>
      <c r="W31" s="2060">
        <f>3518100-108142-43257-19783-1018100</f>
        <v>2328818</v>
      </c>
      <c r="X31" s="2061">
        <v>1018100</v>
      </c>
      <c r="Y31" s="2043"/>
    </row>
    <row r="32" spans="2:25" x14ac:dyDescent="0.25">
      <c r="B32" s="2029"/>
      <c r="C32" s="1678"/>
      <c r="D32" s="51" t="s">
        <v>172</v>
      </c>
      <c r="E32" s="51"/>
      <c r="F32" s="51"/>
      <c r="G32" s="2082"/>
      <c r="H32" s="51"/>
      <c r="I32" s="2054">
        <f t="shared" si="5"/>
        <v>1.0889327540054474E-2</v>
      </c>
      <c r="J32" s="2055">
        <f t="shared" si="6"/>
        <v>679934</v>
      </c>
      <c r="K32" s="1684">
        <f t="shared" si="7"/>
        <v>625863</v>
      </c>
      <c r="L32" s="2060"/>
      <c r="M32" s="2081">
        <v>625863</v>
      </c>
      <c r="N32" s="2081"/>
      <c r="O32" s="2081"/>
      <c r="P32" s="2081"/>
      <c r="Q32" s="2081"/>
      <c r="R32" s="2081"/>
      <c r="S32" s="2081"/>
      <c r="T32" s="2081"/>
      <c r="U32" s="2058"/>
      <c r="V32" s="2059">
        <f t="shared" si="8"/>
        <v>54071</v>
      </c>
      <c r="W32" s="2060">
        <f>108142/2</f>
        <v>54071</v>
      </c>
      <c r="X32" s="2061"/>
      <c r="Y32" s="2043"/>
    </row>
    <row r="33" spans="2:25" x14ac:dyDescent="0.25">
      <c r="B33" s="2029"/>
      <c r="C33" s="1678"/>
      <c r="D33" s="51" t="s">
        <v>173</v>
      </c>
      <c r="E33" s="51"/>
      <c r="F33" s="51"/>
      <c r="G33" s="51"/>
      <c r="H33" s="51"/>
      <c r="I33" s="2054">
        <f t="shared" si="5"/>
        <v>1.0889327540054474E-2</v>
      </c>
      <c r="J33" s="2055">
        <f t="shared" si="6"/>
        <v>679934</v>
      </c>
      <c r="K33" s="1684">
        <f t="shared" si="7"/>
        <v>625863</v>
      </c>
      <c r="L33" s="2060"/>
      <c r="M33" s="2081">
        <v>625863</v>
      </c>
      <c r="N33" s="2081"/>
      <c r="O33" s="2081"/>
      <c r="P33" s="2081"/>
      <c r="Q33" s="2081"/>
      <c r="R33" s="2081"/>
      <c r="S33" s="2081"/>
      <c r="T33" s="2081"/>
      <c r="U33" s="2058"/>
      <c r="V33" s="2059">
        <f t="shared" si="8"/>
        <v>54071</v>
      </c>
      <c r="W33" s="2060">
        <v>54071</v>
      </c>
      <c r="X33" s="2061"/>
      <c r="Y33" s="2043"/>
    </row>
    <row r="34" spans="2:25" x14ac:dyDescent="0.25">
      <c r="B34" s="2029"/>
      <c r="C34" s="1678"/>
      <c r="D34" s="51" t="s">
        <v>644</v>
      </c>
      <c r="E34" s="51"/>
      <c r="F34" s="51"/>
      <c r="G34" s="2083">
        <f>IFERROR(J34/(J30+J32+J33+J42),"")</f>
        <v>0</v>
      </c>
      <c r="H34" s="51"/>
      <c r="I34" s="2054">
        <f t="shared" si="5"/>
        <v>0</v>
      </c>
      <c r="J34" s="2055">
        <f>K34+V34</f>
        <v>0</v>
      </c>
      <c r="K34" s="1684">
        <f t="shared" si="7"/>
        <v>0</v>
      </c>
      <c r="L34" s="2060"/>
      <c r="M34" s="2081"/>
      <c r="N34" s="2081"/>
      <c r="O34" s="2081"/>
      <c r="P34" s="2081"/>
      <c r="Q34" s="2081"/>
      <c r="R34" s="2081"/>
      <c r="S34" s="2081"/>
      <c r="T34" s="2081"/>
      <c r="U34" s="2058"/>
      <c r="V34" s="2059">
        <f t="shared" si="8"/>
        <v>0</v>
      </c>
      <c r="W34" s="2060"/>
      <c r="X34" s="2061"/>
      <c r="Y34" s="2043"/>
    </row>
    <row r="35" spans="2:25" x14ac:dyDescent="0.25">
      <c r="B35" s="2029"/>
      <c r="C35" s="1678"/>
      <c r="D35" s="51" t="s">
        <v>175</v>
      </c>
      <c r="E35" s="51"/>
      <c r="F35" s="51"/>
      <c r="G35" s="2083">
        <f>IFERROR(J35/(J31+J32+J33+J42),"")</f>
        <v>0.14448461052357484</v>
      </c>
      <c r="H35" s="51"/>
      <c r="I35" s="2054">
        <f t="shared" si="5"/>
        <v>8.9433471465582948E-2</v>
      </c>
      <c r="J35" s="2055">
        <f t="shared" si="6"/>
        <v>5584262</v>
      </c>
      <c r="K35" s="1684">
        <f t="shared" si="7"/>
        <v>5584262</v>
      </c>
      <c r="L35" s="2060"/>
      <c r="M35" s="2081">
        <v>884262</v>
      </c>
      <c r="N35" s="2081">
        <v>3400000</v>
      </c>
      <c r="O35" s="2081">
        <v>1300000</v>
      </c>
      <c r="P35" s="2081"/>
      <c r="Q35" s="2081"/>
      <c r="R35" s="2081"/>
      <c r="S35" s="2081"/>
      <c r="T35" s="2081"/>
      <c r="U35" s="2058"/>
      <c r="V35" s="2059">
        <f t="shared" si="8"/>
        <v>0</v>
      </c>
      <c r="W35" s="2060"/>
      <c r="X35" s="2061"/>
      <c r="Y35" s="2043"/>
    </row>
    <row r="36" spans="2:25" x14ac:dyDescent="0.25">
      <c r="B36" s="2029"/>
      <c r="C36" s="1678"/>
      <c r="D36" s="51" t="s">
        <v>176</v>
      </c>
      <c r="E36" s="51"/>
      <c r="F36" s="51"/>
      <c r="G36" s="51"/>
      <c r="H36" s="51"/>
      <c r="I36" s="2054">
        <f t="shared" si="5"/>
        <v>0</v>
      </c>
      <c r="J36" s="2055">
        <f t="shared" si="6"/>
        <v>0</v>
      </c>
      <c r="K36" s="1684">
        <f t="shared" si="7"/>
        <v>0</v>
      </c>
      <c r="L36" s="2060"/>
      <c r="M36" s="2081"/>
      <c r="N36" s="2081"/>
      <c r="O36" s="2081"/>
      <c r="P36" s="2081"/>
      <c r="Q36" s="2081"/>
      <c r="R36" s="2081"/>
      <c r="S36" s="2081"/>
      <c r="T36" s="2081"/>
      <c r="U36" s="2058"/>
      <c r="V36" s="2059">
        <f t="shared" si="8"/>
        <v>0</v>
      </c>
      <c r="W36" s="2060"/>
      <c r="X36" s="2061"/>
      <c r="Y36" s="2043"/>
    </row>
    <row r="37" spans="2:25" x14ac:dyDescent="0.25">
      <c r="B37" s="2029"/>
      <c r="C37" s="1678"/>
      <c r="D37" s="51" t="s">
        <v>177</v>
      </c>
      <c r="E37" s="51"/>
      <c r="F37" s="51"/>
      <c r="G37" s="51"/>
      <c r="H37" s="51"/>
      <c r="I37" s="2054">
        <f t="shared" si="5"/>
        <v>3.3583847945376007E-2</v>
      </c>
      <c r="J37" s="2055">
        <f t="shared" si="6"/>
        <v>2096989</v>
      </c>
      <c r="K37" s="1684">
        <f t="shared" si="7"/>
        <v>2096989</v>
      </c>
      <c r="L37" s="2060">
        <v>455425</v>
      </c>
      <c r="M37" s="2081">
        <v>400000</v>
      </c>
      <c r="N37" s="2081">
        <v>151153</v>
      </c>
      <c r="O37" s="2081">
        <f>615718+625767-151153+79</f>
        <v>1090411</v>
      </c>
      <c r="P37" s="2081"/>
      <c r="Q37" s="2081"/>
      <c r="R37" s="2081"/>
      <c r="S37" s="2081"/>
      <c r="T37" s="2081"/>
      <c r="U37" s="2058"/>
      <c r="V37" s="2059">
        <f t="shared" si="8"/>
        <v>0</v>
      </c>
      <c r="W37" s="2060"/>
      <c r="X37" s="2061"/>
      <c r="Y37" s="2043"/>
    </row>
    <row r="38" spans="2:25" x14ac:dyDescent="0.25">
      <c r="B38" s="2029"/>
      <c r="C38" s="1678"/>
      <c r="D38" s="51" t="s">
        <v>178</v>
      </c>
      <c r="E38" s="51"/>
      <c r="F38" s="51"/>
      <c r="G38" s="51"/>
      <c r="H38" s="51"/>
      <c r="I38" s="2054">
        <f t="shared" si="5"/>
        <v>0</v>
      </c>
      <c r="J38" s="2055">
        <f t="shared" si="6"/>
        <v>0</v>
      </c>
      <c r="K38" s="1684">
        <f t="shared" si="7"/>
        <v>0</v>
      </c>
      <c r="L38" s="2060"/>
      <c r="M38" s="2081"/>
      <c r="N38" s="2081"/>
      <c r="O38" s="2081"/>
      <c r="P38" s="2081"/>
      <c r="Q38" s="2081"/>
      <c r="R38" s="2081"/>
      <c r="S38" s="2081"/>
      <c r="T38" s="2081"/>
      <c r="U38" s="2058"/>
      <c r="V38" s="2059">
        <f t="shared" si="8"/>
        <v>0</v>
      </c>
      <c r="W38" s="2060"/>
      <c r="X38" s="2061"/>
      <c r="Y38" s="2043"/>
    </row>
    <row r="39" spans="2:25" x14ac:dyDescent="0.25">
      <c r="B39" s="2029"/>
      <c r="C39" s="1678"/>
      <c r="D39" s="51" t="s">
        <v>179</v>
      </c>
      <c r="E39" s="51"/>
      <c r="F39" s="51"/>
      <c r="G39" s="51"/>
      <c r="H39" s="51"/>
      <c r="I39" s="2054">
        <f t="shared" si="5"/>
        <v>0</v>
      </c>
      <c r="J39" s="2055">
        <f t="shared" si="6"/>
        <v>0</v>
      </c>
      <c r="K39" s="1684">
        <f t="shared" si="7"/>
        <v>0</v>
      </c>
      <c r="L39" s="2060"/>
      <c r="M39" s="2081"/>
      <c r="N39" s="2081"/>
      <c r="O39" s="2081"/>
      <c r="P39" s="2081"/>
      <c r="Q39" s="2081"/>
      <c r="R39" s="2081"/>
      <c r="S39" s="2081"/>
      <c r="T39" s="2081"/>
      <c r="U39" s="2058"/>
      <c r="V39" s="2059">
        <f t="shared" si="8"/>
        <v>0</v>
      </c>
      <c r="W39" s="2060"/>
      <c r="X39" s="2061"/>
      <c r="Y39" s="2043"/>
    </row>
    <row r="40" spans="2:25" x14ac:dyDescent="0.25">
      <c r="B40" s="2029"/>
      <c r="C40" s="1678"/>
      <c r="D40" s="51" t="s">
        <v>180</v>
      </c>
      <c r="E40" s="51"/>
      <c r="F40" s="51"/>
      <c r="G40" s="51"/>
      <c r="H40" s="51"/>
      <c r="I40" s="2054">
        <f t="shared" si="5"/>
        <v>0</v>
      </c>
      <c r="J40" s="2055">
        <f t="shared" si="6"/>
        <v>0</v>
      </c>
      <c r="K40" s="1684">
        <f t="shared" si="7"/>
        <v>0</v>
      </c>
      <c r="L40" s="2060"/>
      <c r="M40" s="2081"/>
      <c r="N40" s="2081"/>
      <c r="O40" s="2081"/>
      <c r="P40" s="2081"/>
      <c r="Q40" s="2081"/>
      <c r="R40" s="2081"/>
      <c r="S40" s="2081"/>
      <c r="T40" s="2081"/>
      <c r="U40" s="2058"/>
      <c r="V40" s="2059">
        <f t="shared" si="8"/>
        <v>0</v>
      </c>
      <c r="W40" s="2060"/>
      <c r="X40" s="2061"/>
      <c r="Y40" s="2043"/>
    </row>
    <row r="41" spans="2:25" x14ac:dyDescent="0.25">
      <c r="B41" s="2029"/>
      <c r="C41" s="1678"/>
      <c r="D41" s="51" t="s">
        <v>181</v>
      </c>
      <c r="E41" s="51"/>
      <c r="F41" s="51"/>
      <c r="G41" s="51"/>
      <c r="H41" s="51"/>
      <c r="I41" s="2054">
        <f t="shared" si="5"/>
        <v>6.5823037689234642E-2</v>
      </c>
      <c r="J41" s="2055">
        <f t="shared" si="6"/>
        <v>4110017</v>
      </c>
      <c r="K41" s="1684">
        <f t="shared" si="7"/>
        <v>4110017</v>
      </c>
      <c r="L41" s="2060">
        <v>60000</v>
      </c>
      <c r="M41" s="2081">
        <v>732370</v>
      </c>
      <c r="N41" s="2081">
        <v>34936</v>
      </c>
      <c r="O41" s="2081">
        <f>1500000-2289</f>
        <v>1497711</v>
      </c>
      <c r="P41" s="2081"/>
      <c r="Q41" s="2081"/>
      <c r="R41" s="2081"/>
      <c r="S41" s="2081">
        <v>900000</v>
      </c>
      <c r="T41" s="2081">
        <v>885000</v>
      </c>
      <c r="U41" s="2058"/>
      <c r="V41" s="2059">
        <f t="shared" si="8"/>
        <v>0</v>
      </c>
      <c r="W41" s="2060"/>
      <c r="X41" s="2061"/>
      <c r="Y41" s="2043"/>
    </row>
    <row r="42" spans="2:25" x14ac:dyDescent="0.25">
      <c r="B42" s="2029"/>
      <c r="C42" s="1678"/>
      <c r="D42" s="51" t="s">
        <v>182</v>
      </c>
      <c r="E42" s="51"/>
      <c r="F42" s="51"/>
      <c r="G42" s="51"/>
      <c r="H42" s="51"/>
      <c r="I42" s="2054">
        <f t="shared" si="5"/>
        <v>1.1956248905055913E-2</v>
      </c>
      <c r="J42" s="2055">
        <f t="shared" si="6"/>
        <v>746553</v>
      </c>
      <c r="K42" s="1684">
        <f t="shared" si="7"/>
        <v>683513</v>
      </c>
      <c r="L42" s="2060">
        <f>94857+160530+159016+269110</f>
        <v>683513</v>
      </c>
      <c r="M42" s="2081"/>
      <c r="N42" s="2081"/>
      <c r="O42" s="2081"/>
      <c r="P42" s="2081"/>
      <c r="Q42" s="2081"/>
      <c r="R42" s="2081"/>
      <c r="S42" s="2081"/>
      <c r="T42" s="2081"/>
      <c r="U42" s="2058"/>
      <c r="V42" s="2059">
        <f t="shared" si="8"/>
        <v>63040</v>
      </c>
      <c r="W42" s="2060">
        <f>19783+43257</f>
        <v>63040</v>
      </c>
      <c r="X42" s="2061"/>
      <c r="Y42" s="2043"/>
    </row>
    <row r="43" spans="2:25" x14ac:dyDescent="0.25">
      <c r="B43" s="2029"/>
      <c r="C43" s="1678"/>
      <c r="D43" s="51" t="s">
        <v>183</v>
      </c>
      <c r="E43" s="51"/>
      <c r="F43" s="51"/>
      <c r="G43" s="51"/>
      <c r="H43" s="51"/>
      <c r="I43" s="2054">
        <f t="shared" si="5"/>
        <v>2.0019089242585444E-3</v>
      </c>
      <c r="J43" s="2055">
        <f t="shared" si="6"/>
        <v>125000</v>
      </c>
      <c r="K43" s="1684">
        <f t="shared" si="7"/>
        <v>125000</v>
      </c>
      <c r="L43" s="2060"/>
      <c r="M43" s="2081"/>
      <c r="N43" s="2081"/>
      <c r="O43" s="2081"/>
      <c r="P43" s="2081"/>
      <c r="Q43" s="2081"/>
      <c r="R43" s="2081"/>
      <c r="S43" s="2081">
        <v>81700</v>
      </c>
      <c r="T43" s="2081">
        <f>43300</f>
        <v>43300</v>
      </c>
      <c r="U43" s="2058"/>
      <c r="V43" s="2059">
        <f t="shared" si="8"/>
        <v>0</v>
      </c>
      <c r="W43" s="2060"/>
      <c r="X43" s="2061"/>
      <c r="Y43" s="2043"/>
    </row>
    <row r="44" spans="2:25" x14ac:dyDescent="0.25">
      <c r="B44" s="2029"/>
      <c r="C44" s="1678"/>
      <c r="D44" s="2084" t="s">
        <v>473</v>
      </c>
      <c r="E44" s="2349"/>
      <c r="F44" s="2350"/>
      <c r="G44" s="2351"/>
      <c r="H44" s="2084"/>
      <c r="I44" s="2054">
        <f t="shared" si="5"/>
        <v>0</v>
      </c>
      <c r="J44" s="2063">
        <f t="shared" si="6"/>
        <v>0</v>
      </c>
      <c r="K44" s="1685">
        <f t="shared" si="7"/>
        <v>0</v>
      </c>
      <c r="L44" s="2067"/>
      <c r="M44" s="2085"/>
      <c r="N44" s="2085"/>
      <c r="O44" s="2085"/>
      <c r="P44" s="2085"/>
      <c r="Q44" s="2085"/>
      <c r="R44" s="2085"/>
      <c r="S44" s="2085"/>
      <c r="T44" s="2085"/>
      <c r="U44" s="2058"/>
      <c r="V44" s="2086">
        <f t="shared" si="8"/>
        <v>0</v>
      </c>
      <c r="W44" s="2067"/>
      <c r="X44" s="2087"/>
      <c r="Y44" s="2043"/>
    </row>
    <row r="45" spans="2:25" ht="15.75" thickBot="1" x14ac:dyDescent="0.3">
      <c r="B45" s="2029"/>
      <c r="C45" s="1678"/>
      <c r="D45" s="51"/>
      <c r="E45" s="51"/>
      <c r="F45" s="51"/>
      <c r="G45" s="55" t="s">
        <v>167</v>
      </c>
      <c r="H45" s="55"/>
      <c r="I45" s="2069">
        <f t="shared" si="5"/>
        <v>0.80982494619709611</v>
      </c>
      <c r="J45" s="2070">
        <f>SUM(J29:J44)</f>
        <v>50565796</v>
      </c>
      <c r="K45" s="1682">
        <f>SUM(K29:K44)</f>
        <v>47047696</v>
      </c>
      <c r="L45" s="2071">
        <f>SUM(L29:L44)</f>
        <v>5084806</v>
      </c>
      <c r="M45" s="2072">
        <f t="shared" ref="M45:T45" si="9">SUM(M29:M44)</f>
        <v>10057858</v>
      </c>
      <c r="N45" s="2072">
        <f t="shared" si="9"/>
        <v>8842526</v>
      </c>
      <c r="O45" s="2072">
        <f t="shared" si="9"/>
        <v>10458651</v>
      </c>
      <c r="P45" s="2072">
        <f t="shared" si="9"/>
        <v>0</v>
      </c>
      <c r="Q45" s="2072">
        <f t="shared" si="9"/>
        <v>200</v>
      </c>
      <c r="R45" s="2072">
        <f t="shared" si="9"/>
        <v>0</v>
      </c>
      <c r="S45" s="2072">
        <f t="shared" si="9"/>
        <v>6097810</v>
      </c>
      <c r="T45" s="2072">
        <f t="shared" si="9"/>
        <v>6505845</v>
      </c>
      <c r="U45" s="2073"/>
      <c r="V45" s="2074">
        <f>SUM(V29:V44)</f>
        <v>3518100</v>
      </c>
      <c r="W45" s="2071">
        <f>SUM(W31:W44)</f>
        <v>2500000</v>
      </c>
      <c r="X45" s="2075">
        <f>SUM(X31:X44)</f>
        <v>1018100</v>
      </c>
      <c r="Y45" s="2043"/>
    </row>
    <row r="46" spans="2:25" ht="9" customHeight="1" thickBot="1" x14ac:dyDescent="0.3">
      <c r="B46" s="2088"/>
      <c r="C46" s="41"/>
      <c r="D46" s="41"/>
      <c r="E46" s="41"/>
      <c r="F46" s="41"/>
      <c r="G46" s="41"/>
      <c r="H46" s="41"/>
      <c r="I46" s="2089"/>
      <c r="J46" s="2090"/>
      <c r="K46" s="1686"/>
      <c r="L46" s="2091"/>
      <c r="M46" s="2092"/>
      <c r="N46" s="2092"/>
      <c r="O46" s="2092"/>
      <c r="P46" s="2092"/>
      <c r="Q46" s="2092"/>
      <c r="R46" s="2092"/>
      <c r="S46" s="1686"/>
      <c r="T46" s="2092"/>
      <c r="U46" s="2093"/>
      <c r="V46" s="2092"/>
      <c r="W46" s="2091"/>
      <c r="X46" s="2092"/>
      <c r="Y46" s="2094"/>
    </row>
    <row r="47" spans="2:25" ht="15.75" thickBot="1" x14ac:dyDescent="0.3">
      <c r="B47" s="2029"/>
      <c r="C47" s="85" t="s">
        <v>184</v>
      </c>
      <c r="D47" s="85"/>
      <c r="E47" s="85"/>
      <c r="F47" s="85"/>
      <c r="G47" s="85"/>
      <c r="H47" s="54"/>
      <c r="I47" s="54"/>
      <c r="J47" s="51">
        <f>J45+K98+K99-J44</f>
        <v>52091134.5</v>
      </c>
      <c r="K47" s="51">
        <v>46007469</v>
      </c>
      <c r="L47" s="2035"/>
      <c r="M47" s="1678"/>
      <c r="N47" s="1678"/>
      <c r="O47" s="969"/>
      <c r="P47" s="969"/>
      <c r="Q47" s="969"/>
      <c r="R47" s="969"/>
      <c r="S47" s="969"/>
      <c r="T47" s="969"/>
      <c r="U47" s="2041"/>
      <c r="V47" s="78"/>
      <c r="W47" s="1673"/>
      <c r="X47" s="969"/>
      <c r="Y47" s="2043"/>
    </row>
    <row r="48" spans="2:25" x14ac:dyDescent="0.25">
      <c r="B48" s="2029"/>
      <c r="C48" s="1678"/>
      <c r="D48" s="190" t="s">
        <v>185</v>
      </c>
      <c r="E48" s="190"/>
      <c r="F48" s="190"/>
      <c r="G48" s="190"/>
      <c r="H48" s="190"/>
      <c r="I48" s="2045">
        <f t="shared" ref="I48:I61" si="10">IFERROR(J48/J$118," ")</f>
        <v>2.4022907091102535E-4</v>
      </c>
      <c r="J48" s="2046">
        <f t="shared" ref="J48:J60" si="11">K48+V48</f>
        <v>15000</v>
      </c>
      <c r="K48" s="1683">
        <f t="shared" ref="K48:K60" si="12">SUM(L48:T48)</f>
        <v>15000</v>
      </c>
      <c r="L48" s="2051">
        <v>15000</v>
      </c>
      <c r="M48" s="2078"/>
      <c r="N48" s="2078"/>
      <c r="O48" s="2078"/>
      <c r="P48" s="2079"/>
      <c r="Q48" s="2079"/>
      <c r="R48" s="2079"/>
      <c r="S48" s="2078"/>
      <c r="T48" s="2078"/>
      <c r="U48" s="2049"/>
      <c r="V48" s="2080">
        <f t="shared" ref="V48:V60" si="13">SUM(W48:X48)</f>
        <v>0</v>
      </c>
      <c r="W48" s="2051"/>
      <c r="X48" s="2052"/>
      <c r="Y48" s="2043"/>
    </row>
    <row r="49" spans="2:25" x14ac:dyDescent="0.25">
      <c r="B49" s="2029"/>
      <c r="C49" s="1678"/>
      <c r="D49" s="51" t="s">
        <v>186</v>
      </c>
      <c r="E49" s="51"/>
      <c r="F49" s="51"/>
      <c r="G49" s="51"/>
      <c r="H49" s="51"/>
      <c r="I49" s="2054">
        <f t="shared" si="10"/>
        <v>2.4022907091102535E-4</v>
      </c>
      <c r="J49" s="2055">
        <f t="shared" si="11"/>
        <v>15000</v>
      </c>
      <c r="K49" s="1684">
        <f t="shared" si="12"/>
        <v>15000</v>
      </c>
      <c r="L49" s="2060">
        <v>15000</v>
      </c>
      <c r="M49" s="2081"/>
      <c r="N49" s="2081"/>
      <c r="O49" s="2081"/>
      <c r="P49" s="2081"/>
      <c r="Q49" s="2081"/>
      <c r="R49" s="2081"/>
      <c r="S49" s="2081"/>
      <c r="T49" s="2081"/>
      <c r="U49" s="2058"/>
      <c r="V49" s="2059">
        <f t="shared" si="13"/>
        <v>0</v>
      </c>
      <c r="W49" s="2060"/>
      <c r="X49" s="2061"/>
      <c r="Y49" s="2043"/>
    </row>
    <row r="50" spans="2:25" x14ac:dyDescent="0.25">
      <c r="B50" s="2029"/>
      <c r="C50" s="1678"/>
      <c r="D50" s="51" t="s">
        <v>187</v>
      </c>
      <c r="E50" s="51"/>
      <c r="F50" s="51"/>
      <c r="G50" s="51"/>
      <c r="H50" s="51"/>
      <c r="I50" s="2054">
        <f t="shared" si="10"/>
        <v>3.9796395932934645E-2</v>
      </c>
      <c r="J50" s="2055">
        <f t="shared" si="11"/>
        <v>2484903</v>
      </c>
      <c r="K50" s="1684">
        <f t="shared" si="12"/>
        <v>2484903</v>
      </c>
      <c r="L50" s="2060"/>
      <c r="M50" s="2081">
        <f>1000000+100415+308712</f>
        <v>1409127</v>
      </c>
      <c r="N50" s="2081"/>
      <c r="O50" s="2081"/>
      <c r="P50" s="2081"/>
      <c r="Q50" s="2081"/>
      <c r="R50" s="2081"/>
      <c r="S50" s="2081">
        <v>485919</v>
      </c>
      <c r="T50" s="2081">
        <f>900000-1431-308712</f>
        <v>589857</v>
      </c>
      <c r="U50" s="2058"/>
      <c r="V50" s="2059">
        <f t="shared" si="13"/>
        <v>0</v>
      </c>
      <c r="W50" s="2060"/>
      <c r="X50" s="2061"/>
      <c r="Y50" s="2043"/>
    </row>
    <row r="51" spans="2:25" x14ac:dyDescent="0.25">
      <c r="B51" s="2029"/>
      <c r="C51" s="1678"/>
      <c r="D51" s="51" t="s">
        <v>188</v>
      </c>
      <c r="E51" s="51"/>
      <c r="F51" s="51"/>
      <c r="G51" s="51"/>
      <c r="H51" s="51"/>
      <c r="I51" s="2054">
        <f t="shared" si="10"/>
        <v>3.2831306357840131E-3</v>
      </c>
      <c r="J51" s="2055">
        <f t="shared" si="11"/>
        <v>205000</v>
      </c>
      <c r="K51" s="1684">
        <f t="shared" si="12"/>
        <v>205000</v>
      </c>
      <c r="L51" s="2060">
        <v>91504</v>
      </c>
      <c r="M51" s="2081"/>
      <c r="N51" s="2081">
        <v>48496</v>
      </c>
      <c r="O51" s="2081"/>
      <c r="P51" s="2081"/>
      <c r="Q51" s="2081"/>
      <c r="R51" s="2081"/>
      <c r="S51" s="2081">
        <v>10000</v>
      </c>
      <c r="T51" s="2081">
        <v>55000</v>
      </c>
      <c r="U51" s="2058"/>
      <c r="V51" s="2059">
        <f t="shared" si="13"/>
        <v>0</v>
      </c>
      <c r="W51" s="2060"/>
      <c r="X51" s="2061"/>
      <c r="Y51" s="2043"/>
    </row>
    <row r="52" spans="2:25" x14ac:dyDescent="0.25">
      <c r="B52" s="2029"/>
      <c r="C52" s="1678"/>
      <c r="D52" s="51" t="s">
        <v>189</v>
      </c>
      <c r="E52" s="51"/>
      <c r="F52" s="51"/>
      <c r="G52" s="51"/>
      <c r="H52" s="51"/>
      <c r="I52" s="2054">
        <f t="shared" si="10"/>
        <v>7.7674066261231532E-4</v>
      </c>
      <c r="J52" s="2055">
        <f t="shared" si="11"/>
        <v>48500</v>
      </c>
      <c r="K52" s="1684">
        <f t="shared" si="12"/>
        <v>48500</v>
      </c>
      <c r="L52" s="2060">
        <v>31700</v>
      </c>
      <c r="M52" s="2081">
        <v>16800</v>
      </c>
      <c r="N52" s="2081"/>
      <c r="O52" s="2081"/>
      <c r="P52" s="2081"/>
      <c r="Q52" s="2081"/>
      <c r="R52" s="2081"/>
      <c r="S52" s="2081"/>
      <c r="T52" s="2081"/>
      <c r="U52" s="2058"/>
      <c r="V52" s="2059">
        <f t="shared" si="13"/>
        <v>0</v>
      </c>
      <c r="W52" s="2060"/>
      <c r="X52" s="2061"/>
      <c r="Y52" s="2043"/>
    </row>
    <row r="53" spans="2:25" x14ac:dyDescent="0.25">
      <c r="B53" s="2029"/>
      <c r="C53" s="1678"/>
      <c r="D53" s="51" t="s">
        <v>190</v>
      </c>
      <c r="E53" s="51"/>
      <c r="F53" s="51"/>
      <c r="G53" s="51"/>
      <c r="H53" s="51"/>
      <c r="I53" s="2054">
        <f t="shared" si="10"/>
        <v>0</v>
      </c>
      <c r="J53" s="2055">
        <f t="shared" si="11"/>
        <v>0</v>
      </c>
      <c r="K53" s="1684">
        <f t="shared" si="12"/>
        <v>0</v>
      </c>
      <c r="L53" s="2060"/>
      <c r="M53" s="2081"/>
      <c r="N53" s="2081"/>
      <c r="O53" s="2081"/>
      <c r="P53" s="2081"/>
      <c r="Q53" s="2081"/>
      <c r="R53" s="2081"/>
      <c r="S53" s="2081"/>
      <c r="T53" s="2081"/>
      <c r="U53" s="2058"/>
      <c r="V53" s="2059">
        <f t="shared" si="13"/>
        <v>0</v>
      </c>
      <c r="W53" s="2060"/>
      <c r="X53" s="2061"/>
      <c r="Y53" s="2043"/>
    </row>
    <row r="54" spans="2:25" x14ac:dyDescent="0.25">
      <c r="B54" s="2029"/>
      <c r="C54" s="1678"/>
      <c r="D54" s="51" t="s">
        <v>191</v>
      </c>
      <c r="E54" s="51"/>
      <c r="F54" s="51"/>
      <c r="G54" s="51"/>
      <c r="H54" s="51"/>
      <c r="I54" s="2054">
        <f t="shared" si="10"/>
        <v>0</v>
      </c>
      <c r="J54" s="2055">
        <f t="shared" si="11"/>
        <v>0</v>
      </c>
      <c r="K54" s="1684">
        <f t="shared" si="12"/>
        <v>0</v>
      </c>
      <c r="L54" s="2060"/>
      <c r="M54" s="2081"/>
      <c r="N54" s="2081"/>
      <c r="O54" s="2081"/>
      <c r="P54" s="2081"/>
      <c r="Q54" s="2081"/>
      <c r="R54" s="2081"/>
      <c r="S54" s="2081"/>
      <c r="T54" s="2081"/>
      <c r="U54" s="2058"/>
      <c r="V54" s="2059">
        <f t="shared" si="13"/>
        <v>0</v>
      </c>
      <c r="W54" s="2060"/>
      <c r="X54" s="2061"/>
      <c r="Y54" s="2043"/>
    </row>
    <row r="55" spans="2:25" x14ac:dyDescent="0.25">
      <c r="B55" s="2029"/>
      <c r="C55" s="1678"/>
      <c r="D55" s="51" t="s">
        <v>192</v>
      </c>
      <c r="E55" s="51"/>
      <c r="F55" s="51"/>
      <c r="G55" s="51"/>
      <c r="H55" s="51"/>
      <c r="I55" s="2054">
        <f t="shared" si="10"/>
        <v>7.2068721273307608E-4</v>
      </c>
      <c r="J55" s="2055">
        <f t="shared" si="11"/>
        <v>45000</v>
      </c>
      <c r="K55" s="1684">
        <f t="shared" si="12"/>
        <v>45000</v>
      </c>
      <c r="L55" s="2060"/>
      <c r="M55" s="2081"/>
      <c r="N55" s="2081">
        <f>10000+35000</f>
        <v>45000</v>
      </c>
      <c r="O55" s="2081"/>
      <c r="P55" s="2081"/>
      <c r="Q55" s="2081"/>
      <c r="R55" s="2081"/>
      <c r="S55" s="2081"/>
      <c r="T55" s="2081"/>
      <c r="U55" s="2058"/>
      <c r="V55" s="2059">
        <f t="shared" si="13"/>
        <v>0</v>
      </c>
      <c r="W55" s="2060"/>
      <c r="X55" s="2061"/>
      <c r="Y55" s="2043"/>
    </row>
    <row r="56" spans="2:25" x14ac:dyDescent="0.25">
      <c r="B56" s="2029"/>
      <c r="C56" s="1678"/>
      <c r="D56" s="51" t="s">
        <v>193</v>
      </c>
      <c r="E56" s="51"/>
      <c r="F56" s="51"/>
      <c r="G56" s="51"/>
      <c r="H56" s="51"/>
      <c r="I56" s="2054">
        <f t="shared" si="10"/>
        <v>5.9386900497743422E-2</v>
      </c>
      <c r="J56" s="2055">
        <f t="shared" si="11"/>
        <v>3708142</v>
      </c>
      <c r="K56" s="1684">
        <f t="shared" si="12"/>
        <v>3708142</v>
      </c>
      <c r="L56" s="2060"/>
      <c r="M56" s="2081"/>
      <c r="N56" s="2081"/>
      <c r="O56" s="2081"/>
      <c r="P56" s="2081">
        <f>350000+900000</f>
        <v>1250000</v>
      </c>
      <c r="Q56" s="2081"/>
      <c r="R56" s="2081"/>
      <c r="S56" s="2081">
        <f>1837982-350000</f>
        <v>1487982</v>
      </c>
      <c r="T56" s="2081">
        <f>1870160-900000</f>
        <v>970160</v>
      </c>
      <c r="U56" s="2058"/>
      <c r="V56" s="2059">
        <f t="shared" si="13"/>
        <v>0</v>
      </c>
      <c r="W56" s="2060"/>
      <c r="X56" s="2061"/>
      <c r="Y56" s="2043"/>
    </row>
    <row r="57" spans="2:25" x14ac:dyDescent="0.25">
      <c r="B57" s="2029"/>
      <c r="C57" s="1678"/>
      <c r="D57" s="51" t="s">
        <v>194</v>
      </c>
      <c r="E57" s="51"/>
      <c r="F57" s="51"/>
      <c r="G57" s="51"/>
      <c r="H57" s="51"/>
      <c r="I57" s="2054">
        <f t="shared" si="10"/>
        <v>8.0076356970341777E-3</v>
      </c>
      <c r="J57" s="2055">
        <f t="shared" si="11"/>
        <v>500000</v>
      </c>
      <c r="K57" s="1684">
        <f t="shared" si="12"/>
        <v>500000</v>
      </c>
      <c r="L57" s="2060">
        <v>322131</v>
      </c>
      <c r="M57" s="2081">
        <v>177869</v>
      </c>
      <c r="N57" s="2081"/>
      <c r="O57" s="2081"/>
      <c r="P57" s="2081"/>
      <c r="Q57" s="2081"/>
      <c r="R57" s="2081"/>
      <c r="S57" s="2081"/>
      <c r="T57" s="2081"/>
      <c r="U57" s="2058"/>
      <c r="V57" s="2059">
        <f t="shared" si="13"/>
        <v>0</v>
      </c>
      <c r="W57" s="2060"/>
      <c r="X57" s="2061"/>
      <c r="Y57" s="2043"/>
    </row>
    <row r="58" spans="2:25" x14ac:dyDescent="0.25">
      <c r="B58" s="2029"/>
      <c r="C58" s="1678"/>
      <c r="D58" s="51" t="s">
        <v>195</v>
      </c>
      <c r="E58" s="51"/>
      <c r="F58" s="51"/>
      <c r="G58" s="51"/>
      <c r="H58" s="51"/>
      <c r="I58" s="2054">
        <f t="shared" si="10"/>
        <v>1.2011453545551268E-3</v>
      </c>
      <c r="J58" s="2055">
        <f t="shared" si="11"/>
        <v>75000</v>
      </c>
      <c r="K58" s="1684">
        <f t="shared" si="12"/>
        <v>75000</v>
      </c>
      <c r="L58" s="2095">
        <v>75000</v>
      </c>
      <c r="M58" s="2096"/>
      <c r="N58" s="2096"/>
      <c r="O58" s="2096"/>
      <c r="P58" s="2096"/>
      <c r="Q58" s="2096"/>
      <c r="R58" s="2096"/>
      <c r="S58" s="2096"/>
      <c r="T58" s="2096"/>
      <c r="U58" s="2058"/>
      <c r="V58" s="2059">
        <f t="shared" si="13"/>
        <v>0</v>
      </c>
      <c r="W58" s="2060"/>
      <c r="X58" s="2097"/>
      <c r="Y58" s="2043"/>
    </row>
    <row r="59" spans="2:25" x14ac:dyDescent="0.25">
      <c r="B59" s="2029"/>
      <c r="C59" s="1678"/>
      <c r="D59" s="99" t="s">
        <v>196</v>
      </c>
      <c r="E59" s="99"/>
      <c r="F59" s="99"/>
      <c r="G59" s="99"/>
      <c r="H59" s="99"/>
      <c r="I59" s="2054">
        <f t="shared" si="10"/>
        <v>2.0019089242585444E-3</v>
      </c>
      <c r="J59" s="2055">
        <f t="shared" si="11"/>
        <v>125000</v>
      </c>
      <c r="K59" s="1684">
        <f t="shared" si="12"/>
        <v>125000</v>
      </c>
      <c r="L59" s="2095"/>
      <c r="M59" s="2096">
        <v>125000</v>
      </c>
      <c r="N59" s="2096"/>
      <c r="O59" s="2096"/>
      <c r="P59" s="2096"/>
      <c r="Q59" s="2096"/>
      <c r="R59" s="2096"/>
      <c r="S59" s="2096"/>
      <c r="T59" s="2096"/>
      <c r="U59" s="2058"/>
      <c r="V59" s="2059">
        <f t="shared" si="13"/>
        <v>0</v>
      </c>
      <c r="W59" s="2060"/>
      <c r="X59" s="2097"/>
      <c r="Y59" s="2043"/>
    </row>
    <row r="60" spans="2:25" x14ac:dyDescent="0.25">
      <c r="B60" s="2029"/>
      <c r="C60" s="1678"/>
      <c r="D60" s="2084" t="s">
        <v>473</v>
      </c>
      <c r="E60" s="2349"/>
      <c r="F60" s="2350"/>
      <c r="G60" s="2351"/>
      <c r="H60" s="2084"/>
      <c r="I60" s="2054">
        <f t="shared" si="10"/>
        <v>0</v>
      </c>
      <c r="J60" s="2063">
        <f t="shared" si="11"/>
        <v>0</v>
      </c>
      <c r="K60" s="1685">
        <f t="shared" si="12"/>
        <v>0</v>
      </c>
      <c r="L60" s="2098"/>
      <c r="M60" s="2099"/>
      <c r="N60" s="2099"/>
      <c r="O60" s="2099"/>
      <c r="P60" s="2099"/>
      <c r="Q60" s="2099"/>
      <c r="R60" s="2099"/>
      <c r="S60" s="2099"/>
      <c r="T60" s="2099"/>
      <c r="U60" s="2058"/>
      <c r="V60" s="2086">
        <f t="shared" si="13"/>
        <v>0</v>
      </c>
      <c r="W60" s="2067"/>
      <c r="X60" s="2068"/>
      <c r="Y60" s="2043"/>
    </row>
    <row r="61" spans="2:25" ht="15.75" thickBot="1" x14ac:dyDescent="0.3">
      <c r="B61" s="2029"/>
      <c r="C61" s="1678"/>
      <c r="D61" s="51"/>
      <c r="E61" s="1955"/>
      <c r="F61" s="51"/>
      <c r="G61" s="55" t="s">
        <v>167</v>
      </c>
      <c r="H61" s="55"/>
      <c r="I61" s="2069">
        <f t="shared" si="10"/>
        <v>0.11565500305947737</v>
      </c>
      <c r="J61" s="2070">
        <f>SUM(J48:J60)</f>
        <v>7221545</v>
      </c>
      <c r="K61" s="1682">
        <f>SUM(K48:K60)</f>
        <v>7221545</v>
      </c>
      <c r="L61" s="2071">
        <f>SUM(L48:L60)</f>
        <v>550335</v>
      </c>
      <c r="M61" s="2072">
        <f t="shared" ref="M61:T61" si="14">SUM(M48:M60)</f>
        <v>1728796</v>
      </c>
      <c r="N61" s="2072">
        <f t="shared" si="14"/>
        <v>93496</v>
      </c>
      <c r="O61" s="2072">
        <f t="shared" si="14"/>
        <v>0</v>
      </c>
      <c r="P61" s="2072">
        <f t="shared" si="14"/>
        <v>1250000</v>
      </c>
      <c r="Q61" s="2072">
        <f t="shared" si="14"/>
        <v>0</v>
      </c>
      <c r="R61" s="2072">
        <f t="shared" si="14"/>
        <v>0</v>
      </c>
      <c r="S61" s="2072">
        <f t="shared" si="14"/>
        <v>1983901</v>
      </c>
      <c r="T61" s="2072">
        <f t="shared" si="14"/>
        <v>1615017</v>
      </c>
      <c r="U61" s="2073"/>
      <c r="V61" s="2074">
        <f>SUM(V48:V60)</f>
        <v>0</v>
      </c>
      <c r="W61" s="2071"/>
      <c r="X61" s="2075"/>
      <c r="Y61" s="2043"/>
    </row>
    <row r="62" spans="2:25" ht="3.75" customHeight="1" x14ac:dyDescent="0.25">
      <c r="B62" s="2029"/>
      <c r="C62" s="51"/>
      <c r="D62" s="51"/>
      <c r="E62" s="51"/>
      <c r="F62" s="51"/>
      <c r="G62" s="51"/>
      <c r="H62" s="51"/>
      <c r="I62" s="1676"/>
      <c r="J62" s="2100"/>
      <c r="K62" s="1687"/>
      <c r="L62" s="2101"/>
      <c r="M62" s="2102"/>
      <c r="N62" s="2102"/>
      <c r="O62" s="2102"/>
      <c r="P62" s="2102"/>
      <c r="Q62" s="2102"/>
      <c r="R62" s="2102"/>
      <c r="S62" s="1687"/>
      <c r="T62" s="2102"/>
      <c r="U62" s="2103"/>
      <c r="V62" s="2102"/>
      <c r="W62" s="2101"/>
      <c r="X62" s="2102"/>
      <c r="Y62" s="2043"/>
    </row>
    <row r="63" spans="2:25" ht="15.75" thickBot="1" x14ac:dyDescent="0.3">
      <c r="B63" s="2029"/>
      <c r="C63" s="85" t="s">
        <v>197</v>
      </c>
      <c r="D63" s="85"/>
      <c r="E63" s="85"/>
      <c r="F63" s="85"/>
      <c r="G63" s="85"/>
      <c r="H63" s="54"/>
      <c r="I63" s="54"/>
      <c r="J63" s="54"/>
      <c r="K63" s="54"/>
      <c r="L63" s="2035"/>
      <c r="M63" s="1678"/>
      <c r="N63" s="1678"/>
      <c r="O63" s="969"/>
      <c r="P63" s="969"/>
      <c r="Q63" s="969"/>
      <c r="R63" s="969"/>
      <c r="S63" s="969"/>
      <c r="T63" s="969"/>
      <c r="U63" s="2041"/>
      <c r="V63" s="78"/>
      <c r="W63" s="1673"/>
      <c r="X63" s="969"/>
      <c r="Y63" s="2043"/>
    </row>
    <row r="64" spans="2:25" x14ac:dyDescent="0.25">
      <c r="B64" s="2029"/>
      <c r="C64" s="1678"/>
      <c r="D64" s="190" t="s">
        <v>198</v>
      </c>
      <c r="E64" s="190"/>
      <c r="F64" s="190"/>
      <c r="G64" s="190"/>
      <c r="H64" s="190"/>
      <c r="I64" s="2045">
        <f>IFERROR(J64/J$118," ")</f>
        <v>0</v>
      </c>
      <c r="J64" s="2046">
        <f>K64+V64</f>
        <v>0</v>
      </c>
      <c r="K64" s="1683">
        <f>SUM(L64:T64)</f>
        <v>0</v>
      </c>
      <c r="L64" s="2051"/>
      <c r="M64" s="2078"/>
      <c r="N64" s="2078"/>
      <c r="O64" s="2078"/>
      <c r="P64" s="2079"/>
      <c r="Q64" s="2079"/>
      <c r="R64" s="2079"/>
      <c r="S64" s="2078"/>
      <c r="T64" s="2078"/>
      <c r="U64" s="2049"/>
      <c r="V64" s="2080">
        <f>SUM(W64:X64)</f>
        <v>0</v>
      </c>
      <c r="W64" s="2051"/>
      <c r="X64" s="2052"/>
      <c r="Y64" s="2043"/>
    </row>
    <row r="65" spans="2:26" x14ac:dyDescent="0.25">
      <c r="B65" s="2029"/>
      <c r="C65" s="1678"/>
      <c r="D65" s="51" t="s">
        <v>199</v>
      </c>
      <c r="E65" s="51"/>
      <c r="F65" s="51"/>
      <c r="G65" s="51"/>
      <c r="H65" s="51"/>
      <c r="I65" s="2054">
        <f>IFERROR(J65/J$118," ")</f>
        <v>0</v>
      </c>
      <c r="J65" s="2063">
        <f>K65+V65</f>
        <v>0</v>
      </c>
      <c r="K65" s="1685">
        <f>SUM(L65:T65)</f>
        <v>0</v>
      </c>
      <c r="L65" s="2067"/>
      <c r="M65" s="2085"/>
      <c r="N65" s="2085"/>
      <c r="O65" s="2085"/>
      <c r="P65" s="2085"/>
      <c r="Q65" s="2085"/>
      <c r="R65" s="2085"/>
      <c r="S65" s="2085"/>
      <c r="T65" s="2085"/>
      <c r="U65" s="2058"/>
      <c r="V65" s="2086">
        <f>SUM(W65:X65)</f>
        <v>0</v>
      </c>
      <c r="W65" s="2067"/>
      <c r="X65" s="2087"/>
      <c r="Y65" s="2043"/>
    </row>
    <row r="66" spans="2:26" ht="15.75" thickBot="1" x14ac:dyDescent="0.3">
      <c r="B66" s="2029"/>
      <c r="C66" s="1678"/>
      <c r="D66" s="51"/>
      <c r="E66" s="51"/>
      <c r="F66" s="51"/>
      <c r="G66" s="55" t="s">
        <v>167</v>
      </c>
      <c r="H66" s="55"/>
      <c r="I66" s="2069">
        <f>IFERROR(J66/J$118," ")</f>
        <v>0</v>
      </c>
      <c r="J66" s="2070">
        <f>SUM(J64:J65)</f>
        <v>0</v>
      </c>
      <c r="K66" s="1682">
        <f>SUM(K64:K65)</f>
        <v>0</v>
      </c>
      <c r="L66" s="2071">
        <f>SUM(L64:L65)</f>
        <v>0</v>
      </c>
      <c r="M66" s="2072">
        <f t="shared" ref="M66:T66" si="15">SUM(M64:M65)</f>
        <v>0</v>
      </c>
      <c r="N66" s="2072">
        <f t="shared" si="15"/>
        <v>0</v>
      </c>
      <c r="O66" s="2072">
        <f t="shared" si="15"/>
        <v>0</v>
      </c>
      <c r="P66" s="2072">
        <f t="shared" si="15"/>
        <v>0</v>
      </c>
      <c r="Q66" s="2072">
        <f t="shared" si="15"/>
        <v>0</v>
      </c>
      <c r="R66" s="2072">
        <f t="shared" si="15"/>
        <v>0</v>
      </c>
      <c r="S66" s="2072">
        <f t="shared" si="15"/>
        <v>0</v>
      </c>
      <c r="T66" s="2072">
        <f t="shared" si="15"/>
        <v>0</v>
      </c>
      <c r="U66" s="2073"/>
      <c r="V66" s="2074">
        <f>SUM(V64:V65)</f>
        <v>0</v>
      </c>
      <c r="W66" s="2071"/>
      <c r="X66" s="2075"/>
      <c r="Y66" s="2043"/>
    </row>
    <row r="67" spans="2:26" ht="3.75" customHeight="1" x14ac:dyDescent="0.25">
      <c r="B67" s="2029"/>
      <c r="C67" s="51"/>
      <c r="D67" s="55"/>
      <c r="E67" s="55"/>
      <c r="F67" s="55"/>
      <c r="G67" s="55"/>
      <c r="H67" s="55"/>
      <c r="I67" s="2035"/>
      <c r="J67" s="2035"/>
      <c r="K67" s="1678"/>
      <c r="L67" s="2077"/>
      <c r="M67" s="2077"/>
      <c r="N67" s="2077"/>
      <c r="O67" s="2077"/>
      <c r="P67" s="2077"/>
      <c r="Q67" s="2077"/>
      <c r="R67" s="2077"/>
      <c r="S67" s="1678"/>
      <c r="T67" s="2077"/>
      <c r="U67" s="2058"/>
      <c r="V67" s="2077"/>
      <c r="W67" s="2077"/>
      <c r="X67" s="2077"/>
      <c r="Y67" s="2043"/>
    </row>
    <row r="68" spans="2:26" ht="15.75" thickBot="1" x14ac:dyDescent="0.3">
      <c r="B68" s="2029"/>
      <c r="C68" s="85" t="s">
        <v>200</v>
      </c>
      <c r="D68" s="85"/>
      <c r="E68" s="85"/>
      <c r="F68" s="85"/>
      <c r="G68" s="85"/>
      <c r="H68" s="54"/>
      <c r="I68" s="54"/>
      <c r="J68" s="54"/>
      <c r="K68" s="54"/>
      <c r="L68" s="2035"/>
      <c r="M68" s="1678"/>
      <c r="N68" s="1678"/>
      <c r="O68" s="969"/>
      <c r="P68" s="969"/>
      <c r="Q68" s="969"/>
      <c r="R68" s="969"/>
      <c r="S68" s="969"/>
      <c r="T68" s="969"/>
      <c r="U68" s="2041"/>
      <c r="V68" s="78"/>
      <c r="W68" s="1673"/>
      <c r="X68" s="969"/>
      <c r="Y68" s="2043"/>
    </row>
    <row r="69" spans="2:26" x14ac:dyDescent="0.25">
      <c r="B69" s="2029"/>
      <c r="C69" s="1678"/>
      <c r="D69" s="190" t="s">
        <v>201</v>
      </c>
      <c r="E69" s="190"/>
      <c r="F69" s="190"/>
      <c r="G69" s="190"/>
      <c r="H69" s="190"/>
      <c r="I69" s="2045">
        <f t="shared" ref="I69:I74" si="16">IFERROR(J69/J$118," ")</f>
        <v>4.4654900769938973E-3</v>
      </c>
      <c r="J69" s="2046">
        <f>K69+V69</f>
        <v>278827</v>
      </c>
      <c r="K69" s="1683">
        <f>SUM(L69:T69)</f>
        <v>278827</v>
      </c>
      <c r="L69" s="2051"/>
      <c r="M69" s="2078"/>
      <c r="N69" s="2078"/>
      <c r="O69" s="2078">
        <v>54160</v>
      </c>
      <c r="P69" s="2079"/>
      <c r="Q69" s="2079"/>
      <c r="R69" s="2079"/>
      <c r="S69" s="2078">
        <v>195000</v>
      </c>
      <c r="T69" s="2078">
        <f>83827-54160</f>
        <v>29667</v>
      </c>
      <c r="U69" s="2049"/>
      <c r="V69" s="2080">
        <f>SUM(W69:X69)</f>
        <v>0</v>
      </c>
      <c r="W69" s="2051"/>
      <c r="X69" s="2052"/>
      <c r="Y69" s="2043"/>
    </row>
    <row r="70" spans="2:26" x14ac:dyDescent="0.25">
      <c r="B70" s="2029"/>
      <c r="C70" s="1678"/>
      <c r="D70" s="51" t="s">
        <v>202</v>
      </c>
      <c r="E70" s="51"/>
      <c r="F70" s="51"/>
      <c r="G70" s="51"/>
      <c r="H70" s="51"/>
      <c r="I70" s="2054">
        <f t="shared" si="16"/>
        <v>9.609162836441014E-4</v>
      </c>
      <c r="J70" s="2055">
        <f>K70+V70</f>
        <v>60000</v>
      </c>
      <c r="K70" s="1684">
        <f>SUM(L70:T70)</f>
        <v>60000</v>
      </c>
      <c r="L70" s="2060">
        <v>60000</v>
      </c>
      <c r="M70" s="2081"/>
      <c r="N70" s="2081"/>
      <c r="O70" s="2081"/>
      <c r="P70" s="2081"/>
      <c r="Q70" s="2081"/>
      <c r="R70" s="2081"/>
      <c r="S70" s="2081"/>
      <c r="T70" s="2081"/>
      <c r="U70" s="2058"/>
      <c r="V70" s="2059">
        <f>SUM(W70:X70)</f>
        <v>0</v>
      </c>
      <c r="W70" s="2060"/>
      <c r="X70" s="2061"/>
      <c r="Y70" s="2043"/>
      <c r="Z70" s="2104"/>
    </row>
    <row r="71" spans="2:26" x14ac:dyDescent="0.25">
      <c r="B71" s="2029"/>
      <c r="C71" s="1678"/>
      <c r="D71" s="51" t="s">
        <v>203</v>
      </c>
      <c r="E71" s="51"/>
      <c r="F71" s="51"/>
      <c r="G71" s="51"/>
      <c r="H71" s="51"/>
      <c r="I71" s="2054">
        <f t="shared" si="16"/>
        <v>1.6015271394068356E-3</v>
      </c>
      <c r="J71" s="2055">
        <f>K71+V71</f>
        <v>100000</v>
      </c>
      <c r="K71" s="1684">
        <f>SUM(L71:T71)</f>
        <v>100000</v>
      </c>
      <c r="L71" s="2060">
        <v>10000</v>
      </c>
      <c r="M71" s="2081"/>
      <c r="N71" s="2081"/>
      <c r="O71" s="2081"/>
      <c r="P71" s="2081"/>
      <c r="Q71" s="2081"/>
      <c r="R71" s="2081"/>
      <c r="S71" s="2081">
        <v>36144</v>
      </c>
      <c r="T71" s="2081">
        <f>23856+30000</f>
        <v>53856</v>
      </c>
      <c r="U71" s="2058"/>
      <c r="V71" s="2059">
        <f>SUM(W71:X71)</f>
        <v>0</v>
      </c>
      <c r="W71" s="2060"/>
      <c r="X71" s="2061"/>
      <c r="Y71" s="2043"/>
    </row>
    <row r="72" spans="2:26" x14ac:dyDescent="0.25">
      <c r="B72" s="2029"/>
      <c r="C72" s="1678"/>
      <c r="D72" s="51" t="s">
        <v>204</v>
      </c>
      <c r="E72" s="51"/>
      <c r="F72" s="51"/>
      <c r="G72" s="51"/>
      <c r="H72" s="51"/>
      <c r="I72" s="2054">
        <f t="shared" si="16"/>
        <v>6.0256978162040366E-3</v>
      </c>
      <c r="J72" s="2055">
        <f>K72+V72</f>
        <v>376247</v>
      </c>
      <c r="K72" s="1684">
        <f>SUM(L72:T72)</f>
        <v>376247</v>
      </c>
      <c r="L72" s="2060"/>
      <c r="M72" s="2081"/>
      <c r="N72" s="2081">
        <v>30000</v>
      </c>
      <c r="O72" s="2081"/>
      <c r="P72" s="2081"/>
      <c r="Q72" s="2081"/>
      <c r="R72" s="2081">
        <f>38928+56667</f>
        <v>95595</v>
      </c>
      <c r="S72" s="2081">
        <v>201753</v>
      </c>
      <c r="T72" s="2081">
        <v>48899</v>
      </c>
      <c r="U72" s="2058"/>
      <c r="V72" s="2059">
        <f>SUM(W72:X72)</f>
        <v>0</v>
      </c>
      <c r="W72" s="2060"/>
      <c r="X72" s="2061"/>
      <c r="Y72" s="2043"/>
    </row>
    <row r="73" spans="2:26" x14ac:dyDescent="0.25">
      <c r="B73" s="2029"/>
      <c r="C73" s="1678"/>
      <c r="D73" s="51" t="s">
        <v>205</v>
      </c>
      <c r="E73" s="51"/>
      <c r="F73" s="51"/>
      <c r="G73" s="51"/>
      <c r="H73" s="51"/>
      <c r="I73" s="2054">
        <f t="shared" si="16"/>
        <v>8.6245919969478741E-3</v>
      </c>
      <c r="J73" s="2063">
        <f>K73+V73</f>
        <v>538523</v>
      </c>
      <c r="K73" s="1684">
        <f>SUM(L73:T73)</f>
        <v>538523</v>
      </c>
      <c r="L73" s="2067"/>
      <c r="M73" s="2085"/>
      <c r="N73" s="2085"/>
      <c r="O73" s="2085"/>
      <c r="P73" s="2085"/>
      <c r="Q73" s="2085"/>
      <c r="R73" s="2085"/>
      <c r="S73" s="2085">
        <v>370869</v>
      </c>
      <c r="T73" s="2085">
        <v>167654</v>
      </c>
      <c r="U73" s="2058"/>
      <c r="V73" s="2086">
        <f>SUM(W73:X73)</f>
        <v>0</v>
      </c>
      <c r="W73" s="2060"/>
      <c r="X73" s="2087"/>
      <c r="Y73" s="2043"/>
    </row>
    <row r="74" spans="2:26" ht="15.75" thickBot="1" x14ac:dyDescent="0.3">
      <c r="B74" s="2029"/>
      <c r="C74" s="1678"/>
      <c r="D74" s="51"/>
      <c r="E74" s="51"/>
      <c r="F74" s="51"/>
      <c r="G74" s="55" t="s">
        <v>167</v>
      </c>
      <c r="H74" s="55"/>
      <c r="I74" s="2069">
        <f t="shared" si="16"/>
        <v>2.1678223313196746E-2</v>
      </c>
      <c r="J74" s="2070">
        <f>SUM(J69:J73)</f>
        <v>1353597</v>
      </c>
      <c r="K74" s="1682">
        <f>SUM(K69:K73)</f>
        <v>1353597</v>
      </c>
      <c r="L74" s="2071">
        <f>SUM(L69:L73)</f>
        <v>70000</v>
      </c>
      <c r="M74" s="2072">
        <f t="shared" ref="M74:T74" si="17">SUM(M69:M73)</f>
        <v>0</v>
      </c>
      <c r="N74" s="2072">
        <f t="shared" si="17"/>
        <v>30000</v>
      </c>
      <c r="O74" s="2072">
        <f t="shared" si="17"/>
        <v>54160</v>
      </c>
      <c r="P74" s="2072">
        <f t="shared" si="17"/>
        <v>0</v>
      </c>
      <c r="Q74" s="2072">
        <f t="shared" si="17"/>
        <v>0</v>
      </c>
      <c r="R74" s="2072">
        <f t="shared" si="17"/>
        <v>95595</v>
      </c>
      <c r="S74" s="2072">
        <f t="shared" si="17"/>
        <v>803766</v>
      </c>
      <c r="T74" s="2072">
        <f t="shared" si="17"/>
        <v>300076</v>
      </c>
      <c r="U74" s="2073"/>
      <c r="V74" s="2074">
        <f>SUM(V69:V73)</f>
        <v>0</v>
      </c>
      <c r="W74" s="2071"/>
      <c r="X74" s="2075"/>
      <c r="Y74" s="2043"/>
    </row>
    <row r="75" spans="2:26" ht="9" customHeight="1" thickBot="1" x14ac:dyDescent="0.3">
      <c r="B75" s="2088"/>
      <c r="C75" s="41"/>
      <c r="D75" s="43"/>
      <c r="E75" s="43"/>
      <c r="F75" s="43"/>
      <c r="G75" s="43"/>
      <c r="H75" s="43"/>
      <c r="I75" s="2089"/>
      <c r="J75" s="2090"/>
      <c r="K75" s="1686"/>
      <c r="L75" s="2092"/>
      <c r="M75" s="2092"/>
      <c r="N75" s="2092"/>
      <c r="O75" s="2092"/>
      <c r="P75" s="2092"/>
      <c r="Q75" s="2092"/>
      <c r="R75" s="2092"/>
      <c r="S75" s="1686"/>
      <c r="T75" s="2092"/>
      <c r="U75" s="2093"/>
      <c r="V75" s="2092"/>
      <c r="W75" s="2092"/>
      <c r="X75" s="2092"/>
      <c r="Y75" s="2094"/>
    </row>
    <row r="76" spans="2:26" ht="15.75" thickBot="1" x14ac:dyDescent="0.3">
      <c r="B76" s="2029"/>
      <c r="C76" s="85" t="s">
        <v>206</v>
      </c>
      <c r="D76" s="85"/>
      <c r="E76" s="85"/>
      <c r="F76" s="85"/>
      <c r="G76" s="85"/>
      <c r="H76" s="54"/>
      <c r="I76" s="54"/>
      <c r="J76" s="54"/>
      <c r="K76" s="54"/>
      <c r="L76" s="2077"/>
      <c r="M76" s="2077"/>
      <c r="N76" s="2077"/>
      <c r="O76" s="2077"/>
      <c r="P76" s="2077"/>
      <c r="Q76" s="2077"/>
      <c r="R76" s="2077"/>
      <c r="S76" s="1678"/>
      <c r="T76" s="2077"/>
      <c r="U76" s="2058"/>
      <c r="V76" s="2077"/>
      <c r="W76" s="2077"/>
      <c r="X76" s="2077"/>
      <c r="Y76" s="2043"/>
    </row>
    <row r="77" spans="2:26" x14ac:dyDescent="0.25">
      <c r="B77" s="2029"/>
      <c r="C77" s="1678"/>
      <c r="D77" s="190" t="s">
        <v>207</v>
      </c>
      <c r="E77" s="190"/>
      <c r="F77" s="190"/>
      <c r="G77" s="190"/>
      <c r="H77" s="190"/>
      <c r="I77" s="2045">
        <f t="shared" ref="I77:I85" si="18">IFERROR(J77/J$118," ")</f>
        <v>9.6604117049020328E-4</v>
      </c>
      <c r="J77" s="2046">
        <f t="shared" ref="J77:J84" si="19">K77+V77</f>
        <v>60320</v>
      </c>
      <c r="K77" s="1683">
        <f t="shared" ref="K77:K84" si="20">SUM(L77:T77)</f>
        <v>60320</v>
      </c>
      <c r="L77" s="2051">
        <v>60320</v>
      </c>
      <c r="M77" s="2078"/>
      <c r="N77" s="2078"/>
      <c r="O77" s="2078"/>
      <c r="P77" s="2079"/>
      <c r="Q77" s="2079"/>
      <c r="R77" s="2079"/>
      <c r="S77" s="2078"/>
      <c r="T77" s="2078"/>
      <c r="U77" s="2049"/>
      <c r="V77" s="2080">
        <f t="shared" ref="V77:V84" si="21">SUM(W77:X77)</f>
        <v>0</v>
      </c>
      <c r="W77" s="2051"/>
      <c r="X77" s="2052"/>
      <c r="Y77" s="2043"/>
    </row>
    <row r="78" spans="2:26" x14ac:dyDescent="0.25">
      <c r="B78" s="2029"/>
      <c r="C78" s="1678"/>
      <c r="D78" s="51" t="s">
        <v>208</v>
      </c>
      <c r="E78" s="51"/>
      <c r="F78" s="51"/>
      <c r="G78" s="51"/>
      <c r="H78" s="51"/>
      <c r="I78" s="2054">
        <f t="shared" si="18"/>
        <v>0</v>
      </c>
      <c r="J78" s="2055">
        <f t="shared" si="19"/>
        <v>0</v>
      </c>
      <c r="K78" s="1684">
        <f t="shared" si="20"/>
        <v>0</v>
      </c>
      <c r="L78" s="2060"/>
      <c r="M78" s="2081"/>
      <c r="N78" s="2081"/>
      <c r="O78" s="2081"/>
      <c r="P78" s="2081"/>
      <c r="Q78" s="2081"/>
      <c r="R78" s="2081"/>
      <c r="S78" s="2081"/>
      <c r="T78" s="2081"/>
      <c r="U78" s="2058"/>
      <c r="V78" s="2059">
        <f t="shared" si="21"/>
        <v>0</v>
      </c>
      <c r="W78" s="2060"/>
      <c r="X78" s="2061"/>
      <c r="Y78" s="2043"/>
    </row>
    <row r="79" spans="2:26" x14ac:dyDescent="0.25">
      <c r="B79" s="2029"/>
      <c r="C79" s="1678"/>
      <c r="D79" s="51" t="s">
        <v>209</v>
      </c>
      <c r="E79" s="51"/>
      <c r="F79" s="51"/>
      <c r="G79" s="51"/>
      <c r="H79" s="51"/>
      <c r="I79" s="2054">
        <f t="shared" si="18"/>
        <v>0</v>
      </c>
      <c r="J79" s="2055">
        <f t="shared" si="19"/>
        <v>0</v>
      </c>
      <c r="K79" s="1684">
        <f t="shared" si="20"/>
        <v>0</v>
      </c>
      <c r="L79" s="2060"/>
      <c r="M79" s="2081"/>
      <c r="N79" s="2081"/>
      <c r="O79" s="2081"/>
      <c r="P79" s="2081"/>
      <c r="Q79" s="2081"/>
      <c r="R79" s="2081"/>
      <c r="S79" s="2081">
        <v>0</v>
      </c>
      <c r="T79" s="2081">
        <v>0</v>
      </c>
      <c r="U79" s="2058"/>
      <c r="V79" s="2059">
        <f t="shared" si="21"/>
        <v>0</v>
      </c>
      <c r="W79" s="2060"/>
      <c r="X79" s="2061"/>
      <c r="Y79" s="2043"/>
    </row>
    <row r="80" spans="2:26" x14ac:dyDescent="0.25">
      <c r="B80" s="2029"/>
      <c r="C80" s="1678"/>
      <c r="D80" s="2084" t="s">
        <v>210</v>
      </c>
      <c r="E80" s="2084"/>
      <c r="F80" s="2084"/>
      <c r="G80" s="2084"/>
      <c r="H80" s="2084"/>
      <c r="I80" s="2054">
        <f t="shared" si="18"/>
        <v>2.2636785351945921E-3</v>
      </c>
      <c r="J80" s="2055">
        <f t="shared" si="19"/>
        <v>141345</v>
      </c>
      <c r="K80" s="1684">
        <f t="shared" si="20"/>
        <v>141345</v>
      </c>
      <c r="L80" s="2060">
        <v>77938</v>
      </c>
      <c r="M80" s="2081">
        <f>7500+1265+1800+3960</f>
        <v>14525</v>
      </c>
      <c r="N80" s="2081">
        <v>48882</v>
      </c>
      <c r="O80" s="2081"/>
      <c r="P80" s="2081"/>
      <c r="Q80" s="2081"/>
      <c r="R80" s="2081"/>
      <c r="S80" s="2081"/>
      <c r="T80" s="2081"/>
      <c r="U80" s="2058"/>
      <c r="V80" s="2059">
        <f t="shared" si="21"/>
        <v>0</v>
      </c>
      <c r="W80" s="2060"/>
      <c r="X80" s="2061"/>
      <c r="Y80" s="2043"/>
      <c r="Z80" s="2104"/>
    </row>
    <row r="81" spans="2:25" x14ac:dyDescent="0.25">
      <c r="B81" s="2029"/>
      <c r="C81" s="1678"/>
      <c r="D81" s="2084" t="s">
        <v>211</v>
      </c>
      <c r="E81" s="2084"/>
      <c r="F81" s="2084"/>
      <c r="G81" s="2084"/>
      <c r="H81" s="2084"/>
      <c r="I81" s="2054">
        <f t="shared" si="18"/>
        <v>1.4013362469809812E-3</v>
      </c>
      <c r="J81" s="2055">
        <f t="shared" si="19"/>
        <v>87500</v>
      </c>
      <c r="K81" s="1684">
        <f t="shared" si="20"/>
        <v>87500</v>
      </c>
      <c r="L81" s="2060"/>
      <c r="M81" s="2081"/>
      <c r="N81" s="2081"/>
      <c r="O81" s="2081"/>
      <c r="P81" s="2081"/>
      <c r="Q81" s="2081"/>
      <c r="R81" s="2081"/>
      <c r="S81" s="2081">
        <v>45000</v>
      </c>
      <c r="T81" s="2081">
        <v>42500</v>
      </c>
      <c r="U81" s="2058"/>
      <c r="V81" s="2059">
        <f t="shared" si="21"/>
        <v>0</v>
      </c>
      <c r="W81" s="2060"/>
      <c r="X81" s="2061"/>
      <c r="Y81" s="2043"/>
    </row>
    <row r="82" spans="2:25" x14ac:dyDescent="0.25">
      <c r="B82" s="2029"/>
      <c r="C82" s="1678"/>
      <c r="D82" s="2084" t="s">
        <v>212</v>
      </c>
      <c r="E82" s="2084"/>
      <c r="F82" s="2084"/>
      <c r="G82" s="2084"/>
      <c r="H82" s="2084"/>
      <c r="I82" s="2054">
        <f t="shared" si="18"/>
        <v>0</v>
      </c>
      <c r="J82" s="2055">
        <f t="shared" si="19"/>
        <v>0</v>
      </c>
      <c r="K82" s="1684">
        <f t="shared" si="20"/>
        <v>0</v>
      </c>
      <c r="L82" s="2060"/>
      <c r="M82" s="2081"/>
      <c r="N82" s="2081"/>
      <c r="O82" s="2081"/>
      <c r="P82" s="2081"/>
      <c r="Q82" s="2081"/>
      <c r="R82" s="2081"/>
      <c r="S82" s="2081"/>
      <c r="T82" s="2081"/>
      <c r="U82" s="2058"/>
      <c r="V82" s="2059">
        <f t="shared" si="21"/>
        <v>0</v>
      </c>
      <c r="W82" s="2060"/>
      <c r="X82" s="2061"/>
      <c r="Y82" s="2043"/>
    </row>
    <row r="83" spans="2:25" x14ac:dyDescent="0.25">
      <c r="B83" s="2029"/>
      <c r="C83" s="1678"/>
      <c r="D83" s="51" t="s">
        <v>213</v>
      </c>
      <c r="E83" s="51"/>
      <c r="F83" s="51"/>
      <c r="G83" s="51"/>
      <c r="H83" s="51"/>
      <c r="I83" s="2054">
        <f t="shared" si="18"/>
        <v>3.1069626504492613E-3</v>
      </c>
      <c r="J83" s="2055">
        <f t="shared" si="19"/>
        <v>194000</v>
      </c>
      <c r="K83" s="1684">
        <f t="shared" si="20"/>
        <v>194000</v>
      </c>
      <c r="L83" s="2060"/>
      <c r="M83" s="2081">
        <v>79000</v>
      </c>
      <c r="N83" s="2081">
        <v>115000</v>
      </c>
      <c r="O83" s="2081"/>
      <c r="P83" s="2081"/>
      <c r="Q83" s="2081"/>
      <c r="R83" s="2081"/>
      <c r="S83" s="2081"/>
      <c r="T83" s="2081"/>
      <c r="U83" s="2058"/>
      <c r="V83" s="2059">
        <f t="shared" si="21"/>
        <v>0</v>
      </c>
      <c r="W83" s="2060"/>
      <c r="X83" s="2061"/>
      <c r="Y83" s="2043"/>
    </row>
    <row r="84" spans="2:25" x14ac:dyDescent="0.25">
      <c r="B84" s="2029"/>
      <c r="C84" s="1678"/>
      <c r="D84" s="2084" t="s">
        <v>473</v>
      </c>
      <c r="E84" s="2349"/>
      <c r="F84" s="2350"/>
      <c r="G84" s="2351"/>
      <c r="H84" s="2084"/>
      <c r="I84" s="2054">
        <f t="shared" si="18"/>
        <v>0</v>
      </c>
      <c r="J84" s="2063">
        <f t="shared" si="19"/>
        <v>0</v>
      </c>
      <c r="K84" s="1684">
        <f t="shared" si="20"/>
        <v>0</v>
      </c>
      <c r="L84" s="2067"/>
      <c r="M84" s="2085"/>
      <c r="N84" s="2085"/>
      <c r="O84" s="2085"/>
      <c r="P84" s="2085"/>
      <c r="Q84" s="2085"/>
      <c r="R84" s="2085"/>
      <c r="S84" s="2085"/>
      <c r="T84" s="2085"/>
      <c r="U84" s="2058"/>
      <c r="V84" s="2086">
        <f t="shared" si="21"/>
        <v>0</v>
      </c>
      <c r="W84" s="2067"/>
      <c r="X84" s="2087"/>
      <c r="Y84" s="2043"/>
    </row>
    <row r="85" spans="2:25" ht="15.75" thickBot="1" x14ac:dyDescent="0.3">
      <c r="B85" s="2029"/>
      <c r="C85" s="1678"/>
      <c r="D85" s="51"/>
      <c r="E85" s="51"/>
      <c r="F85" s="51"/>
      <c r="G85" s="55" t="s">
        <v>167</v>
      </c>
      <c r="H85" s="55"/>
      <c r="I85" s="2069">
        <f t="shared" si="18"/>
        <v>7.7380186031150372E-3</v>
      </c>
      <c r="J85" s="2070">
        <f>SUM(J77:J84)</f>
        <v>483165</v>
      </c>
      <c r="K85" s="1682">
        <f>SUM(K77:K84)</f>
        <v>483165</v>
      </c>
      <c r="L85" s="2071">
        <f>SUM(L77:L84)</f>
        <v>138258</v>
      </c>
      <c r="M85" s="2072">
        <f t="shared" ref="M85:T85" si="22">SUM(M77:M84)</f>
        <v>93525</v>
      </c>
      <c r="N85" s="2072">
        <f t="shared" si="22"/>
        <v>163882</v>
      </c>
      <c r="O85" s="2072">
        <f t="shared" si="22"/>
        <v>0</v>
      </c>
      <c r="P85" s="2072">
        <f t="shared" si="22"/>
        <v>0</v>
      </c>
      <c r="Q85" s="2072">
        <f t="shared" si="22"/>
        <v>0</v>
      </c>
      <c r="R85" s="2072">
        <f t="shared" si="22"/>
        <v>0</v>
      </c>
      <c r="S85" s="2072">
        <f t="shared" si="22"/>
        <v>45000</v>
      </c>
      <c r="T85" s="2072">
        <f t="shared" si="22"/>
        <v>42500</v>
      </c>
      <c r="U85" s="2073"/>
      <c r="V85" s="2074">
        <f>SUM(V77:V84)</f>
        <v>0</v>
      </c>
      <c r="W85" s="2071"/>
      <c r="X85" s="2075"/>
      <c r="Y85" s="2043"/>
    </row>
    <row r="86" spans="2:25" ht="3.75" customHeight="1" x14ac:dyDescent="0.25">
      <c r="B86" s="2029"/>
      <c r="C86" s="51"/>
      <c r="D86" s="51"/>
      <c r="E86" s="51"/>
      <c r="F86" s="51"/>
      <c r="G86" s="51"/>
      <c r="H86" s="51"/>
      <c r="I86" s="2035"/>
      <c r="J86" s="2076"/>
      <c r="K86" s="1678"/>
      <c r="L86" s="2077"/>
      <c r="M86" s="2077"/>
      <c r="N86" s="2077"/>
      <c r="O86" s="2077"/>
      <c r="P86" s="2077"/>
      <c r="Q86" s="2077"/>
      <c r="R86" s="2077"/>
      <c r="S86" s="1678"/>
      <c r="T86" s="2077"/>
      <c r="U86" s="2058"/>
      <c r="V86" s="2077"/>
      <c r="W86" s="2077"/>
      <c r="X86" s="2077"/>
      <c r="Y86" s="2043"/>
    </row>
    <row r="87" spans="2:25" ht="15.75" thickBot="1" x14ac:dyDescent="0.3">
      <c r="B87" s="2029"/>
      <c r="C87" s="85" t="s">
        <v>214</v>
      </c>
      <c r="D87" s="85"/>
      <c r="E87" s="85"/>
      <c r="F87" s="85"/>
      <c r="G87" s="85"/>
      <c r="H87" s="54"/>
      <c r="I87" s="54"/>
      <c r="J87" s="54"/>
      <c r="K87" s="54"/>
      <c r="L87" s="2105"/>
      <c r="M87" s="148"/>
      <c r="N87" s="148"/>
      <c r="O87" s="148"/>
      <c r="P87" s="148"/>
      <c r="Q87" s="148"/>
      <c r="R87" s="148"/>
      <c r="S87" s="1678"/>
      <c r="T87" s="148"/>
      <c r="U87" s="2058"/>
      <c r="V87" s="148"/>
      <c r="W87" s="2106"/>
      <c r="X87" s="148"/>
      <c r="Y87" s="2043"/>
    </row>
    <row r="88" spans="2:25" x14ac:dyDescent="0.25">
      <c r="B88" s="2029"/>
      <c r="C88" s="1678"/>
      <c r="D88" s="190" t="s">
        <v>215</v>
      </c>
      <c r="E88" s="190"/>
      <c r="F88" s="190"/>
      <c r="G88" s="190"/>
      <c r="H88" s="190"/>
      <c r="I88" s="2045">
        <f>IFERROR(J88/J$118," ")</f>
        <v>9.9938816858693245E-3</v>
      </c>
      <c r="J88" s="2046">
        <f>K88+V88</f>
        <v>624022</v>
      </c>
      <c r="K88" s="1683">
        <f>SUM(L88:T88)</f>
        <v>624022</v>
      </c>
      <c r="L88" s="2051"/>
      <c r="M88" s="2078"/>
      <c r="N88" s="2078">
        <v>495526</v>
      </c>
      <c r="O88" s="2078">
        <v>128496</v>
      </c>
      <c r="P88" s="2079"/>
      <c r="Q88" s="2079"/>
      <c r="R88" s="2079"/>
      <c r="S88" s="2078"/>
      <c r="T88" s="2078"/>
      <c r="U88" s="2049"/>
      <c r="V88" s="2080">
        <f>SUM(W88:X88)</f>
        <v>0</v>
      </c>
      <c r="W88" s="2051"/>
      <c r="X88" s="2052"/>
      <c r="Y88" s="2043"/>
    </row>
    <row r="89" spans="2:25" x14ac:dyDescent="0.25">
      <c r="B89" s="2029"/>
      <c r="C89" s="1678"/>
      <c r="D89" s="51" t="s">
        <v>216</v>
      </c>
      <c r="E89" s="51"/>
      <c r="F89" s="51"/>
      <c r="G89" s="51"/>
      <c r="H89" s="51"/>
      <c r="I89" s="2054">
        <f>IFERROR(J89/J$118," ")</f>
        <v>7.1749056456281999E-4</v>
      </c>
      <c r="J89" s="2055">
        <f>K89+V89</f>
        <v>44800.4</v>
      </c>
      <c r="K89" s="1684">
        <f>SUM(L89:T89)</f>
        <v>44800.4</v>
      </c>
      <c r="L89" s="2060"/>
      <c r="M89" s="2081"/>
      <c r="N89" s="2081">
        <v>30800.400000000001</v>
      </c>
      <c r="O89" s="2081">
        <v>14000</v>
      </c>
      <c r="P89" s="2081"/>
      <c r="Q89" s="2081"/>
      <c r="R89" s="2081"/>
      <c r="S89" s="2081"/>
      <c r="T89" s="2081"/>
      <c r="U89" s="2058"/>
      <c r="V89" s="2059">
        <f>SUM(W89:X89)</f>
        <v>0</v>
      </c>
      <c r="W89" s="2060"/>
      <c r="X89" s="2061"/>
      <c r="Y89" s="2043"/>
    </row>
    <row r="90" spans="2:25" x14ac:dyDescent="0.25">
      <c r="B90" s="2029"/>
      <c r="C90" s="1678"/>
      <c r="D90" s="2084" t="s">
        <v>473</v>
      </c>
      <c r="E90" s="2349"/>
      <c r="F90" s="2350"/>
      <c r="G90" s="2351"/>
      <c r="H90" s="2084"/>
      <c r="I90" s="2054">
        <f>IFERROR(J90/J$118," ")</f>
        <v>0</v>
      </c>
      <c r="J90" s="2063">
        <f>K90+V90</f>
        <v>0</v>
      </c>
      <c r="K90" s="1684">
        <f>SUM(L90:T90)</f>
        <v>0</v>
      </c>
      <c r="L90" s="2067"/>
      <c r="M90" s="2085"/>
      <c r="N90" s="2085"/>
      <c r="O90" s="2085"/>
      <c r="P90" s="2085"/>
      <c r="Q90" s="2085"/>
      <c r="R90" s="2085"/>
      <c r="S90" s="2085"/>
      <c r="T90" s="2085"/>
      <c r="U90" s="2058"/>
      <c r="V90" s="2086">
        <f>SUM(W90:X90)</f>
        <v>0</v>
      </c>
      <c r="W90" s="2067"/>
      <c r="X90" s="2087"/>
      <c r="Y90" s="2043"/>
    </row>
    <row r="91" spans="2:25" ht="15.75" thickBot="1" x14ac:dyDescent="0.3">
      <c r="B91" s="2029"/>
      <c r="C91" s="1678"/>
      <c r="D91" s="51"/>
      <c r="E91" s="51"/>
      <c r="F91" s="51"/>
      <c r="G91" s="55" t="s">
        <v>167</v>
      </c>
      <c r="H91" s="55"/>
      <c r="I91" s="2069">
        <f>IFERROR(J91/J$118," ")</f>
        <v>1.0711372250432144E-2</v>
      </c>
      <c r="J91" s="2070">
        <f>SUM(J88:J90)</f>
        <v>668822.4</v>
      </c>
      <c r="K91" s="1682">
        <f>SUM(K88:K90)</f>
        <v>668822.4</v>
      </c>
      <c r="L91" s="2071">
        <f>SUM(L88:L90)</f>
        <v>0</v>
      </c>
      <c r="M91" s="2072">
        <f t="shared" ref="M91:T91" si="23">SUM(M88:M90)</f>
        <v>0</v>
      </c>
      <c r="N91" s="2072">
        <f t="shared" si="23"/>
        <v>526326.4</v>
      </c>
      <c r="O91" s="2072">
        <f t="shared" si="23"/>
        <v>142496</v>
      </c>
      <c r="P91" s="2072">
        <f t="shared" si="23"/>
        <v>0</v>
      </c>
      <c r="Q91" s="2072">
        <f t="shared" si="23"/>
        <v>0</v>
      </c>
      <c r="R91" s="2072">
        <f t="shared" si="23"/>
        <v>0</v>
      </c>
      <c r="S91" s="2072">
        <f t="shared" si="23"/>
        <v>0</v>
      </c>
      <c r="T91" s="2072">
        <f t="shared" si="23"/>
        <v>0</v>
      </c>
      <c r="U91" s="2073"/>
      <c r="V91" s="2074">
        <f>SUM(V88:V90)</f>
        <v>0</v>
      </c>
      <c r="W91" s="2071"/>
      <c r="X91" s="2075"/>
      <c r="Y91" s="2043"/>
    </row>
    <row r="92" spans="2:25" ht="3.75" customHeight="1" x14ac:dyDescent="0.25">
      <c r="B92" s="2029"/>
      <c r="C92" s="51"/>
      <c r="D92" s="51"/>
      <c r="E92" s="51"/>
      <c r="F92" s="51"/>
      <c r="G92" s="51"/>
      <c r="H92" s="51"/>
      <c r="I92" s="2035"/>
      <c r="J92" s="2076"/>
      <c r="K92" s="1678"/>
      <c r="L92" s="1082"/>
      <c r="M92" s="1082"/>
      <c r="N92" s="1082"/>
      <c r="O92" s="1082"/>
      <c r="P92" s="1082"/>
      <c r="Q92" s="1082"/>
      <c r="R92" s="1082"/>
      <c r="S92" s="1678"/>
      <c r="T92" s="1082"/>
      <c r="U92" s="2058"/>
      <c r="V92" s="1082"/>
      <c r="W92" s="2107"/>
      <c r="X92" s="1082"/>
      <c r="Y92" s="2043"/>
    </row>
    <row r="93" spans="2:25" ht="15.75" thickBot="1" x14ac:dyDescent="0.3">
      <c r="B93" s="2029"/>
      <c r="C93" s="85" t="s">
        <v>217</v>
      </c>
      <c r="D93" s="85"/>
      <c r="E93" s="85"/>
      <c r="F93" s="85"/>
      <c r="G93" s="85"/>
      <c r="H93" s="54"/>
      <c r="I93" s="54"/>
      <c r="J93" s="54"/>
      <c r="K93" s="54"/>
      <c r="L93" s="148"/>
      <c r="M93" s="148"/>
      <c r="N93" s="148"/>
      <c r="O93" s="148"/>
      <c r="P93" s="148"/>
      <c r="Q93" s="148"/>
      <c r="R93" s="148"/>
      <c r="S93" s="1678"/>
      <c r="T93" s="148"/>
      <c r="U93" s="2058"/>
      <c r="V93" s="148"/>
      <c r="W93" s="2106"/>
      <c r="X93" s="148"/>
      <c r="Y93" s="2043"/>
    </row>
    <row r="94" spans="2:25" x14ac:dyDescent="0.25">
      <c r="B94" s="2029"/>
      <c r="C94" s="1678"/>
      <c r="D94" s="190" t="s">
        <v>218</v>
      </c>
      <c r="E94" s="190"/>
      <c r="F94" s="190"/>
      <c r="G94" s="190"/>
      <c r="H94" s="190"/>
      <c r="I94" s="2045">
        <f t="shared" ref="I94:I105" si="24">IFERROR(J94/J$118," ")</f>
        <v>9.6091628364410145E-5</v>
      </c>
      <c r="J94" s="2046">
        <f t="shared" ref="J94:J104" si="25">K94+V94</f>
        <v>6000</v>
      </c>
      <c r="K94" s="1683">
        <f t="shared" ref="K94:K104" si="26">SUM(L94:T94)</f>
        <v>6000</v>
      </c>
      <c r="L94" s="2051">
        <v>6000</v>
      </c>
      <c r="M94" s="2078"/>
      <c r="N94" s="2078"/>
      <c r="O94" s="2078"/>
      <c r="P94" s="2079"/>
      <c r="Q94" s="2079"/>
      <c r="R94" s="2079"/>
      <c r="S94" s="2078"/>
      <c r="T94" s="2078"/>
      <c r="U94" s="2049"/>
      <c r="V94" s="2080">
        <f t="shared" ref="V94:V104" si="27">SUM(W94:X94)</f>
        <v>0</v>
      </c>
      <c r="W94" s="2051"/>
      <c r="X94" s="2052"/>
      <c r="Y94" s="2043"/>
    </row>
    <row r="95" spans="2:25" x14ac:dyDescent="0.25">
      <c r="B95" s="2029"/>
      <c r="C95" s="1678"/>
      <c r="D95" s="51" t="s">
        <v>219</v>
      </c>
      <c r="E95" s="51"/>
      <c r="F95" s="51"/>
      <c r="G95" s="51"/>
      <c r="H95" s="51"/>
      <c r="I95" s="2054">
        <f t="shared" si="24"/>
        <v>1.9474570015187121E-3</v>
      </c>
      <c r="J95" s="2055">
        <f t="shared" si="25"/>
        <v>121600</v>
      </c>
      <c r="K95" s="1684">
        <f t="shared" si="26"/>
        <v>121600</v>
      </c>
      <c r="L95" s="2060">
        <v>43258</v>
      </c>
      <c r="M95" s="2081">
        <v>78342</v>
      </c>
      <c r="N95" s="2081"/>
      <c r="O95" s="2081"/>
      <c r="P95" s="2081"/>
      <c r="Q95" s="2081"/>
      <c r="R95" s="2081"/>
      <c r="S95" s="2081"/>
      <c r="T95" s="2081"/>
      <c r="U95" s="2058"/>
      <c r="V95" s="2059">
        <f t="shared" si="27"/>
        <v>0</v>
      </c>
      <c r="W95" s="2060"/>
      <c r="X95" s="2061"/>
      <c r="Y95" s="2043"/>
    </row>
    <row r="96" spans="2:25" x14ac:dyDescent="0.25">
      <c r="B96" s="2029"/>
      <c r="C96" s="1678"/>
      <c r="D96" s="51" t="s">
        <v>123</v>
      </c>
      <c r="E96" s="51"/>
      <c r="F96" s="51"/>
      <c r="G96" s="51"/>
      <c r="H96" s="51"/>
      <c r="I96" s="2054">
        <f t="shared" si="24"/>
        <v>0</v>
      </c>
      <c r="J96" s="2055">
        <f t="shared" si="25"/>
        <v>0</v>
      </c>
      <c r="K96" s="1684">
        <f t="shared" si="26"/>
        <v>0</v>
      </c>
      <c r="L96" s="2060"/>
      <c r="M96" s="2081"/>
      <c r="N96" s="2081"/>
      <c r="O96" s="2081"/>
      <c r="P96" s="2081"/>
      <c r="Q96" s="2081"/>
      <c r="R96" s="2081"/>
      <c r="S96" s="2081"/>
      <c r="T96" s="2081"/>
      <c r="U96" s="2058"/>
      <c r="V96" s="2059">
        <f t="shared" si="27"/>
        <v>0</v>
      </c>
      <c r="W96" s="2060"/>
      <c r="X96" s="2061"/>
      <c r="Y96" s="2043"/>
    </row>
    <row r="97" spans="2:25" x14ac:dyDescent="0.25">
      <c r="B97" s="2029"/>
      <c r="C97" s="1678"/>
      <c r="D97" s="51" t="s">
        <v>220</v>
      </c>
      <c r="E97" s="51"/>
      <c r="F97" s="51"/>
      <c r="G97" s="51"/>
      <c r="H97" s="51"/>
      <c r="I97" s="2054">
        <f t="shared" si="24"/>
        <v>0</v>
      </c>
      <c r="J97" s="2055">
        <f t="shared" si="25"/>
        <v>0</v>
      </c>
      <c r="K97" s="1684">
        <f t="shared" si="26"/>
        <v>0</v>
      </c>
      <c r="L97" s="2060"/>
      <c r="M97" s="2081"/>
      <c r="N97" s="2081"/>
      <c r="O97" s="2081"/>
      <c r="P97" s="2081"/>
      <c r="Q97" s="2081"/>
      <c r="R97" s="2081"/>
      <c r="S97" s="2081"/>
      <c r="T97" s="2081"/>
      <c r="U97" s="2058"/>
      <c r="V97" s="2059">
        <f t="shared" si="27"/>
        <v>0</v>
      </c>
      <c r="W97" s="2060"/>
      <c r="X97" s="2061"/>
      <c r="Y97" s="2043"/>
    </row>
    <row r="98" spans="2:25" x14ac:dyDescent="0.25">
      <c r="B98" s="2029"/>
      <c r="C98" s="1678"/>
      <c r="D98" s="51" t="s">
        <v>221</v>
      </c>
      <c r="E98" s="51"/>
      <c r="F98" s="51"/>
      <c r="G98" s="2108" t="str">
        <f>IF(AND(J98&lt;&gt;0,'6E'!I53=0),"Complete Form 6E","")</f>
        <v>Complete Form 6E</v>
      </c>
      <c r="H98" s="51"/>
      <c r="I98" s="2054">
        <f t="shared" si="24"/>
        <v>1.4096938163579757E-2</v>
      </c>
      <c r="J98" s="2055">
        <f t="shared" si="25"/>
        <v>880218.5</v>
      </c>
      <c r="K98" s="1684">
        <f t="shared" si="26"/>
        <v>880218.5</v>
      </c>
      <c r="L98" s="2060">
        <v>5682.5</v>
      </c>
      <c r="M98" s="2081"/>
      <c r="N98" s="2081"/>
      <c r="O98" s="2081"/>
      <c r="P98" s="2081"/>
      <c r="Q98" s="2081"/>
      <c r="R98" s="2081"/>
      <c r="S98" s="2081">
        <v>567092</v>
      </c>
      <c r="T98" s="2081">
        <f>313127-5683</f>
        <v>307444</v>
      </c>
      <c r="U98" s="2058"/>
      <c r="V98" s="2059">
        <f t="shared" si="27"/>
        <v>0</v>
      </c>
      <c r="W98" s="2060"/>
      <c r="X98" s="2061"/>
      <c r="Y98" s="2043"/>
    </row>
    <row r="99" spans="2:25" x14ac:dyDescent="0.25">
      <c r="B99" s="2029"/>
      <c r="C99" s="1678"/>
      <c r="D99" s="2084" t="s">
        <v>222</v>
      </c>
      <c r="E99" s="2084"/>
      <c r="F99" s="2084"/>
      <c r="G99" s="2084"/>
      <c r="H99" s="2084"/>
      <c r="I99" s="2054">
        <f t="shared" si="24"/>
        <v>1.0331771881741378E-2</v>
      </c>
      <c r="J99" s="2055">
        <f t="shared" si="25"/>
        <v>645120</v>
      </c>
      <c r="K99" s="1684">
        <f t="shared" si="26"/>
        <v>645120</v>
      </c>
      <c r="L99" s="2060"/>
      <c r="M99" s="2081"/>
      <c r="N99" s="2081"/>
      <c r="O99" s="2081"/>
      <c r="P99" s="2081"/>
      <c r="Q99" s="2081"/>
      <c r="R99" s="2081"/>
      <c r="S99" s="2081">
        <v>443520</v>
      </c>
      <c r="T99" s="2081">
        <v>201600</v>
      </c>
      <c r="U99" s="2058"/>
      <c r="V99" s="2059">
        <f t="shared" si="27"/>
        <v>0</v>
      </c>
      <c r="W99" s="2060"/>
      <c r="X99" s="2061"/>
      <c r="Y99" s="2043"/>
    </row>
    <row r="100" spans="2:25" x14ac:dyDescent="0.25">
      <c r="B100" s="2029"/>
      <c r="C100" s="1678"/>
      <c r="D100" s="2084" t="s">
        <v>223</v>
      </c>
      <c r="E100" s="2084"/>
      <c r="F100" s="2084"/>
      <c r="G100" s="2084"/>
      <c r="H100" s="2084"/>
      <c r="I100" s="2054">
        <f t="shared" si="24"/>
        <v>0</v>
      </c>
      <c r="J100" s="2055">
        <f t="shared" si="25"/>
        <v>0</v>
      </c>
      <c r="K100" s="1684">
        <f t="shared" si="26"/>
        <v>0</v>
      </c>
      <c r="L100" s="2060"/>
      <c r="M100" s="2081"/>
      <c r="N100" s="2081"/>
      <c r="O100" s="2081"/>
      <c r="P100" s="2081"/>
      <c r="Q100" s="2081"/>
      <c r="R100" s="2081"/>
      <c r="S100" s="2081"/>
      <c r="T100" s="2081"/>
      <c r="U100" s="2058"/>
      <c r="V100" s="2059">
        <f t="shared" si="27"/>
        <v>0</v>
      </c>
      <c r="W100" s="2060"/>
      <c r="X100" s="2061"/>
      <c r="Y100" s="2043"/>
    </row>
    <row r="101" spans="2:25" x14ac:dyDescent="0.25">
      <c r="B101" s="2029"/>
      <c r="C101" s="1678"/>
      <c r="D101" s="2084" t="s">
        <v>224</v>
      </c>
      <c r="E101" s="2084"/>
      <c r="F101" s="2084"/>
      <c r="G101" s="2084"/>
      <c r="H101" s="2084"/>
      <c r="I101" s="2054">
        <f t="shared" si="24"/>
        <v>1.6015271394068356E-4</v>
      </c>
      <c r="J101" s="2055">
        <f t="shared" si="25"/>
        <v>10000</v>
      </c>
      <c r="K101" s="1684">
        <f t="shared" si="26"/>
        <v>10000</v>
      </c>
      <c r="L101" s="2060"/>
      <c r="M101" s="2081"/>
      <c r="N101" s="2081"/>
      <c r="O101" s="2081"/>
      <c r="P101" s="2081"/>
      <c r="Q101" s="2081"/>
      <c r="R101" s="2081"/>
      <c r="S101" s="2081"/>
      <c r="T101" s="2081">
        <v>10000</v>
      </c>
      <c r="U101" s="2058"/>
      <c r="V101" s="2059">
        <f t="shared" si="27"/>
        <v>0</v>
      </c>
      <c r="W101" s="2060"/>
      <c r="X101" s="2061"/>
      <c r="Y101" s="2043"/>
    </row>
    <row r="102" spans="2:25" x14ac:dyDescent="0.25">
      <c r="B102" s="2029"/>
      <c r="C102" s="1678"/>
      <c r="D102" s="51" t="s">
        <v>225</v>
      </c>
      <c r="E102" s="51"/>
      <c r="F102" s="51"/>
      <c r="G102" s="51"/>
      <c r="H102" s="51"/>
      <c r="I102" s="2054">
        <f t="shared" si="24"/>
        <v>9.8557980159096666E-4</v>
      </c>
      <c r="J102" s="2055">
        <f t="shared" si="25"/>
        <v>61540</v>
      </c>
      <c r="K102" s="1684">
        <f t="shared" si="26"/>
        <v>61540</v>
      </c>
      <c r="L102" s="2060"/>
      <c r="M102" s="2081">
        <v>30770</v>
      </c>
      <c r="N102" s="2081">
        <v>30770</v>
      </c>
      <c r="O102" s="2081"/>
      <c r="P102" s="2081"/>
      <c r="Q102" s="2081"/>
      <c r="R102" s="2081"/>
      <c r="S102" s="2081"/>
      <c r="T102" s="2081"/>
      <c r="U102" s="2058"/>
      <c r="V102" s="2059">
        <f t="shared" si="27"/>
        <v>0</v>
      </c>
      <c r="W102" s="2060"/>
      <c r="X102" s="2061"/>
      <c r="Y102" s="2043"/>
    </row>
    <row r="103" spans="2:25" x14ac:dyDescent="0.25">
      <c r="B103" s="2029"/>
      <c r="C103" s="1678"/>
      <c r="D103" s="2084" t="s">
        <v>226</v>
      </c>
      <c r="E103" s="2084"/>
      <c r="F103" s="2084"/>
      <c r="G103" s="2084"/>
      <c r="H103" s="2084"/>
      <c r="I103" s="2054">
        <f t="shared" si="24"/>
        <v>2.0499467308050527E-3</v>
      </c>
      <c r="J103" s="2055">
        <f t="shared" si="25"/>
        <v>127999.5</v>
      </c>
      <c r="K103" s="1684">
        <f t="shared" si="26"/>
        <v>127999.5</v>
      </c>
      <c r="L103" s="2060">
        <v>83660.5</v>
      </c>
      <c r="M103" s="2081">
        <v>44339</v>
      </c>
      <c r="N103" s="2081"/>
      <c r="O103" s="2081"/>
      <c r="P103" s="2081"/>
      <c r="Q103" s="2081"/>
      <c r="R103" s="2081"/>
      <c r="S103" s="2081"/>
      <c r="T103" s="2081"/>
      <c r="U103" s="2058"/>
      <c r="V103" s="2059">
        <f t="shared" si="27"/>
        <v>0</v>
      </c>
      <c r="W103" s="2060"/>
      <c r="X103" s="2061"/>
      <c r="Y103" s="2043"/>
    </row>
    <row r="104" spans="2:25" x14ac:dyDescent="0.25">
      <c r="B104" s="2029"/>
      <c r="C104" s="1678"/>
      <c r="D104" s="51" t="s">
        <v>643</v>
      </c>
      <c r="E104" s="51"/>
      <c r="F104" s="51"/>
      <c r="G104" s="51"/>
      <c r="H104" s="51"/>
      <c r="I104" s="2054">
        <f t="shared" si="24"/>
        <v>0</v>
      </c>
      <c r="J104" s="2063">
        <f t="shared" si="25"/>
        <v>0</v>
      </c>
      <c r="K104" s="1684">
        <f t="shared" si="26"/>
        <v>0</v>
      </c>
      <c r="L104" s="2067"/>
      <c r="M104" s="2085"/>
      <c r="N104" s="2085"/>
      <c r="O104" s="2085"/>
      <c r="P104" s="2085"/>
      <c r="Q104" s="2085"/>
      <c r="R104" s="2085"/>
      <c r="S104" s="2085"/>
      <c r="T104" s="2085"/>
      <c r="U104" s="2058"/>
      <c r="V104" s="2086">
        <f t="shared" si="27"/>
        <v>0</v>
      </c>
      <c r="W104" s="2067"/>
      <c r="X104" s="2087"/>
      <c r="Y104" s="2043"/>
    </row>
    <row r="105" spans="2:25" ht="15.75" thickBot="1" x14ac:dyDescent="0.3">
      <c r="B105" s="2029"/>
      <c r="C105" s="1678"/>
      <c r="D105" s="51"/>
      <c r="E105" s="51"/>
      <c r="F105" s="51"/>
      <c r="G105" s="55" t="s">
        <v>167</v>
      </c>
      <c r="H105" s="55"/>
      <c r="I105" s="2069">
        <f t="shared" si="24"/>
        <v>2.966793792154096E-2</v>
      </c>
      <c r="J105" s="2070">
        <f>SUM(J94:J104)</f>
        <v>1852478</v>
      </c>
      <c r="K105" s="1682">
        <f>SUM(K94:K104)</f>
        <v>1852478</v>
      </c>
      <c r="L105" s="2071">
        <f>SUM(L94:L104)</f>
        <v>138601</v>
      </c>
      <c r="M105" s="2072">
        <f t="shared" ref="M105:T105" si="28">SUM(M94:M104)</f>
        <v>153451</v>
      </c>
      <c r="N105" s="2072">
        <f t="shared" si="28"/>
        <v>30770</v>
      </c>
      <c r="O105" s="2072">
        <f t="shared" si="28"/>
        <v>0</v>
      </c>
      <c r="P105" s="2072">
        <f t="shared" si="28"/>
        <v>0</v>
      </c>
      <c r="Q105" s="2072">
        <f t="shared" si="28"/>
        <v>0</v>
      </c>
      <c r="R105" s="2072">
        <f t="shared" si="28"/>
        <v>0</v>
      </c>
      <c r="S105" s="2072">
        <f t="shared" si="28"/>
        <v>1010612</v>
      </c>
      <c r="T105" s="2072">
        <f t="shared" si="28"/>
        <v>519044</v>
      </c>
      <c r="U105" s="2073"/>
      <c r="V105" s="2074">
        <f>SUM(V94:V104)</f>
        <v>0</v>
      </c>
      <c r="W105" s="2071"/>
      <c r="X105" s="2075"/>
      <c r="Y105" s="2043"/>
    </row>
    <row r="106" spans="2:25" ht="9" customHeight="1" thickBot="1" x14ac:dyDescent="0.3">
      <c r="B106" s="2088"/>
      <c r="C106" s="42"/>
      <c r="D106" s="43"/>
      <c r="E106" s="43"/>
      <c r="F106" s="43"/>
      <c r="G106" s="43"/>
      <c r="H106" s="43"/>
      <c r="I106" s="2089"/>
      <c r="J106" s="2090"/>
      <c r="K106" s="1688"/>
      <c r="L106" s="2109"/>
      <c r="M106" s="2109"/>
      <c r="N106" s="2109"/>
      <c r="O106" s="2109"/>
      <c r="P106" s="2109"/>
      <c r="Q106" s="2109"/>
      <c r="R106" s="2109"/>
      <c r="S106" s="1688"/>
      <c r="T106" s="2109"/>
      <c r="U106" s="2110"/>
      <c r="V106" s="2109"/>
      <c r="W106" s="2109"/>
      <c r="X106" s="2109"/>
      <c r="Y106" s="2094"/>
    </row>
    <row r="107" spans="2:25" ht="3.75" customHeight="1" x14ac:dyDescent="0.25">
      <c r="B107" s="2029"/>
      <c r="C107" s="54"/>
      <c r="D107" s="55"/>
      <c r="E107" s="55"/>
      <c r="F107" s="55"/>
      <c r="G107" s="55"/>
      <c r="H107" s="55"/>
      <c r="I107" s="2035"/>
      <c r="J107" s="2035"/>
      <c r="K107" s="1678"/>
      <c r="L107" s="2077"/>
      <c r="M107" s="2077"/>
      <c r="N107" s="2077"/>
      <c r="O107" s="2077"/>
      <c r="P107" s="2077"/>
      <c r="Q107" s="2077"/>
      <c r="R107" s="2077"/>
      <c r="S107" s="1678"/>
      <c r="T107" s="2077"/>
      <c r="U107" s="2058"/>
      <c r="V107" s="2077"/>
      <c r="W107" s="2077"/>
      <c r="X107" s="2077"/>
      <c r="Y107" s="2043"/>
    </row>
    <row r="108" spans="2:25" ht="15.75" thickBot="1" x14ac:dyDescent="0.3">
      <c r="B108" s="2029"/>
      <c r="C108" s="85" t="s">
        <v>228</v>
      </c>
      <c r="D108" s="85"/>
      <c r="E108" s="85"/>
      <c r="F108" s="85"/>
      <c r="G108" s="85"/>
      <c r="H108" s="54"/>
      <c r="I108" s="54"/>
      <c r="J108" s="54"/>
      <c r="K108" s="54"/>
      <c r="L108" s="2077"/>
      <c r="M108" s="2077"/>
      <c r="N108" s="2077"/>
      <c r="O108" s="2077"/>
      <c r="P108" s="2077"/>
      <c r="Q108" s="2077"/>
      <c r="R108" s="2077"/>
      <c r="S108" s="78"/>
      <c r="T108" s="2077"/>
      <c r="U108" s="2058"/>
      <c r="V108" s="2077"/>
      <c r="W108" s="2077"/>
      <c r="X108" s="2077"/>
      <c r="Y108" s="2043"/>
    </row>
    <row r="109" spans="2:25" x14ac:dyDescent="0.25">
      <c r="B109" s="2029"/>
      <c r="C109" s="78"/>
      <c r="D109" s="190" t="s">
        <v>229</v>
      </c>
      <c r="E109" s="190"/>
      <c r="F109" s="190"/>
      <c r="G109" s="190"/>
      <c r="H109" s="190"/>
      <c r="I109" s="2045">
        <f t="shared" ref="I109:I116" si="29">IFERROR(J109/J$118," ")</f>
        <v>2.8026644863262656E-3</v>
      </c>
      <c r="J109" s="2111">
        <f t="shared" ref="J109:J115" si="30">K109+V109</f>
        <v>174999.5</v>
      </c>
      <c r="K109" s="1683">
        <f t="shared" ref="K109:K115" si="31">SUM(L109:T109)</f>
        <v>174999.5</v>
      </c>
      <c r="L109" s="2051"/>
      <c r="M109" s="2078">
        <v>19318</v>
      </c>
      <c r="N109" s="2078">
        <v>12999.5</v>
      </c>
      <c r="O109" s="2078">
        <v>69996</v>
      </c>
      <c r="P109" s="2079"/>
      <c r="Q109" s="2079"/>
      <c r="R109" s="2079"/>
      <c r="S109" s="2078">
        <f>85000+77000-19318-69996</f>
        <v>72686</v>
      </c>
      <c r="T109" s="2078"/>
      <c r="U109" s="2049"/>
      <c r="V109" s="2080">
        <f t="shared" ref="V109:V115" si="32">SUM(W109:X109)</f>
        <v>0</v>
      </c>
      <c r="W109" s="2051"/>
      <c r="X109" s="2052"/>
      <c r="Y109" s="2043"/>
    </row>
    <row r="110" spans="2:25" x14ac:dyDescent="0.25">
      <c r="B110" s="2029"/>
      <c r="C110" s="78"/>
      <c r="D110" s="51" t="s">
        <v>230</v>
      </c>
      <c r="E110" s="51"/>
      <c r="F110" s="51"/>
      <c r="G110" s="51"/>
      <c r="H110" s="51"/>
      <c r="I110" s="2054">
        <f t="shared" si="29"/>
        <v>8.0076517123055723E-4</v>
      </c>
      <c r="J110" s="2112">
        <f t="shared" si="30"/>
        <v>50000.1</v>
      </c>
      <c r="K110" s="1689">
        <f t="shared" si="31"/>
        <v>50000.1</v>
      </c>
      <c r="L110" s="2060">
        <v>50000.1</v>
      </c>
      <c r="M110" s="2081"/>
      <c r="N110" s="2081"/>
      <c r="O110" s="2081"/>
      <c r="P110" s="2081"/>
      <c r="Q110" s="2081"/>
      <c r="R110" s="2081"/>
      <c r="S110" s="2081"/>
      <c r="T110" s="2081"/>
      <c r="U110" s="2058"/>
      <c r="V110" s="2113">
        <f t="shared" si="32"/>
        <v>0</v>
      </c>
      <c r="W110" s="2060"/>
      <c r="X110" s="2061"/>
      <c r="Y110" s="2043"/>
    </row>
    <row r="111" spans="2:25" x14ac:dyDescent="0.25">
      <c r="B111" s="2029"/>
      <c r="C111" s="1678"/>
      <c r="D111" s="51" t="s">
        <v>231</v>
      </c>
      <c r="E111" s="51"/>
      <c r="F111" s="51"/>
      <c r="G111" s="51"/>
      <c r="H111" s="51"/>
      <c r="I111" s="2054">
        <f t="shared" si="29"/>
        <v>0</v>
      </c>
      <c r="J111" s="2112">
        <f t="shared" si="30"/>
        <v>0</v>
      </c>
      <c r="K111" s="1689">
        <f t="shared" si="31"/>
        <v>0</v>
      </c>
      <c r="L111" s="2060"/>
      <c r="M111" s="2081"/>
      <c r="N111" s="2081"/>
      <c r="O111" s="2081"/>
      <c r="P111" s="2081"/>
      <c r="Q111" s="2081"/>
      <c r="R111" s="2081"/>
      <c r="S111" s="2081"/>
      <c r="T111" s="2081"/>
      <c r="U111" s="2058"/>
      <c r="V111" s="2113">
        <f t="shared" si="32"/>
        <v>0</v>
      </c>
      <c r="W111" s="2060"/>
      <c r="X111" s="2061"/>
      <c r="Y111" s="2043"/>
    </row>
    <row r="112" spans="2:25" x14ac:dyDescent="0.25">
      <c r="B112" s="2029"/>
      <c r="C112" s="1678"/>
      <c r="D112" s="51" t="s">
        <v>232</v>
      </c>
      <c r="E112" s="51"/>
      <c r="F112" s="51"/>
      <c r="G112" s="51"/>
      <c r="H112" s="51"/>
      <c r="I112" s="2054">
        <f>IFERROR(J112/J$118," ")</f>
        <v>0</v>
      </c>
      <c r="J112" s="2112">
        <f t="shared" si="30"/>
        <v>0</v>
      </c>
      <c r="K112" s="1689">
        <f t="shared" si="31"/>
        <v>0</v>
      </c>
      <c r="L112" s="2060"/>
      <c r="M112" s="2081"/>
      <c r="N112" s="2081"/>
      <c r="O112" s="2081"/>
      <c r="P112" s="2081"/>
      <c r="Q112" s="2081"/>
      <c r="R112" s="2081"/>
      <c r="S112" s="2081"/>
      <c r="T112" s="2081"/>
      <c r="U112" s="2058"/>
      <c r="V112" s="2113">
        <f t="shared" si="32"/>
        <v>0</v>
      </c>
      <c r="W112" s="2060"/>
      <c r="X112" s="2061"/>
      <c r="Y112" s="2043"/>
    </row>
    <row r="113" spans="2:25" x14ac:dyDescent="0.25">
      <c r="B113" s="2029"/>
      <c r="C113" s="1678"/>
      <c r="D113" s="51" t="s">
        <v>233</v>
      </c>
      <c r="E113" s="51"/>
      <c r="F113" s="51"/>
      <c r="G113" s="51"/>
      <c r="H113" s="51"/>
      <c r="I113" s="2054">
        <f t="shared" si="29"/>
        <v>0</v>
      </c>
      <c r="J113" s="2112">
        <f t="shared" si="30"/>
        <v>0</v>
      </c>
      <c r="K113" s="1689">
        <f t="shared" si="31"/>
        <v>0</v>
      </c>
      <c r="L113" s="2060"/>
      <c r="M113" s="2081"/>
      <c r="N113" s="2081"/>
      <c r="O113" s="2081"/>
      <c r="P113" s="2081"/>
      <c r="Q113" s="2081"/>
      <c r="R113" s="2081"/>
      <c r="S113" s="2081"/>
      <c r="T113" s="2081"/>
      <c r="U113" s="2058"/>
      <c r="V113" s="2113">
        <f t="shared" si="32"/>
        <v>0</v>
      </c>
      <c r="W113" s="2060"/>
      <c r="X113" s="2061"/>
      <c r="Y113" s="2043"/>
    </row>
    <row r="114" spans="2:25" x14ac:dyDescent="0.25">
      <c r="B114" s="2029"/>
      <c r="C114" s="1678"/>
      <c r="D114" s="51" t="s">
        <v>234</v>
      </c>
      <c r="E114" s="51"/>
      <c r="F114" s="51"/>
      <c r="G114" s="51"/>
      <c r="H114" s="51"/>
      <c r="I114" s="2054">
        <f t="shared" si="29"/>
        <v>4.0038178485170891E-4</v>
      </c>
      <c r="J114" s="2112">
        <f t="shared" si="30"/>
        <v>25000</v>
      </c>
      <c r="K114" s="1689">
        <f t="shared" si="31"/>
        <v>25000</v>
      </c>
      <c r="L114" s="2060"/>
      <c r="M114" s="2081">
        <v>25000</v>
      </c>
      <c r="N114" s="2081"/>
      <c r="O114" s="2081"/>
      <c r="P114" s="2081"/>
      <c r="Q114" s="2081"/>
      <c r="R114" s="2081"/>
      <c r="S114" s="2081"/>
      <c r="T114" s="2081"/>
      <c r="U114" s="2058"/>
      <c r="V114" s="2113">
        <f t="shared" si="32"/>
        <v>0</v>
      </c>
      <c r="W114" s="2060"/>
      <c r="X114" s="2061"/>
      <c r="Y114" s="2043"/>
    </row>
    <row r="115" spans="2:25" x14ac:dyDescent="0.25">
      <c r="B115" s="2029"/>
      <c r="C115" s="1678"/>
      <c r="D115" s="51" t="s">
        <v>235</v>
      </c>
      <c r="E115" s="51"/>
      <c r="F115" s="51"/>
      <c r="G115" s="51"/>
      <c r="H115" s="51"/>
      <c r="I115" s="2114">
        <f t="shared" si="29"/>
        <v>0</v>
      </c>
      <c r="J115" s="2115">
        <f t="shared" si="30"/>
        <v>0</v>
      </c>
      <c r="K115" s="1689">
        <f t="shared" si="31"/>
        <v>0</v>
      </c>
      <c r="L115" s="2067"/>
      <c r="M115" s="2085"/>
      <c r="N115" s="2085"/>
      <c r="O115" s="2085"/>
      <c r="P115" s="2085"/>
      <c r="Q115" s="2085"/>
      <c r="R115" s="2085"/>
      <c r="S115" s="2085"/>
      <c r="T115" s="2085"/>
      <c r="U115" s="2058"/>
      <c r="V115" s="2116">
        <f t="shared" si="32"/>
        <v>0</v>
      </c>
      <c r="W115" s="2067"/>
      <c r="X115" s="2087"/>
      <c r="Y115" s="2043"/>
    </row>
    <row r="116" spans="2:25" ht="15.75" thickBot="1" x14ac:dyDescent="0.3">
      <c r="B116" s="2029"/>
      <c r="C116" s="1678"/>
      <c r="D116" s="51"/>
      <c r="E116" s="51"/>
      <c r="F116" s="51"/>
      <c r="G116" s="55" t="s">
        <v>167</v>
      </c>
      <c r="H116" s="55"/>
      <c r="I116" s="2069">
        <f t="shared" si="29"/>
        <v>4.003811442408532E-3</v>
      </c>
      <c r="J116" s="2070">
        <f>SUM(J109:J115)</f>
        <v>249999.6</v>
      </c>
      <c r="K116" s="1682">
        <f>SUM(K109:K115)</f>
        <v>249999.6</v>
      </c>
      <c r="L116" s="2071">
        <f>SUM(L109:L115)</f>
        <v>50000.1</v>
      </c>
      <c r="M116" s="2072">
        <f t="shared" ref="M116:T116" si="33">SUM(M109:M115)</f>
        <v>44318</v>
      </c>
      <c r="N116" s="2072">
        <f t="shared" si="33"/>
        <v>12999.5</v>
      </c>
      <c r="O116" s="2072">
        <f t="shared" si="33"/>
        <v>69996</v>
      </c>
      <c r="P116" s="2072">
        <f t="shared" si="33"/>
        <v>0</v>
      </c>
      <c r="Q116" s="2072">
        <f t="shared" si="33"/>
        <v>0</v>
      </c>
      <c r="R116" s="2072">
        <f t="shared" si="33"/>
        <v>0</v>
      </c>
      <c r="S116" s="2072">
        <f t="shared" si="33"/>
        <v>72686</v>
      </c>
      <c r="T116" s="2072">
        <f t="shared" si="33"/>
        <v>0</v>
      </c>
      <c r="U116" s="2073"/>
      <c r="V116" s="2074">
        <f>SUM(V109:V115)</f>
        <v>0</v>
      </c>
      <c r="W116" s="2071"/>
      <c r="X116" s="2075"/>
      <c r="Y116" s="2043"/>
    </row>
    <row r="117" spans="2:25" ht="7.5" customHeight="1" thickBot="1" x14ac:dyDescent="0.3">
      <c r="B117" s="2029"/>
      <c r="C117" s="51"/>
      <c r="D117" s="51"/>
      <c r="E117" s="51"/>
      <c r="F117" s="51"/>
      <c r="G117" s="51"/>
      <c r="H117" s="51"/>
      <c r="I117" s="1678"/>
      <c r="J117" s="2117"/>
      <c r="K117" s="1678"/>
      <c r="L117" s="2117"/>
      <c r="M117" s="2117"/>
      <c r="N117" s="2117"/>
      <c r="O117" s="2117"/>
      <c r="P117" s="2117"/>
      <c r="Q117" s="2117"/>
      <c r="R117" s="2117"/>
      <c r="S117" s="1678"/>
      <c r="T117" s="2117"/>
      <c r="U117" s="2058"/>
      <c r="V117" s="2117"/>
      <c r="W117" s="2117"/>
      <c r="X117" s="2117"/>
      <c r="Y117" s="2043"/>
    </row>
    <row r="118" spans="2:25" ht="15.75" thickBot="1" x14ac:dyDescent="0.3">
      <c r="B118" s="2029"/>
      <c r="C118" s="191" t="s">
        <v>236</v>
      </c>
      <c r="D118" s="192"/>
      <c r="E118" s="192"/>
      <c r="F118" s="192"/>
      <c r="G118" s="192"/>
      <c r="H118" s="192"/>
      <c r="I118" s="44"/>
      <c r="J118" s="2118">
        <f>J26+J45+J61+J66+J74+J85+J91+J105+J116</f>
        <v>62440403</v>
      </c>
      <c r="K118" s="2144">
        <f>K26+K45+K61+K66+K74+K85+K91+K105+K116</f>
        <v>58922303</v>
      </c>
      <c r="L118" s="2119"/>
      <c r="M118" s="2119"/>
      <c r="N118" s="2119"/>
      <c r="O118" s="2119"/>
      <c r="P118" s="2120"/>
      <c r="Q118" s="2120"/>
      <c r="R118" s="2120"/>
      <c r="S118" s="2119"/>
      <c r="T118" s="2119"/>
      <c r="U118" s="2049"/>
      <c r="V118" s="2121">
        <f>V26+V45+V61+V66+V74+V85+V91+V105+V116</f>
        <v>3518100</v>
      </c>
      <c r="W118" s="2119"/>
      <c r="X118" s="2122"/>
      <c r="Y118" s="2043"/>
    </row>
    <row r="119" spans="2:25" ht="15.75" thickBot="1" x14ac:dyDescent="0.3">
      <c r="B119" s="2029"/>
      <c r="C119" s="2123" t="s">
        <v>237</v>
      </c>
      <c r="D119" s="2124"/>
      <c r="E119" s="2124"/>
      <c r="F119" s="2124"/>
      <c r="G119" s="2124"/>
      <c r="H119" s="2124"/>
      <c r="I119" s="2125"/>
      <c r="J119" s="2126">
        <f>K119+V119</f>
        <v>62440403</v>
      </c>
      <c r="K119" s="2145">
        <f>SUM(L119:T119)</f>
        <v>58922303</v>
      </c>
      <c r="L119" s="2127">
        <f>L26+L45+L61+L66+L74+L85+L91+L105+L116</f>
        <v>6032000.0999999996</v>
      </c>
      <c r="M119" s="2128">
        <f t="shared" ref="M119:T119" si="34">M26+M45+M61+M66+M74+M85+M91+M105+M116</f>
        <v>12122948</v>
      </c>
      <c r="N119" s="2128">
        <f t="shared" si="34"/>
        <v>9699999.9000000004</v>
      </c>
      <c r="O119" s="2128">
        <f t="shared" si="34"/>
        <v>10725303</v>
      </c>
      <c r="P119" s="2128">
        <f t="shared" si="34"/>
        <v>1250000</v>
      </c>
      <c r="Q119" s="2128">
        <f t="shared" si="34"/>
        <v>200</v>
      </c>
      <c r="R119" s="2128">
        <f t="shared" si="34"/>
        <v>95595</v>
      </c>
      <c r="S119" s="2128">
        <f t="shared" si="34"/>
        <v>10013775</v>
      </c>
      <c r="T119" s="2128">
        <f t="shared" si="34"/>
        <v>8982482</v>
      </c>
      <c r="U119" s="2129"/>
      <c r="V119" s="2074">
        <f>SUM(W119:X119)</f>
        <v>3518100</v>
      </c>
      <c r="W119" s="2127">
        <f>W26+W45+W61+W66+W74+W85+W91+W105+W116</f>
        <v>2500000</v>
      </c>
      <c r="X119" s="2075">
        <f>X26+X45+X61+X66+X74+X85+X91+X105+X116</f>
        <v>1018100</v>
      </c>
      <c r="Y119" s="2043"/>
    </row>
    <row r="120" spans="2:25" x14ac:dyDescent="0.25">
      <c r="B120" s="2029"/>
      <c r="C120" s="2130"/>
      <c r="D120" s="2130"/>
      <c r="E120" s="2130"/>
      <c r="F120" s="2130"/>
      <c r="G120" s="2130"/>
      <c r="H120" s="2130"/>
      <c r="I120" s="2131"/>
      <c r="J120" s="2031"/>
      <c r="K120" s="1690" t="str">
        <f>IF(J119&lt;&gt;('7A'!F50+'7A'!F58),"WARNING: Sources on Form 6A do not match Sources on Form 7A","")</f>
        <v/>
      </c>
      <c r="L120" s="2077"/>
      <c r="M120" s="2077"/>
      <c r="N120" s="2077"/>
      <c r="O120" s="2077"/>
      <c r="P120" s="2077"/>
      <c r="Q120" s="2077"/>
      <c r="R120" s="2077"/>
      <c r="S120" s="2077"/>
      <c r="T120" s="2077"/>
      <c r="U120" s="2132"/>
      <c r="V120" s="2077"/>
      <c r="W120" s="2077"/>
      <c r="X120" s="2077"/>
      <c r="Y120" s="2043"/>
    </row>
    <row r="121" spans="2:25" ht="9" customHeight="1" thickBot="1" x14ac:dyDescent="0.3">
      <c r="B121" s="2088"/>
      <c r="C121" s="1691"/>
      <c r="D121" s="1691"/>
      <c r="E121" s="1691"/>
      <c r="F121" s="1691"/>
      <c r="G121" s="1691"/>
      <c r="H121" s="1691"/>
      <c r="I121" s="1691"/>
      <c r="J121" s="2133" t="s">
        <v>35</v>
      </c>
      <c r="K121" s="1691"/>
      <c r="L121" s="1691"/>
      <c r="M121" s="1691"/>
      <c r="N121" s="1691"/>
      <c r="O121" s="1691"/>
      <c r="P121" s="1691"/>
      <c r="Q121" s="1691"/>
      <c r="R121" s="1691"/>
      <c r="S121" s="1691"/>
      <c r="T121" s="1691"/>
      <c r="U121" s="1691"/>
      <c r="V121" s="1691"/>
      <c r="W121" s="2134"/>
      <c r="X121" s="1691"/>
      <c r="Y121" s="2135"/>
    </row>
    <row r="122" spans="2:25" x14ac:dyDescent="0.25">
      <c r="K122" s="2147"/>
      <c r="L122" s="2104"/>
      <c r="M122" s="2104"/>
      <c r="N122" s="2104"/>
      <c r="O122" s="2104"/>
      <c r="P122" s="2104"/>
      <c r="Q122" s="2104"/>
      <c r="R122" s="2104"/>
      <c r="S122" s="2104"/>
      <c r="T122" s="2104"/>
    </row>
    <row r="123" spans="2:25" x14ac:dyDescent="0.25">
      <c r="K123" s="2146"/>
      <c r="L123" s="2104"/>
      <c r="M123" s="2104"/>
      <c r="N123" s="2104"/>
      <c r="O123" s="2104"/>
      <c r="P123" s="2104"/>
      <c r="Q123" s="2104"/>
      <c r="R123" s="2104"/>
      <c r="S123" s="2104"/>
      <c r="T123" s="2104"/>
      <c r="U123" s="1954"/>
    </row>
    <row r="124" spans="2:25" x14ac:dyDescent="0.25">
      <c r="G124" s="2136"/>
      <c r="K124" s="2104"/>
      <c r="L124" s="2104"/>
      <c r="M124" s="2104"/>
      <c r="N124" s="2104"/>
      <c r="O124" s="2104"/>
      <c r="P124" s="2104"/>
      <c r="Q124" s="2104"/>
      <c r="R124" s="2104"/>
      <c r="S124" s="2104"/>
      <c r="T124" s="2104"/>
    </row>
    <row r="125" spans="2:25" x14ac:dyDescent="0.25">
      <c r="K125" s="2104"/>
      <c r="L125" s="2104"/>
      <c r="M125" s="2104"/>
      <c r="N125" s="2104"/>
      <c r="O125" s="2104"/>
      <c r="P125" s="2104"/>
      <c r="Q125" s="2104"/>
      <c r="R125" s="2104"/>
      <c r="S125" s="2104"/>
      <c r="T125" s="2104"/>
    </row>
    <row r="126" spans="2:25" x14ac:dyDescent="0.25">
      <c r="K126" s="2104"/>
      <c r="L126" s="2104"/>
      <c r="M126" s="2104"/>
      <c r="N126" s="2104"/>
      <c r="O126" s="2104"/>
      <c r="P126" s="2104"/>
      <c r="Q126" s="2104"/>
      <c r="R126" s="2104"/>
      <c r="S126" s="2104"/>
      <c r="T126" s="2104"/>
    </row>
    <row r="127" spans="2:25" x14ac:dyDescent="0.25">
      <c r="K127" s="1954"/>
      <c r="L127" s="1954"/>
      <c r="M127" s="1954"/>
      <c r="N127" s="1954"/>
      <c r="O127" s="1954"/>
      <c r="P127" s="1954"/>
      <c r="Q127" s="1954"/>
      <c r="R127" s="1954"/>
      <c r="S127" s="1954"/>
      <c r="T127" s="1954"/>
    </row>
    <row r="130" spans="12:12" x14ac:dyDescent="0.25">
      <c r="L130" s="2137"/>
    </row>
    <row r="131" spans="12:12" x14ac:dyDescent="0.25">
      <c r="L131" s="2137"/>
    </row>
  </sheetData>
  <sheetProtection algorithmName="SHA-512" hashValue="p4ogtt1oJ3lM6snT1hgrp/MMMZie8YJcplzVJ79URMkDJ2b5XtOlNjtemuaXppWDuEJyVqgegPTans9Ti2rDIg==" saltValue="aQXQbcjooA4W9+RJ4N6VQQ==" spinCount="100000" sheet="1" objects="1" scenarios="1" formatCells="0" formatColumns="0" formatRows="0"/>
  <mergeCells count="23">
    <mergeCell ref="R17:R18"/>
    <mergeCell ref="Q17:Q18"/>
    <mergeCell ref="E25:G25"/>
    <mergeCell ref="E44:G44"/>
    <mergeCell ref="E60:G60"/>
    <mergeCell ref="I15:I18"/>
    <mergeCell ref="P17:P18"/>
    <mergeCell ref="E84:G84"/>
    <mergeCell ref="E90:G90"/>
    <mergeCell ref="C11:X11"/>
    <mergeCell ref="V15:X15"/>
    <mergeCell ref="K15:T15"/>
    <mergeCell ref="J15:J18"/>
    <mergeCell ref="K16:K18"/>
    <mergeCell ref="V16:V18"/>
    <mergeCell ref="T17:T18"/>
    <mergeCell ref="W17:W18"/>
    <mergeCell ref="X17:X18"/>
    <mergeCell ref="L17:L18"/>
    <mergeCell ref="M17:M18"/>
    <mergeCell ref="N17:N18"/>
    <mergeCell ref="O17:O18"/>
    <mergeCell ref="S17:S18"/>
  </mergeCells>
  <dataValidations disablePrompts="1"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4"/>
    <dataValidation allowBlank="1" showInputMessage="1" showErrorMessage="1" promptTitle="Rehab Contingency %" prompt="Defined as Rehab Contingency divided by the sum of Rehab, Contractor Profit, Contractor Overhead, and Bond Premium amounts_x000a__x000a_% =J27 / (J23+J24+J25+J34)" sqref="G35"/>
  </dataValidations>
  <pageMargins left="0.7" right="0.7" top="0.75" bottom="0.75" header="0.3" footer="0.3"/>
  <pageSetup paperSize="17" scale="85" fitToHeight="0" orientation="landscape" r:id="rId1"/>
  <headerFooter>
    <oddFooter>&amp;LForm 6A
Development Budgets&amp;CCFA Forms&amp;REdition: 2015
Version: 1.0</oddFooter>
  </headerFooter>
  <rowBreaks count="2" manualBreakCount="2">
    <brk id="46" min="1" max="24" man="1"/>
    <brk id="86" min="1" max="24" man="1"/>
  </rowBreaks>
  <drawing r:id="rId2"/>
  <extLst>
    <ext xmlns:x14="http://schemas.microsoft.com/office/spreadsheetml/2009/9/main" uri="{78C0D931-6437-407d-A8EE-F0AAD7539E65}">
      <x14:conditionalFormattings>
        <x14:conditionalFormatting xmlns:xm="http://schemas.microsoft.com/office/excel/2006/main">
          <x14:cfRule type="expression" priority="1" id="{E0D291F1-C0C2-4059-970D-21F4BCB98A24}">
            <xm:f>$K$119&lt;&gt;('7A'!$F$50+'7A'!$F$58)</xm:f>
            <x14:dxf>
              <font>
                <color rgb="FF990000"/>
              </font>
              <fill>
                <patternFill>
                  <bgColor theme="5" tint="0.79998168889431442"/>
                </patternFill>
              </fill>
            </x14:dxf>
          </x14:cfRule>
          <xm:sqref>K119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215"/>
  <sheetViews>
    <sheetView showGridLines="0" zoomScaleNormal="100" zoomScaleSheetLayoutView="70" workbookViewId="0">
      <pane xSplit="15" ySplit="11" topLeftCell="P75" activePane="bottomRight" state="frozen"/>
      <selection activeCell="E43" sqref="E43:E44"/>
      <selection pane="topRight" activeCell="E43" sqref="E43:E44"/>
      <selection pane="bottomLeft" activeCell="E43" sqref="E43:E44"/>
      <selection pane="bottomRight" activeCell="A49" sqref="A49:XFD49"/>
    </sheetView>
  </sheetViews>
  <sheetFormatPr defaultColWidth="2.85546875" defaultRowHeight="12.75" customHeight="1" x14ac:dyDescent="0.2"/>
  <cols>
    <col min="1" max="13" width="2.85546875" style="1742"/>
    <col min="14" max="14" width="16.5703125" style="1742" customWidth="1"/>
    <col min="15" max="15" width="15.5703125" style="1742" customWidth="1"/>
    <col min="16" max="16" width="13.140625" style="1742" customWidth="1"/>
    <col min="17" max="17" width="11.42578125" style="1743" customWidth="1"/>
    <col min="18" max="18" width="14" style="1743" customWidth="1"/>
    <col min="19" max="19" width="13.5703125" style="1743" customWidth="1"/>
    <col min="20" max="20" width="11.42578125" style="1743" customWidth="1"/>
    <col min="21" max="21" width="13.7109375" style="1743" customWidth="1"/>
    <col min="22" max="22" width="2.85546875" style="1742" customWidth="1"/>
    <col min="23" max="24" width="12" style="1742" customWidth="1"/>
    <col min="25" max="25" width="2.85546875" style="1819"/>
    <col min="26" max="26" width="12.42578125" style="1742" customWidth="1"/>
    <col min="27" max="16384" width="2.85546875" style="1742"/>
  </cols>
  <sheetData>
    <row r="1" spans="2:24" ht="15" customHeight="1" x14ac:dyDescent="0.2"/>
    <row r="2" spans="2:24" ht="15" customHeight="1" x14ac:dyDescent="0.2"/>
    <row r="3" spans="2:24" ht="15" customHeight="1" x14ac:dyDescent="0.2"/>
    <row r="4" spans="2:24" ht="15" customHeight="1" x14ac:dyDescent="0.2"/>
    <row r="5" spans="2:24" ht="15" customHeight="1" thickBot="1" x14ac:dyDescent="0.25"/>
    <row r="6" spans="2:24" ht="7.5" customHeight="1" x14ac:dyDescent="0.2">
      <c r="B6" s="1744"/>
      <c r="C6" s="1745"/>
      <c r="D6" s="1745"/>
      <c r="E6" s="1745"/>
      <c r="F6" s="1745"/>
      <c r="G6" s="1745"/>
      <c r="H6" s="1745"/>
      <c r="I6" s="1745"/>
      <c r="J6" s="1745"/>
      <c r="K6" s="1745"/>
      <c r="L6" s="1745"/>
      <c r="M6" s="1745"/>
      <c r="N6" s="1745"/>
      <c r="O6" s="1745"/>
      <c r="P6" s="1745"/>
      <c r="Q6" s="1746"/>
      <c r="R6" s="1746"/>
      <c r="S6" s="1746"/>
      <c r="T6" s="1746"/>
      <c r="U6" s="1746"/>
      <c r="V6" s="1747"/>
    </row>
    <row r="7" spans="2:24" ht="15" customHeight="1" x14ac:dyDescent="0.25">
      <c r="B7" s="1748"/>
      <c r="C7" s="1749" t="s">
        <v>63</v>
      </c>
      <c r="D7" s="1749"/>
      <c r="E7" s="1749"/>
      <c r="F7" s="1749"/>
      <c r="G7" s="1749"/>
      <c r="H7" s="2374" t="str">
        <f>'1A'!G5</f>
        <v xml:space="preserve">Building 9 </v>
      </c>
      <c r="I7" s="2375"/>
      <c r="J7" s="2375"/>
      <c r="K7" s="2375"/>
      <c r="L7" s="2375"/>
      <c r="M7" s="2375"/>
      <c r="N7" s="2375"/>
      <c r="O7" s="2375"/>
      <c r="P7" s="2375"/>
      <c r="Q7" s="2375"/>
      <c r="R7" s="2376"/>
      <c r="S7" s="1750"/>
      <c r="T7" s="1749"/>
      <c r="U7" s="1749"/>
      <c r="V7" s="1751"/>
    </row>
    <row r="8" spans="2:24" ht="7.5" customHeight="1" thickBot="1" x14ac:dyDescent="0.25">
      <c r="B8" s="1748"/>
      <c r="C8" s="1752"/>
      <c r="D8" s="1753"/>
      <c r="E8" s="1753"/>
      <c r="F8" s="1754"/>
      <c r="G8" s="1754"/>
      <c r="H8" s="1754"/>
      <c r="I8" s="1754"/>
      <c r="J8" s="1754"/>
      <c r="K8" s="1754"/>
      <c r="L8" s="1754"/>
      <c r="M8" s="1754"/>
      <c r="N8" s="1754"/>
      <c r="O8" s="1755"/>
      <c r="P8" s="1755"/>
      <c r="Q8" s="1756"/>
      <c r="R8" s="1756"/>
      <c r="S8" s="1756"/>
      <c r="T8" s="1756"/>
      <c r="U8" s="1757"/>
      <c r="V8" s="1751"/>
    </row>
    <row r="9" spans="2:24" ht="15" customHeight="1" x14ac:dyDescent="0.2">
      <c r="B9" s="1748"/>
      <c r="C9" s="1752"/>
      <c r="D9" s="1753"/>
      <c r="E9" s="1753"/>
      <c r="F9" s="1754"/>
      <c r="G9" s="1754"/>
      <c r="H9" s="1754"/>
      <c r="I9" s="1754"/>
      <c r="J9" s="1754"/>
      <c r="K9" s="1754"/>
      <c r="L9" s="1754"/>
      <c r="M9" s="1754"/>
      <c r="N9" s="1754"/>
      <c r="O9" s="1755"/>
      <c r="P9" s="2377" t="s">
        <v>1540</v>
      </c>
      <c r="Q9" s="2378"/>
      <c r="R9" s="2379"/>
      <c r="S9" s="2377" t="s">
        <v>1541</v>
      </c>
      <c r="T9" s="2378"/>
      <c r="U9" s="2379"/>
      <c r="V9" s="1751"/>
    </row>
    <row r="10" spans="2:24" ht="15" customHeight="1" thickBot="1" x14ac:dyDescent="0.25">
      <c r="B10" s="1748"/>
      <c r="C10" s="1752"/>
      <c r="D10" s="1753"/>
      <c r="E10" s="1753"/>
      <c r="F10" s="1754"/>
      <c r="G10" s="1754"/>
      <c r="H10" s="1754"/>
      <c r="I10" s="1754"/>
      <c r="J10" s="1754"/>
      <c r="K10" s="1754"/>
      <c r="L10" s="1754"/>
      <c r="M10" s="1754"/>
      <c r="N10" s="1754"/>
      <c r="O10" s="1755"/>
      <c r="P10" s="2380" t="str">
        <f>'1A'!G7</f>
        <v>Building 9 South (4%)</v>
      </c>
      <c r="Q10" s="2381"/>
      <c r="R10" s="2382"/>
      <c r="S10" s="2380" t="str">
        <f>'1A'!G9</f>
        <v>Building 9 North (9%)</v>
      </c>
      <c r="T10" s="2381"/>
      <c r="U10" s="2382"/>
      <c r="V10" s="1751"/>
    </row>
    <row r="11" spans="2:24" ht="15" customHeight="1" thickBot="1" x14ac:dyDescent="0.25">
      <c r="B11" s="1758"/>
      <c r="C11" s="1750"/>
      <c r="D11" s="1759"/>
      <c r="E11" s="1759"/>
      <c r="F11" s="1760"/>
      <c r="G11" s="1760"/>
      <c r="H11" s="1760"/>
      <c r="I11" s="1760"/>
      <c r="J11" s="1760"/>
      <c r="K11" s="1760"/>
      <c r="L11" s="1760"/>
      <c r="M11" s="1760"/>
      <c r="N11" s="1760"/>
      <c r="O11" s="1761" t="s">
        <v>1542</v>
      </c>
      <c r="P11" s="1762" t="s">
        <v>1543</v>
      </c>
      <c r="Q11" s="1763" t="s">
        <v>1544</v>
      </c>
      <c r="R11" s="1764" t="s">
        <v>1545</v>
      </c>
      <c r="S11" s="1762" t="s">
        <v>1543</v>
      </c>
      <c r="T11" s="1763" t="s">
        <v>1546</v>
      </c>
      <c r="U11" s="1764" t="s">
        <v>1545</v>
      </c>
      <c r="V11" s="1765"/>
      <c r="W11" s="1952"/>
      <c r="X11" s="1952"/>
    </row>
    <row r="12" spans="2:24" ht="15" customHeight="1" thickBot="1" x14ac:dyDescent="0.25">
      <c r="B12" s="1758"/>
      <c r="C12" s="1766" t="s">
        <v>161</v>
      </c>
      <c r="D12" s="1767"/>
      <c r="E12" s="1767"/>
      <c r="F12" s="1768"/>
      <c r="G12" s="1768"/>
      <c r="H12" s="1768"/>
      <c r="I12" s="1768"/>
      <c r="J12" s="1768"/>
      <c r="K12" s="1768"/>
      <c r="L12" s="1768"/>
      <c r="M12" s="1768"/>
      <c r="N12" s="1768"/>
      <c r="O12" s="1769"/>
      <c r="P12" s="1769"/>
      <c r="Q12" s="1770"/>
      <c r="R12" s="1770"/>
      <c r="S12" s="1770"/>
      <c r="T12" s="1770"/>
      <c r="U12" s="1771"/>
      <c r="V12" s="1772"/>
    </row>
    <row r="13" spans="2:24" ht="15" customHeight="1" x14ac:dyDescent="0.2">
      <c r="B13" s="1758"/>
      <c r="C13" s="1773"/>
      <c r="D13" s="1774" t="s">
        <v>162</v>
      </c>
      <c r="E13" s="1775"/>
      <c r="F13" s="1750"/>
      <c r="G13" s="1750"/>
      <c r="H13" s="1750"/>
      <c r="I13" s="1750"/>
      <c r="J13" s="1750"/>
      <c r="K13" s="1750"/>
      <c r="L13" s="1750"/>
      <c r="M13" s="1750"/>
      <c r="N13" s="1750"/>
      <c r="O13" s="1776">
        <f>'6A'!J20</f>
        <v>0</v>
      </c>
      <c r="P13" s="1777">
        <f t="shared" ref="P13:P18" si="0">Q13+R13</f>
        <v>0</v>
      </c>
      <c r="Q13" s="1883">
        <v>0</v>
      </c>
      <c r="R13" s="1884">
        <v>0</v>
      </c>
      <c r="S13" s="1777">
        <f t="shared" ref="S13:S18" si="1">T13+U13</f>
        <v>0</v>
      </c>
      <c r="T13" s="1884">
        <v>0</v>
      </c>
      <c r="U13" s="1884">
        <v>0</v>
      </c>
      <c r="V13" s="1778"/>
    </row>
    <row r="14" spans="2:24" ht="15" customHeight="1" x14ac:dyDescent="0.2">
      <c r="B14" s="1758"/>
      <c r="C14" s="1773"/>
      <c r="D14" s="1774" t="s">
        <v>163</v>
      </c>
      <c r="E14" s="1775"/>
      <c r="F14" s="1750"/>
      <c r="G14" s="1750"/>
      <c r="H14" s="1750"/>
      <c r="I14" s="1750"/>
      <c r="J14" s="1750"/>
      <c r="K14" s="1750"/>
      <c r="L14" s="1750"/>
      <c r="M14" s="1750"/>
      <c r="N14" s="1750"/>
      <c r="O14" s="1779">
        <f>'6A'!J21</f>
        <v>0</v>
      </c>
      <c r="P14" s="1780">
        <f t="shared" si="0"/>
        <v>0</v>
      </c>
      <c r="Q14" s="1885">
        <v>0</v>
      </c>
      <c r="R14" s="1886">
        <v>0</v>
      </c>
      <c r="S14" s="1780">
        <f t="shared" si="1"/>
        <v>0</v>
      </c>
      <c r="T14" s="1886">
        <v>0</v>
      </c>
      <c r="U14" s="1886">
        <v>0</v>
      </c>
      <c r="V14" s="1778"/>
    </row>
    <row r="15" spans="2:24" ht="15" customHeight="1" x14ac:dyDescent="0.2">
      <c r="B15" s="1758"/>
      <c r="C15" s="1773"/>
      <c r="D15" s="1781" t="s">
        <v>164</v>
      </c>
      <c r="E15" s="1775"/>
      <c r="F15" s="1782"/>
      <c r="G15" s="1782"/>
      <c r="H15" s="1782"/>
      <c r="I15" s="1782"/>
      <c r="J15" s="1782"/>
      <c r="K15" s="1782"/>
      <c r="L15" s="1782"/>
      <c r="M15" s="1782"/>
      <c r="N15" s="1782"/>
      <c r="O15" s="1779">
        <f>'6A'!J22</f>
        <v>0</v>
      </c>
      <c r="P15" s="1780">
        <f t="shared" si="0"/>
        <v>0</v>
      </c>
      <c r="Q15" s="1885">
        <v>0</v>
      </c>
      <c r="R15" s="1886">
        <v>0</v>
      </c>
      <c r="S15" s="1780">
        <f t="shared" si="1"/>
        <v>0</v>
      </c>
      <c r="T15" s="1886">
        <v>0</v>
      </c>
      <c r="U15" s="1886">
        <v>0</v>
      </c>
      <c r="V15" s="1778"/>
    </row>
    <row r="16" spans="2:24" ht="15" customHeight="1" x14ac:dyDescent="0.2">
      <c r="B16" s="1758"/>
      <c r="C16" s="1773"/>
      <c r="D16" s="1781" t="s">
        <v>165</v>
      </c>
      <c r="E16" s="1775"/>
      <c r="F16" s="1782"/>
      <c r="G16" s="1782"/>
      <c r="H16" s="1782"/>
      <c r="I16" s="1782"/>
      <c r="J16" s="1782"/>
      <c r="K16" s="1782"/>
      <c r="L16" s="1782"/>
      <c r="M16" s="1782"/>
      <c r="N16" s="1782"/>
      <c r="O16" s="1779">
        <f>+'6A'!J23</f>
        <v>45000</v>
      </c>
      <c r="P16" s="1780">
        <f t="shared" si="0"/>
        <v>28992</v>
      </c>
      <c r="Q16" s="1885">
        <v>28992</v>
      </c>
      <c r="R16" s="1886">
        <v>0</v>
      </c>
      <c r="S16" s="1780">
        <f t="shared" si="1"/>
        <v>16008</v>
      </c>
      <c r="T16" s="1886">
        <f>16008</f>
        <v>16008</v>
      </c>
      <c r="U16" s="1886">
        <v>0</v>
      </c>
      <c r="V16" s="1778"/>
    </row>
    <row r="17" spans="2:24" ht="15" customHeight="1" x14ac:dyDescent="0.2">
      <c r="B17" s="1758"/>
      <c r="C17" s="1773"/>
      <c r="D17" s="1783" t="s">
        <v>166</v>
      </c>
      <c r="E17" s="1775"/>
      <c r="F17" s="1782"/>
      <c r="G17" s="1782"/>
      <c r="H17" s="1782"/>
      <c r="I17" s="1782"/>
      <c r="J17" s="1782"/>
      <c r="K17" s="1782"/>
      <c r="L17" s="1782"/>
      <c r="M17" s="1782"/>
      <c r="N17" s="1782"/>
      <c r="O17" s="1779">
        <f>+'6A'!J24</f>
        <v>0</v>
      </c>
      <c r="P17" s="1780">
        <f t="shared" si="0"/>
        <v>0</v>
      </c>
      <c r="Q17" s="1885">
        <v>0</v>
      </c>
      <c r="R17" s="1886">
        <v>0</v>
      </c>
      <c r="S17" s="1780">
        <f t="shared" si="1"/>
        <v>0</v>
      </c>
      <c r="T17" s="1886">
        <v>0</v>
      </c>
      <c r="U17" s="1886">
        <v>0</v>
      </c>
      <c r="V17" s="1778"/>
    </row>
    <row r="18" spans="2:24" ht="15" customHeight="1" x14ac:dyDescent="0.2">
      <c r="B18" s="1758"/>
      <c r="C18" s="1773"/>
      <c r="D18" s="1784" t="s">
        <v>1547</v>
      </c>
      <c r="E18" s="1750"/>
      <c r="F18" s="1785"/>
      <c r="G18" s="1785"/>
      <c r="H18" s="1785"/>
      <c r="I18" s="1785"/>
      <c r="J18" s="1785"/>
      <c r="K18" s="1785"/>
      <c r="L18" s="1785"/>
      <c r="M18" s="1785"/>
      <c r="N18" s="1785"/>
      <c r="O18" s="1779">
        <f>+'6A'!J25</f>
        <v>0</v>
      </c>
      <c r="P18" s="1786">
        <f t="shared" si="0"/>
        <v>0</v>
      </c>
      <c r="Q18" s="1887">
        <v>0</v>
      </c>
      <c r="R18" s="1888"/>
      <c r="S18" s="1786">
        <f t="shared" si="1"/>
        <v>0</v>
      </c>
      <c r="T18" s="1888">
        <v>0</v>
      </c>
      <c r="U18" s="1888">
        <v>0</v>
      </c>
      <c r="V18" s="1787"/>
    </row>
    <row r="19" spans="2:24" ht="15" customHeight="1" thickBot="1" x14ac:dyDescent="0.25">
      <c r="B19" s="1758"/>
      <c r="C19" s="1788"/>
      <c r="D19" s="1775"/>
      <c r="E19" s="1775"/>
      <c r="F19" s="1773"/>
      <c r="G19" s="1789"/>
      <c r="H19" s="1789"/>
      <c r="I19" s="1789"/>
      <c r="J19" s="1789"/>
      <c r="K19" s="1789"/>
      <c r="L19" s="1789"/>
      <c r="M19" s="1789"/>
      <c r="N19" s="1790" t="s">
        <v>167</v>
      </c>
      <c r="O19" s="1791">
        <f>P19+S19</f>
        <v>45000</v>
      </c>
      <c r="P19" s="1792">
        <f t="shared" ref="P19:U19" si="2">SUM(P13:P18)</f>
        <v>28992</v>
      </c>
      <c r="Q19" s="1793">
        <f t="shared" si="2"/>
        <v>28992</v>
      </c>
      <c r="R19" s="1794">
        <f t="shared" si="2"/>
        <v>0</v>
      </c>
      <c r="S19" s="1792">
        <f t="shared" si="2"/>
        <v>16008</v>
      </c>
      <c r="T19" s="1794">
        <f t="shared" si="2"/>
        <v>16008</v>
      </c>
      <c r="U19" s="1794">
        <f t="shared" si="2"/>
        <v>0</v>
      </c>
      <c r="V19" s="1795"/>
    </row>
    <row r="20" spans="2:24" ht="3.75" customHeight="1" x14ac:dyDescent="0.2">
      <c r="B20" s="1758"/>
      <c r="C20" s="1775"/>
      <c r="D20" s="1775"/>
      <c r="E20" s="1775"/>
      <c r="F20" s="1782"/>
      <c r="G20" s="1782"/>
      <c r="H20" s="1782"/>
      <c r="I20" s="1782"/>
      <c r="J20" s="1782"/>
      <c r="K20" s="1782"/>
      <c r="L20" s="1782"/>
      <c r="M20" s="1782"/>
      <c r="N20" s="1782"/>
      <c r="O20" s="1796"/>
      <c r="P20" s="1796"/>
      <c r="Q20" s="1797"/>
      <c r="R20" s="1797"/>
      <c r="S20" s="1796"/>
      <c r="T20" s="1797"/>
      <c r="U20" s="1798"/>
      <c r="V20" s="1772"/>
    </row>
    <row r="21" spans="2:24" ht="15" customHeight="1" thickBot="1" x14ac:dyDescent="0.25">
      <c r="B21" s="1758"/>
      <c r="C21" s="1799" t="s">
        <v>168</v>
      </c>
      <c r="D21" s="1800"/>
      <c r="E21" s="1800"/>
      <c r="F21" s="1801"/>
      <c r="G21" s="1801"/>
      <c r="H21" s="1801"/>
      <c r="I21" s="1801"/>
      <c r="J21" s="1801"/>
      <c r="K21" s="1801"/>
      <c r="L21" s="1801"/>
      <c r="M21" s="1801"/>
      <c r="N21" s="1801"/>
      <c r="O21" s="1802"/>
      <c r="P21" s="1802"/>
      <c r="Q21" s="1797"/>
      <c r="R21" s="1797"/>
      <c r="S21" s="1802"/>
      <c r="T21" s="1797"/>
      <c r="U21" s="1803"/>
      <c r="V21" s="1772"/>
    </row>
    <row r="22" spans="2:24" ht="15" customHeight="1" x14ac:dyDescent="0.2">
      <c r="B22" s="1758"/>
      <c r="C22" s="1773"/>
      <c r="D22" s="1781" t="s">
        <v>169</v>
      </c>
      <c r="E22" s="1775"/>
      <c r="F22" s="1782"/>
      <c r="G22" s="1782"/>
      <c r="H22" s="1782"/>
      <c r="I22" s="1782"/>
      <c r="J22" s="1782"/>
      <c r="K22" s="1782"/>
      <c r="L22" s="1782"/>
      <c r="M22" s="1782"/>
      <c r="N22" s="1782"/>
      <c r="O22" s="1776">
        <f>+'6A'!J29</f>
        <v>0</v>
      </c>
      <c r="P22" s="1804">
        <f t="shared" ref="P22:P37" si="3">Q22+R22</f>
        <v>0</v>
      </c>
      <c r="Q22" s="1883"/>
      <c r="R22" s="1884">
        <v>0</v>
      </c>
      <c r="S22" s="1804">
        <f t="shared" ref="S22:S37" si="4">T22+U22</f>
        <v>0</v>
      </c>
      <c r="T22" s="1884"/>
      <c r="U22" s="1884">
        <v>0</v>
      </c>
      <c r="V22" s="1778"/>
    </row>
    <row r="23" spans="2:24" ht="15" customHeight="1" x14ac:dyDescent="0.2">
      <c r="B23" s="1758"/>
      <c r="C23" s="1773"/>
      <c r="D23" s="1781" t="s">
        <v>170</v>
      </c>
      <c r="E23" s="1775"/>
      <c r="F23" s="1805"/>
      <c r="G23" s="1805"/>
      <c r="H23" s="1805"/>
      <c r="I23" s="1805"/>
      <c r="J23" s="1805"/>
      <c r="K23" s="1805"/>
      <c r="L23" s="1805"/>
      <c r="M23" s="1805"/>
      <c r="N23" s="1806"/>
      <c r="O23" s="1779">
        <f>+'6A'!J30</f>
        <v>0</v>
      </c>
      <c r="P23" s="1780">
        <f t="shared" si="3"/>
        <v>0</v>
      </c>
      <c r="Q23" s="1885">
        <v>0</v>
      </c>
      <c r="R23" s="1886">
        <v>0</v>
      </c>
      <c r="S23" s="1780">
        <f t="shared" si="4"/>
        <v>0</v>
      </c>
      <c r="T23" s="1886">
        <v>0</v>
      </c>
      <c r="U23" s="1886">
        <v>0</v>
      </c>
      <c r="V23" s="1778"/>
    </row>
    <row r="24" spans="2:24" ht="15" customHeight="1" x14ac:dyDescent="0.2">
      <c r="B24" s="1758"/>
      <c r="C24" s="1773"/>
      <c r="D24" s="1781" t="s">
        <v>171</v>
      </c>
      <c r="E24" s="1775"/>
      <c r="F24" s="1805"/>
      <c r="G24" s="1805"/>
      <c r="H24" s="1805"/>
      <c r="I24" s="1805"/>
      <c r="J24" s="1805"/>
      <c r="K24" s="1805"/>
      <c r="L24" s="1805"/>
      <c r="M24" s="1805"/>
      <c r="N24" s="1983"/>
      <c r="O24" s="1779">
        <f>+'6A'!J31</f>
        <v>36543107</v>
      </c>
      <c r="P24" s="1780">
        <f t="shared" si="3"/>
        <v>20833424</v>
      </c>
      <c r="Q24" s="1885">
        <f>18897443-1351039+1654398+1632622</f>
        <v>20833424</v>
      </c>
      <c r="R24" s="1886">
        <v>0</v>
      </c>
      <c r="S24" s="1780">
        <f>T24+U24</f>
        <v>15709683</v>
      </c>
      <c r="T24" s="1886">
        <f>11166427-745950+977578+964710</f>
        <v>12362765</v>
      </c>
      <c r="U24" s="1886">
        <v>3346918</v>
      </c>
      <c r="V24" s="1778"/>
      <c r="W24" s="1985"/>
      <c r="X24" s="1985"/>
    </row>
    <row r="25" spans="2:24" ht="15" customHeight="1" x14ac:dyDescent="0.2">
      <c r="B25" s="1758"/>
      <c r="C25" s="1773"/>
      <c r="D25" s="1781" t="s">
        <v>172</v>
      </c>
      <c r="E25" s="1775"/>
      <c r="F25" s="1805"/>
      <c r="G25" s="1805"/>
      <c r="H25" s="1805"/>
      <c r="I25" s="1805"/>
      <c r="J25" s="1805"/>
      <c r="K25" s="1805"/>
      <c r="L25" s="1805"/>
      <c r="M25" s="1805"/>
      <c r="N25" s="1984"/>
      <c r="O25" s="1779">
        <f>+'6A'!J32</f>
        <v>679934</v>
      </c>
      <c r="P25" s="1780">
        <f t="shared" si="3"/>
        <v>393403</v>
      </c>
      <c r="Q25" s="1885">
        <f>786806/2</f>
        <v>393403</v>
      </c>
      <c r="R25" s="1886">
        <v>0</v>
      </c>
      <c r="S25" s="1780">
        <f t="shared" si="4"/>
        <v>286531</v>
      </c>
      <c r="T25" s="1886">
        <f>464920/2</f>
        <v>232460</v>
      </c>
      <c r="U25" s="1886">
        <v>54071</v>
      </c>
      <c r="V25" s="1778"/>
    </row>
    <row r="26" spans="2:24" ht="15" customHeight="1" x14ac:dyDescent="0.2">
      <c r="B26" s="1758"/>
      <c r="C26" s="1773"/>
      <c r="D26" s="1781" t="s">
        <v>173</v>
      </c>
      <c r="E26" s="1775"/>
      <c r="F26" s="1805"/>
      <c r="G26" s="1805"/>
      <c r="H26" s="1805"/>
      <c r="I26" s="1805"/>
      <c r="J26" s="1805"/>
      <c r="K26" s="1805"/>
      <c r="L26" s="1805"/>
      <c r="M26" s="1805"/>
      <c r="N26" s="1984"/>
      <c r="O26" s="1779">
        <f>+'6A'!J33</f>
        <v>679934</v>
      </c>
      <c r="P26" s="1780">
        <f t="shared" si="3"/>
        <v>393403</v>
      </c>
      <c r="Q26" s="1885">
        <v>393403</v>
      </c>
      <c r="R26" s="1886">
        <v>0</v>
      </c>
      <c r="S26" s="1780">
        <f t="shared" si="4"/>
        <v>286531</v>
      </c>
      <c r="T26" s="1886">
        <v>232460</v>
      </c>
      <c r="U26" s="1886">
        <v>54071</v>
      </c>
      <c r="V26" s="1778"/>
    </row>
    <row r="27" spans="2:24" ht="15" customHeight="1" x14ac:dyDescent="0.2">
      <c r="B27" s="1758"/>
      <c r="C27" s="1773"/>
      <c r="D27" s="1807" t="s">
        <v>174</v>
      </c>
      <c r="E27" s="1808"/>
      <c r="F27" s="1809"/>
      <c r="G27" s="1809"/>
      <c r="H27" s="1809"/>
      <c r="I27" s="1809"/>
      <c r="J27" s="1809"/>
      <c r="K27" s="1809"/>
      <c r="L27" s="1809"/>
      <c r="M27" s="1809"/>
      <c r="N27" s="2142"/>
      <c r="O27" s="1779">
        <f>+'6A'!J34</f>
        <v>0</v>
      </c>
      <c r="P27" s="1780">
        <f t="shared" si="3"/>
        <v>0</v>
      </c>
      <c r="Q27" s="1885">
        <v>0</v>
      </c>
      <c r="R27" s="1886">
        <v>0</v>
      </c>
      <c r="S27" s="1780">
        <f t="shared" si="4"/>
        <v>0</v>
      </c>
      <c r="T27" s="1886">
        <v>0</v>
      </c>
      <c r="U27" s="1886">
        <v>0</v>
      </c>
      <c r="V27" s="1778"/>
    </row>
    <row r="28" spans="2:24" ht="15" customHeight="1" x14ac:dyDescent="0.2">
      <c r="B28" s="1758"/>
      <c r="C28" s="1773"/>
      <c r="D28" s="1807" t="s">
        <v>175</v>
      </c>
      <c r="E28" s="1808"/>
      <c r="F28" s="1809"/>
      <c r="G28" s="1809"/>
      <c r="H28" s="1809"/>
      <c r="I28" s="1809"/>
      <c r="J28" s="1809"/>
      <c r="K28" s="1809"/>
      <c r="L28" s="1809"/>
      <c r="M28" s="1809"/>
      <c r="N28" s="1809"/>
      <c r="O28" s="1779">
        <f>+'6A'!J35</f>
        <v>5584262</v>
      </c>
      <c r="P28" s="1780">
        <f t="shared" si="3"/>
        <v>3510136</v>
      </c>
      <c r="Q28" s="1885">
        <v>3510136</v>
      </c>
      <c r="R28" s="1886">
        <v>0</v>
      </c>
      <c r="S28" s="1780">
        <f t="shared" si="4"/>
        <v>2074126</v>
      </c>
      <c r="T28" s="1886">
        <v>2074126</v>
      </c>
      <c r="U28" s="1886">
        <v>0</v>
      </c>
      <c r="V28" s="1778"/>
    </row>
    <row r="29" spans="2:24" ht="15" customHeight="1" x14ac:dyDescent="0.2">
      <c r="B29" s="1758"/>
      <c r="C29" s="1773"/>
      <c r="D29" s="1781" t="s">
        <v>176</v>
      </c>
      <c r="E29" s="1775"/>
      <c r="F29" s="1810"/>
      <c r="G29" s="1810"/>
      <c r="H29" s="1810"/>
      <c r="I29" s="1810"/>
      <c r="J29" s="1810"/>
      <c r="K29" s="1810"/>
      <c r="L29" s="1810"/>
      <c r="M29" s="1810"/>
      <c r="N29" s="1810"/>
      <c r="O29" s="1779">
        <f>+'6A'!J36</f>
        <v>0</v>
      </c>
      <c r="P29" s="1780">
        <f t="shared" si="3"/>
        <v>0</v>
      </c>
      <c r="Q29" s="1885">
        <v>0</v>
      </c>
      <c r="R29" s="1886">
        <v>0</v>
      </c>
      <c r="S29" s="1780">
        <f t="shared" si="4"/>
        <v>0</v>
      </c>
      <c r="T29" s="1886">
        <v>0</v>
      </c>
      <c r="U29" s="1886">
        <v>0</v>
      </c>
      <c r="V29" s="1778"/>
    </row>
    <row r="30" spans="2:24" ht="15" customHeight="1" x14ac:dyDescent="0.2">
      <c r="B30" s="1758"/>
      <c r="C30" s="1773"/>
      <c r="D30" s="1781" t="s">
        <v>177</v>
      </c>
      <c r="E30" s="1775"/>
      <c r="F30" s="1810"/>
      <c r="G30" s="1810"/>
      <c r="H30" s="1810"/>
      <c r="I30" s="1810"/>
      <c r="J30" s="1810"/>
      <c r="K30" s="1810"/>
      <c r="L30" s="1810"/>
      <c r="M30" s="1810"/>
      <c r="N30" s="1810"/>
      <c r="O30" s="1779">
        <f>+'6A'!J37</f>
        <v>2096989</v>
      </c>
      <c r="P30" s="1780">
        <f t="shared" si="3"/>
        <v>1351039</v>
      </c>
      <c r="Q30" s="1885">
        <v>1351039</v>
      </c>
      <c r="R30" s="1886">
        <v>0</v>
      </c>
      <c r="S30" s="1780">
        <f t="shared" si="4"/>
        <v>745950</v>
      </c>
      <c r="T30" s="1886">
        <v>745950</v>
      </c>
      <c r="U30" s="1886">
        <v>0</v>
      </c>
      <c r="V30" s="1778"/>
    </row>
    <row r="31" spans="2:24" ht="15" customHeight="1" x14ac:dyDescent="0.2">
      <c r="B31" s="1758"/>
      <c r="C31" s="1773"/>
      <c r="D31" s="1781" t="s">
        <v>178</v>
      </c>
      <c r="E31" s="1775"/>
      <c r="F31" s="1811"/>
      <c r="G31" s="1811"/>
      <c r="H31" s="1811"/>
      <c r="I31" s="1811"/>
      <c r="J31" s="1811"/>
      <c r="K31" s="1811"/>
      <c r="L31" s="1811"/>
      <c r="M31" s="1811"/>
      <c r="N31" s="1811"/>
      <c r="O31" s="1779">
        <f>+'6A'!J38</f>
        <v>0</v>
      </c>
      <c r="P31" s="1780">
        <f t="shared" si="3"/>
        <v>0</v>
      </c>
      <c r="Q31" s="1885">
        <v>0</v>
      </c>
      <c r="R31" s="1886">
        <v>0</v>
      </c>
      <c r="S31" s="1780">
        <f t="shared" si="4"/>
        <v>0</v>
      </c>
      <c r="T31" s="1886">
        <v>0</v>
      </c>
      <c r="U31" s="1886">
        <v>0</v>
      </c>
      <c r="V31" s="1778"/>
    </row>
    <row r="32" spans="2:24" ht="15" customHeight="1" x14ac:dyDescent="0.2">
      <c r="B32" s="1758"/>
      <c r="C32" s="1773"/>
      <c r="D32" s="1781" t="s">
        <v>179</v>
      </c>
      <c r="E32" s="1775"/>
      <c r="F32" s="1811"/>
      <c r="G32" s="1811"/>
      <c r="H32" s="1811"/>
      <c r="I32" s="1811"/>
      <c r="J32" s="1811"/>
      <c r="K32" s="1811"/>
      <c r="L32" s="1811"/>
      <c r="M32" s="1811"/>
      <c r="N32" s="1811"/>
      <c r="O32" s="1779">
        <f>+'6A'!J39</f>
        <v>0</v>
      </c>
      <c r="P32" s="1780">
        <f t="shared" si="3"/>
        <v>0</v>
      </c>
      <c r="Q32" s="1885">
        <v>0</v>
      </c>
      <c r="R32" s="1886">
        <v>0</v>
      </c>
      <c r="S32" s="1780">
        <f t="shared" si="4"/>
        <v>0</v>
      </c>
      <c r="T32" s="1886">
        <v>0</v>
      </c>
      <c r="U32" s="1886">
        <v>0</v>
      </c>
      <c r="V32" s="1778"/>
    </row>
    <row r="33" spans="2:22" ht="15" customHeight="1" x14ac:dyDescent="0.2">
      <c r="B33" s="1758"/>
      <c r="C33" s="1773"/>
      <c r="D33" s="1781" t="s">
        <v>180</v>
      </c>
      <c r="E33" s="1775"/>
      <c r="F33" s="1811"/>
      <c r="G33" s="1811"/>
      <c r="H33" s="1811"/>
      <c r="I33" s="1811"/>
      <c r="J33" s="1811"/>
      <c r="K33" s="1811"/>
      <c r="L33" s="1811"/>
      <c r="M33" s="1811"/>
      <c r="N33" s="1811"/>
      <c r="O33" s="1779">
        <f>+'6A'!J40</f>
        <v>0</v>
      </c>
      <c r="P33" s="1780">
        <f t="shared" si="3"/>
        <v>0</v>
      </c>
      <c r="Q33" s="1885">
        <v>0</v>
      </c>
      <c r="R33" s="1886">
        <v>0</v>
      </c>
      <c r="S33" s="1780">
        <f t="shared" si="4"/>
        <v>0</v>
      </c>
      <c r="T33" s="1886">
        <v>0</v>
      </c>
      <c r="U33" s="1886">
        <v>0</v>
      </c>
      <c r="V33" s="1778"/>
    </row>
    <row r="34" spans="2:22" ht="15" customHeight="1" x14ac:dyDescent="0.2">
      <c r="B34" s="1758"/>
      <c r="C34" s="1773"/>
      <c r="D34" s="1781" t="s">
        <v>181</v>
      </c>
      <c r="E34" s="1811"/>
      <c r="F34" s="1812"/>
      <c r="G34" s="1812"/>
      <c r="H34" s="1812"/>
      <c r="I34" s="1812"/>
      <c r="J34" s="1812"/>
      <c r="K34" s="1812"/>
      <c r="L34" s="1812"/>
      <c r="M34" s="1812"/>
      <c r="N34" s="1812"/>
      <c r="O34" s="1779">
        <f>+'6A'!J41</f>
        <v>4110017</v>
      </c>
      <c r="P34" s="1780">
        <f t="shared" si="3"/>
        <v>2583460</v>
      </c>
      <c r="Q34" s="1885">
        <v>2583460</v>
      </c>
      <c r="R34" s="1886">
        <v>0</v>
      </c>
      <c r="S34" s="1780">
        <f t="shared" si="4"/>
        <v>1526557</v>
      </c>
      <c r="T34" s="1886">
        <v>1526557</v>
      </c>
      <c r="U34" s="1886">
        <v>0</v>
      </c>
      <c r="V34" s="1778"/>
    </row>
    <row r="35" spans="2:22" ht="15" customHeight="1" x14ac:dyDescent="0.2">
      <c r="B35" s="1758"/>
      <c r="C35" s="1773"/>
      <c r="D35" s="1781" t="s">
        <v>182</v>
      </c>
      <c r="E35" s="1775"/>
      <c r="F35" s="1810"/>
      <c r="G35" s="1810"/>
      <c r="H35" s="1810"/>
      <c r="I35" s="1810"/>
      <c r="J35" s="1810"/>
      <c r="K35" s="1810"/>
      <c r="L35" s="1810"/>
      <c r="M35" s="1810"/>
      <c r="N35" s="1810"/>
      <c r="O35" s="1779">
        <f>+'6A'!J42</f>
        <v>746553</v>
      </c>
      <c r="P35" s="1780">
        <f t="shared" si="3"/>
        <v>429640</v>
      </c>
      <c r="Q35" s="1885">
        <f>269110+160530</f>
        <v>429640</v>
      </c>
      <c r="R35" s="1886">
        <v>0</v>
      </c>
      <c r="S35" s="1780">
        <f t="shared" si="4"/>
        <v>316913</v>
      </c>
      <c r="T35" s="1886">
        <f>94857+159016</f>
        <v>253873</v>
      </c>
      <c r="U35" s="1886">
        <v>63040</v>
      </c>
      <c r="V35" s="1778"/>
    </row>
    <row r="36" spans="2:22" ht="15" customHeight="1" x14ac:dyDescent="0.2">
      <c r="B36" s="1758"/>
      <c r="C36" s="1773"/>
      <c r="D36" s="1781" t="s">
        <v>183</v>
      </c>
      <c r="E36" s="1775"/>
      <c r="F36" s="1811"/>
      <c r="G36" s="1811"/>
      <c r="H36" s="1811"/>
      <c r="I36" s="1811"/>
      <c r="J36" s="1811"/>
      <c r="K36" s="1811"/>
      <c r="L36" s="1811"/>
      <c r="M36" s="1811"/>
      <c r="N36" s="1811"/>
      <c r="O36" s="1779">
        <f>+'6A'!J43</f>
        <v>125000</v>
      </c>
      <c r="P36" s="1780">
        <f t="shared" si="3"/>
        <v>80533</v>
      </c>
      <c r="Q36" s="1885">
        <v>80533</v>
      </c>
      <c r="R36" s="1886">
        <v>0</v>
      </c>
      <c r="S36" s="1780">
        <f t="shared" si="4"/>
        <v>44467</v>
      </c>
      <c r="T36" s="1886">
        <v>44467</v>
      </c>
      <c r="U36" s="1886">
        <v>0</v>
      </c>
      <c r="V36" s="1778"/>
    </row>
    <row r="37" spans="2:22" ht="15" customHeight="1" x14ac:dyDescent="0.2">
      <c r="B37" s="1758"/>
      <c r="C37" s="1773"/>
      <c r="D37" s="1784" t="s">
        <v>241</v>
      </c>
      <c r="E37" s="1785"/>
      <c r="F37" s="1785"/>
      <c r="G37" s="1785"/>
      <c r="H37" s="1785"/>
      <c r="I37" s="1785"/>
      <c r="J37" s="1785"/>
      <c r="K37" s="1785"/>
      <c r="L37" s="1785"/>
      <c r="M37" s="1785"/>
      <c r="N37" s="1785"/>
      <c r="O37" s="1779">
        <f>+'6A'!J44</f>
        <v>0</v>
      </c>
      <c r="P37" s="1813">
        <f t="shared" si="3"/>
        <v>0</v>
      </c>
      <c r="Q37" s="1887">
        <v>0</v>
      </c>
      <c r="R37" s="1888">
        <v>0</v>
      </c>
      <c r="S37" s="1813">
        <f t="shared" si="4"/>
        <v>0</v>
      </c>
      <c r="T37" s="1888">
        <v>0</v>
      </c>
      <c r="U37" s="1888">
        <v>0</v>
      </c>
      <c r="V37" s="1787"/>
    </row>
    <row r="38" spans="2:22" ht="15" customHeight="1" thickBot="1" x14ac:dyDescent="0.25">
      <c r="B38" s="1758"/>
      <c r="C38" s="1788"/>
      <c r="D38" s="1775"/>
      <c r="E38" s="1775"/>
      <c r="F38" s="1773"/>
      <c r="G38" s="1789"/>
      <c r="H38" s="1789"/>
      <c r="I38" s="1789"/>
      <c r="J38" s="1789"/>
      <c r="K38" s="1789"/>
      <c r="L38" s="1789"/>
      <c r="M38" s="1789"/>
      <c r="N38" s="1790" t="s">
        <v>167</v>
      </c>
      <c r="O38" s="1791">
        <f>P38+S38</f>
        <v>50565796</v>
      </c>
      <c r="P38" s="1792">
        <f t="shared" ref="P38:U38" si="5">SUM(P22:P37)</f>
        <v>29575038</v>
      </c>
      <c r="Q38" s="1793">
        <f t="shared" si="5"/>
        <v>29575038</v>
      </c>
      <c r="R38" s="1794">
        <f t="shared" si="5"/>
        <v>0</v>
      </c>
      <c r="S38" s="1792">
        <f t="shared" si="5"/>
        <v>20990758</v>
      </c>
      <c r="T38" s="1794">
        <f t="shared" si="5"/>
        <v>17472658</v>
      </c>
      <c r="U38" s="1794">
        <f t="shared" si="5"/>
        <v>3518100</v>
      </c>
      <c r="V38" s="1795"/>
    </row>
    <row r="39" spans="2:22" ht="3.75" customHeight="1" x14ac:dyDescent="0.2">
      <c r="B39" s="1758"/>
      <c r="C39" s="1775"/>
      <c r="D39" s="1775"/>
      <c r="E39" s="1775"/>
      <c r="F39" s="1775"/>
      <c r="G39" s="1775"/>
      <c r="H39" s="1775"/>
      <c r="I39" s="1775"/>
      <c r="J39" s="1775"/>
      <c r="K39" s="1775"/>
      <c r="L39" s="1775"/>
      <c r="M39" s="1775"/>
      <c r="N39" s="1775"/>
      <c r="O39" s="1796"/>
      <c r="P39" s="1796"/>
      <c r="Q39" s="1797"/>
      <c r="R39" s="1797"/>
      <c r="S39" s="1796"/>
      <c r="T39" s="1797"/>
      <c r="U39" s="1798"/>
      <c r="V39" s="1772"/>
    </row>
    <row r="40" spans="2:22" ht="15" customHeight="1" thickBot="1" x14ac:dyDescent="0.25">
      <c r="B40" s="1758"/>
      <c r="C40" s="1799" t="s">
        <v>184</v>
      </c>
      <c r="D40" s="1800"/>
      <c r="E40" s="1800"/>
      <c r="F40" s="1801"/>
      <c r="G40" s="1801"/>
      <c r="H40" s="1801"/>
      <c r="I40" s="1801"/>
      <c r="J40" s="1801"/>
      <c r="K40" s="1801"/>
      <c r="L40" s="1801"/>
      <c r="M40" s="1801"/>
      <c r="N40" s="1801"/>
      <c r="O40" s="1796"/>
      <c r="P40" s="1796"/>
      <c r="Q40" s="1814"/>
      <c r="R40" s="1814"/>
      <c r="S40" s="1796"/>
      <c r="T40" s="1814"/>
      <c r="U40" s="1815"/>
      <c r="V40" s="1772"/>
    </row>
    <row r="41" spans="2:22" ht="15" customHeight="1" x14ac:dyDescent="0.2">
      <c r="B41" s="1758"/>
      <c r="C41" s="1773"/>
      <c r="D41" s="1781" t="s">
        <v>185</v>
      </c>
      <c r="E41" s="1775"/>
      <c r="F41" s="1782"/>
      <c r="G41" s="1782"/>
      <c r="H41" s="1782"/>
      <c r="I41" s="1782"/>
      <c r="J41" s="1782"/>
      <c r="K41" s="1782"/>
      <c r="L41" s="1782"/>
      <c r="M41" s="1782"/>
      <c r="N41" s="1782"/>
      <c r="O41" s="1776">
        <f>+'6A'!J48</f>
        <v>15000</v>
      </c>
      <c r="P41" s="1804">
        <f t="shared" ref="P41:P53" si="6">Q41+R41</f>
        <v>7500</v>
      </c>
      <c r="Q41" s="1883">
        <v>7500</v>
      </c>
      <c r="R41" s="1884">
        <v>0</v>
      </c>
      <c r="S41" s="1804">
        <f t="shared" ref="S41:S53" si="7">T41+U41</f>
        <v>7500</v>
      </c>
      <c r="T41" s="1884">
        <v>7500</v>
      </c>
      <c r="U41" s="1884">
        <v>0</v>
      </c>
      <c r="V41" s="1778"/>
    </row>
    <row r="42" spans="2:22" ht="15" customHeight="1" x14ac:dyDescent="0.2">
      <c r="B42" s="1758"/>
      <c r="C42" s="1773"/>
      <c r="D42" s="1781" t="s">
        <v>186</v>
      </c>
      <c r="E42" s="1775"/>
      <c r="F42" s="1782"/>
      <c r="G42" s="1782"/>
      <c r="H42" s="1782"/>
      <c r="I42" s="1782"/>
      <c r="J42" s="1782"/>
      <c r="K42" s="1782"/>
      <c r="L42" s="1782"/>
      <c r="M42" s="1782"/>
      <c r="N42" s="1782"/>
      <c r="O42" s="1779">
        <f>+'6A'!J49</f>
        <v>15000</v>
      </c>
      <c r="P42" s="1780">
        <f t="shared" si="6"/>
        <v>7500</v>
      </c>
      <c r="Q42" s="1885">
        <v>7500</v>
      </c>
      <c r="R42" s="1886">
        <v>0</v>
      </c>
      <c r="S42" s="1780">
        <f t="shared" si="7"/>
        <v>7500</v>
      </c>
      <c r="T42" s="1886">
        <v>7500</v>
      </c>
      <c r="U42" s="1886">
        <v>0</v>
      </c>
      <c r="V42" s="1778"/>
    </row>
    <row r="43" spans="2:22" ht="15" customHeight="1" x14ac:dyDescent="0.2">
      <c r="B43" s="1758"/>
      <c r="C43" s="1773"/>
      <c r="D43" s="1781" t="s">
        <v>187</v>
      </c>
      <c r="E43" s="1775"/>
      <c r="F43" s="1782"/>
      <c r="G43" s="1782"/>
      <c r="H43" s="1782"/>
      <c r="I43" s="1782"/>
      <c r="J43" s="1782"/>
      <c r="K43" s="1782"/>
      <c r="L43" s="1782"/>
      <c r="M43" s="1782"/>
      <c r="N43" s="1782"/>
      <c r="O43" s="1779">
        <f>+'6A'!J50</f>
        <v>2484903</v>
      </c>
      <c r="P43" s="1780">
        <f t="shared" si="6"/>
        <v>1600929</v>
      </c>
      <c r="Q43" s="1885">
        <v>1600929</v>
      </c>
      <c r="R43" s="1886">
        <v>0</v>
      </c>
      <c r="S43" s="1780">
        <f t="shared" si="7"/>
        <v>883974</v>
      </c>
      <c r="T43" s="1886">
        <v>883974</v>
      </c>
      <c r="U43" s="1886">
        <v>0</v>
      </c>
      <c r="V43" s="1778"/>
    </row>
    <row r="44" spans="2:22" ht="15" customHeight="1" x14ac:dyDescent="0.2">
      <c r="B44" s="1758"/>
      <c r="C44" s="1773"/>
      <c r="D44" s="1781" t="s">
        <v>188</v>
      </c>
      <c r="E44" s="1775"/>
      <c r="F44" s="1782"/>
      <c r="G44" s="1782"/>
      <c r="H44" s="1782"/>
      <c r="I44" s="1782"/>
      <c r="J44" s="1782"/>
      <c r="K44" s="1782"/>
      <c r="L44" s="1782"/>
      <c r="M44" s="1782"/>
      <c r="N44" s="1782"/>
      <c r="O44" s="1779">
        <f>+'6A'!J51</f>
        <v>205000</v>
      </c>
      <c r="P44" s="1780">
        <f t="shared" si="6"/>
        <v>132074</v>
      </c>
      <c r="Q44" s="1885">
        <v>132074</v>
      </c>
      <c r="R44" s="1886">
        <v>0</v>
      </c>
      <c r="S44" s="1780">
        <f t="shared" si="7"/>
        <v>72926</v>
      </c>
      <c r="T44" s="1886">
        <v>72926</v>
      </c>
      <c r="U44" s="1886">
        <v>0</v>
      </c>
      <c r="V44" s="1778"/>
    </row>
    <row r="45" spans="2:22" ht="15" customHeight="1" x14ac:dyDescent="0.2">
      <c r="B45" s="1758"/>
      <c r="C45" s="1773"/>
      <c r="D45" s="1783" t="s">
        <v>189</v>
      </c>
      <c r="E45" s="1816"/>
      <c r="F45" s="1782"/>
      <c r="G45" s="1782"/>
      <c r="H45" s="1782"/>
      <c r="I45" s="1782"/>
      <c r="J45" s="1782"/>
      <c r="K45" s="1782"/>
      <c r="L45" s="1782"/>
      <c r="M45" s="1782"/>
      <c r="N45" s="1782"/>
      <c r="O45" s="1779">
        <f>+'6A'!J52</f>
        <v>48500</v>
      </c>
      <c r="P45" s="1780">
        <f t="shared" si="6"/>
        <v>31247</v>
      </c>
      <c r="Q45" s="1885">
        <v>31247</v>
      </c>
      <c r="R45" s="1886">
        <v>0</v>
      </c>
      <c r="S45" s="1780">
        <f t="shared" si="7"/>
        <v>17253</v>
      </c>
      <c r="T45" s="1886">
        <v>17253</v>
      </c>
      <c r="U45" s="1886">
        <v>0</v>
      </c>
      <c r="V45" s="1778"/>
    </row>
    <row r="46" spans="2:22" ht="15" customHeight="1" x14ac:dyDescent="0.2">
      <c r="B46" s="1758"/>
      <c r="C46" s="1773"/>
      <c r="D46" s="1781" t="s">
        <v>190</v>
      </c>
      <c r="E46" s="1817"/>
      <c r="F46" s="1782"/>
      <c r="G46" s="1782"/>
      <c r="H46" s="1782"/>
      <c r="I46" s="1782"/>
      <c r="J46" s="1782"/>
      <c r="K46" s="1782"/>
      <c r="L46" s="1782"/>
      <c r="M46" s="1782"/>
      <c r="N46" s="1782"/>
      <c r="O46" s="1779">
        <f>+'6A'!J53</f>
        <v>0</v>
      </c>
      <c r="P46" s="1780">
        <f t="shared" si="6"/>
        <v>0</v>
      </c>
      <c r="Q46" s="1885">
        <v>0</v>
      </c>
      <c r="R46" s="1886">
        <v>0</v>
      </c>
      <c r="S46" s="1780">
        <f t="shared" si="7"/>
        <v>0</v>
      </c>
      <c r="T46" s="1886">
        <v>0</v>
      </c>
      <c r="U46" s="1886">
        <v>0</v>
      </c>
      <c r="V46" s="1778"/>
    </row>
    <row r="47" spans="2:22" ht="15" customHeight="1" x14ac:dyDescent="0.2">
      <c r="B47" s="1758"/>
      <c r="C47" s="1773"/>
      <c r="D47" s="1781" t="s">
        <v>191</v>
      </c>
      <c r="E47" s="1818"/>
      <c r="F47" s="1782"/>
      <c r="G47" s="1782"/>
      <c r="H47" s="1782"/>
      <c r="I47" s="1782"/>
      <c r="J47" s="1782"/>
      <c r="K47" s="1782"/>
      <c r="L47" s="1782"/>
      <c r="M47" s="1782"/>
      <c r="N47" s="1782"/>
      <c r="O47" s="1779">
        <f>+'6A'!J54</f>
        <v>0</v>
      </c>
      <c r="P47" s="1780">
        <f t="shared" si="6"/>
        <v>0</v>
      </c>
      <c r="Q47" s="1885">
        <v>0</v>
      </c>
      <c r="R47" s="1886">
        <v>0</v>
      </c>
      <c r="S47" s="1780">
        <f t="shared" si="7"/>
        <v>0</v>
      </c>
      <c r="T47" s="1886">
        <v>0</v>
      </c>
      <c r="U47" s="1886">
        <v>0</v>
      </c>
      <c r="V47" s="1778"/>
    </row>
    <row r="48" spans="2:22" ht="15" customHeight="1" x14ac:dyDescent="0.2">
      <c r="B48" s="1758"/>
      <c r="C48" s="1773"/>
      <c r="D48" s="1781" t="s">
        <v>192</v>
      </c>
      <c r="E48" s="1775"/>
      <c r="F48" s="1809"/>
      <c r="G48" s="1809"/>
      <c r="H48" s="1809"/>
      <c r="I48" s="1809"/>
      <c r="J48" s="1809"/>
      <c r="K48" s="1809"/>
      <c r="L48" s="1809"/>
      <c r="M48" s="1809"/>
      <c r="N48" s="1809"/>
      <c r="O48" s="1779">
        <f>+'6A'!J55</f>
        <v>45000</v>
      </c>
      <c r="P48" s="1780">
        <f t="shared" si="6"/>
        <v>10000</v>
      </c>
      <c r="Q48" s="1885">
        <v>10000</v>
      </c>
      <c r="R48" s="1886">
        <v>0</v>
      </c>
      <c r="S48" s="1780">
        <f t="shared" si="7"/>
        <v>35000</v>
      </c>
      <c r="T48" s="1886">
        <v>35000</v>
      </c>
      <c r="U48" s="1886">
        <v>0</v>
      </c>
      <c r="V48" s="1778"/>
    </row>
    <row r="49" spans="2:25" ht="15" customHeight="1" x14ac:dyDescent="0.2">
      <c r="B49" s="1758"/>
      <c r="C49" s="1773"/>
      <c r="D49" s="1783" t="s">
        <v>193</v>
      </c>
      <c r="E49" s="1775"/>
      <c r="F49" s="1782"/>
      <c r="G49" s="1782"/>
      <c r="H49" s="1782"/>
      <c r="I49" s="1782"/>
      <c r="J49" s="1782"/>
      <c r="K49" s="1782"/>
      <c r="L49" s="1782"/>
      <c r="M49" s="1782"/>
      <c r="N49" s="1782"/>
      <c r="O49" s="1779">
        <f>+'6A'!J56</f>
        <v>3708142</v>
      </c>
      <c r="P49" s="1780">
        <f t="shared" si="6"/>
        <v>1837982</v>
      </c>
      <c r="Q49" s="1885">
        <v>1837982</v>
      </c>
      <c r="R49" s="1886">
        <v>0</v>
      </c>
      <c r="S49" s="1780">
        <f t="shared" si="7"/>
        <v>1870160</v>
      </c>
      <c r="T49" s="1886">
        <v>1870160</v>
      </c>
      <c r="U49" s="1886">
        <v>0</v>
      </c>
      <c r="V49" s="1778"/>
    </row>
    <row r="50" spans="2:25" ht="15" customHeight="1" x14ac:dyDescent="0.2">
      <c r="B50" s="1758"/>
      <c r="C50" s="1773"/>
      <c r="D50" s="1783" t="s">
        <v>194</v>
      </c>
      <c r="E50" s="1775"/>
      <c r="F50" s="1782"/>
      <c r="G50" s="1782"/>
      <c r="H50" s="1782"/>
      <c r="I50" s="1782"/>
      <c r="J50" s="1782"/>
      <c r="K50" s="1782"/>
      <c r="L50" s="1782"/>
      <c r="M50" s="1782"/>
      <c r="N50" s="1782"/>
      <c r="O50" s="1779">
        <f>+'6A'!J57</f>
        <v>500000</v>
      </c>
      <c r="P50" s="1780">
        <f t="shared" si="6"/>
        <v>322131</v>
      </c>
      <c r="Q50" s="1885">
        <v>322131</v>
      </c>
      <c r="R50" s="1886">
        <v>0</v>
      </c>
      <c r="S50" s="1780">
        <f t="shared" si="7"/>
        <v>177869</v>
      </c>
      <c r="T50" s="1886">
        <v>177869</v>
      </c>
      <c r="U50" s="1886">
        <v>0</v>
      </c>
      <c r="V50" s="1778"/>
    </row>
    <row r="51" spans="2:25" ht="15" customHeight="1" x14ac:dyDescent="0.2">
      <c r="B51" s="1758"/>
      <c r="C51" s="1773"/>
      <c r="D51" s="1783" t="s">
        <v>195</v>
      </c>
      <c r="E51" s="1809"/>
      <c r="F51" s="1785"/>
      <c r="G51" s="1785"/>
      <c r="H51" s="1785"/>
      <c r="I51" s="1785"/>
      <c r="J51" s="1785"/>
      <c r="K51" s="1785"/>
      <c r="L51" s="1785"/>
      <c r="M51" s="1785"/>
      <c r="N51" s="1785"/>
      <c r="O51" s="1779">
        <f>+'6A'!J58</f>
        <v>75000</v>
      </c>
      <c r="P51" s="1780">
        <f t="shared" si="6"/>
        <v>45000</v>
      </c>
      <c r="Q51" s="1889">
        <v>45000</v>
      </c>
      <c r="R51" s="1890">
        <v>0</v>
      </c>
      <c r="S51" s="1780">
        <f t="shared" si="7"/>
        <v>30000</v>
      </c>
      <c r="T51" s="1890">
        <v>30000</v>
      </c>
      <c r="U51" s="1890">
        <v>0</v>
      </c>
      <c r="V51" s="1787"/>
    </row>
    <row r="52" spans="2:25" ht="15" customHeight="1" x14ac:dyDescent="0.2">
      <c r="B52" s="1758"/>
      <c r="C52" s="1773"/>
      <c r="D52" s="1783" t="s">
        <v>196</v>
      </c>
      <c r="E52" s="1809"/>
      <c r="F52" s="1785"/>
      <c r="G52" s="1785"/>
      <c r="H52" s="1785"/>
      <c r="I52" s="1785"/>
      <c r="J52" s="1785"/>
      <c r="K52" s="1785"/>
      <c r="L52" s="1785"/>
      <c r="M52" s="1785"/>
      <c r="N52" s="1785"/>
      <c r="O52" s="1779">
        <f>+'6A'!J59</f>
        <v>125000</v>
      </c>
      <c r="P52" s="1780">
        <f t="shared" si="6"/>
        <v>81700</v>
      </c>
      <c r="Q52" s="1891">
        <v>81700</v>
      </c>
      <c r="R52" s="1892">
        <v>0</v>
      </c>
      <c r="S52" s="1780">
        <f t="shared" si="7"/>
        <v>43300</v>
      </c>
      <c r="T52" s="1892">
        <f>43300</f>
        <v>43300</v>
      </c>
      <c r="U52" s="1892">
        <v>0</v>
      </c>
      <c r="V52" s="1787"/>
    </row>
    <row r="53" spans="2:25" ht="15" customHeight="1" x14ac:dyDescent="0.2">
      <c r="B53" s="1758"/>
      <c r="C53" s="1773"/>
      <c r="D53" s="56" t="s">
        <v>473</v>
      </c>
      <c r="F53" s="2371"/>
      <c r="G53" s="2372"/>
      <c r="H53" s="2372"/>
      <c r="I53" s="2372"/>
      <c r="J53" s="2373"/>
      <c r="L53" s="1785"/>
      <c r="M53" s="1785"/>
      <c r="N53" s="1785"/>
      <c r="O53" s="1779">
        <f>+'6A'!J60</f>
        <v>0</v>
      </c>
      <c r="P53" s="1813">
        <f t="shared" si="6"/>
        <v>0</v>
      </c>
      <c r="Q53" s="1887">
        <v>0</v>
      </c>
      <c r="R53" s="1888">
        <v>0</v>
      </c>
      <c r="S53" s="1813">
        <f t="shared" si="7"/>
        <v>0</v>
      </c>
      <c r="T53" s="1888">
        <v>0</v>
      </c>
      <c r="U53" s="1888">
        <v>0</v>
      </c>
      <c r="V53" s="1787"/>
    </row>
    <row r="54" spans="2:25" ht="15" customHeight="1" thickBot="1" x14ac:dyDescent="0.25">
      <c r="B54" s="1758"/>
      <c r="C54" s="1788"/>
      <c r="D54" s="1775"/>
      <c r="E54" s="1775"/>
      <c r="F54" s="1773"/>
      <c r="G54" s="1789"/>
      <c r="H54" s="1789"/>
      <c r="I54" s="1789"/>
      <c r="J54" s="1789"/>
      <c r="K54" s="1789"/>
      <c r="L54" s="1789"/>
      <c r="M54" s="1789"/>
      <c r="N54" s="1790" t="s">
        <v>167</v>
      </c>
      <c r="O54" s="1791">
        <f>P54+S54</f>
        <v>7221545</v>
      </c>
      <c r="P54" s="1792">
        <f t="shared" ref="P54:U54" si="8">SUM(P41:P53)</f>
        <v>4076063</v>
      </c>
      <c r="Q54" s="1793">
        <f t="shared" si="8"/>
        <v>4076063</v>
      </c>
      <c r="R54" s="1793">
        <f t="shared" si="8"/>
        <v>0</v>
      </c>
      <c r="S54" s="1792">
        <f t="shared" si="8"/>
        <v>3145482</v>
      </c>
      <c r="T54" s="1794">
        <f t="shared" si="8"/>
        <v>3145482</v>
      </c>
      <c r="U54" s="1794">
        <f t="shared" si="8"/>
        <v>0</v>
      </c>
      <c r="V54" s="1795"/>
      <c r="W54" s="1773"/>
      <c r="X54" s="1773"/>
      <c r="Y54" s="1755"/>
    </row>
    <row r="55" spans="2:25" ht="3.75" customHeight="1" thickBot="1" x14ac:dyDescent="0.25">
      <c r="B55" s="1820"/>
      <c r="C55" s="1821"/>
      <c r="D55" s="1821"/>
      <c r="E55" s="1821"/>
      <c r="F55" s="1822"/>
      <c r="G55" s="1822"/>
      <c r="H55" s="1822"/>
      <c r="I55" s="1822"/>
      <c r="J55" s="1822"/>
      <c r="K55" s="1822"/>
      <c r="L55" s="1822"/>
      <c r="M55" s="1822"/>
      <c r="N55" s="1822"/>
      <c r="O55" s="1823"/>
      <c r="P55" s="1823"/>
      <c r="Q55" s="1824"/>
      <c r="R55" s="1825"/>
      <c r="S55" s="1823"/>
      <c r="T55" s="1825"/>
      <c r="U55" s="1826"/>
      <c r="V55" s="1827"/>
      <c r="W55" s="1773"/>
      <c r="X55" s="1773"/>
      <c r="Y55" s="1755"/>
    </row>
    <row r="56" spans="2:25" ht="15" customHeight="1" thickBot="1" x14ac:dyDescent="0.25">
      <c r="B56" s="1758"/>
      <c r="C56" s="1799" t="s">
        <v>197</v>
      </c>
      <c r="D56" s="1800"/>
      <c r="E56" s="1800"/>
      <c r="F56" s="1801"/>
      <c r="G56" s="1801"/>
      <c r="H56" s="1801"/>
      <c r="I56" s="1801"/>
      <c r="J56" s="1801"/>
      <c r="K56" s="1801"/>
      <c r="L56" s="1801"/>
      <c r="M56" s="1801"/>
      <c r="N56" s="1801"/>
      <c r="O56" s="1796"/>
      <c r="P56" s="1796"/>
      <c r="Q56" s="1797"/>
      <c r="R56" s="1797"/>
      <c r="S56" s="1796"/>
      <c r="T56" s="1797"/>
      <c r="U56" s="1803"/>
      <c r="V56" s="1828"/>
      <c r="W56" s="1773"/>
      <c r="X56" s="1773"/>
      <c r="Y56" s="1755"/>
    </row>
    <row r="57" spans="2:25" ht="15" customHeight="1" x14ac:dyDescent="0.2">
      <c r="B57" s="1758"/>
      <c r="C57" s="1773"/>
      <c r="D57" s="1781" t="s">
        <v>198</v>
      </c>
      <c r="E57" s="1829"/>
      <c r="F57" s="1775"/>
      <c r="G57" s="1775"/>
      <c r="H57" s="1775"/>
      <c r="I57" s="1775"/>
      <c r="J57" s="1775"/>
      <c r="K57" s="1775"/>
      <c r="L57" s="1775"/>
      <c r="M57" s="1775"/>
      <c r="N57" s="1775"/>
      <c r="O57" s="1776">
        <f>+'6A'!J64</f>
        <v>0</v>
      </c>
      <c r="P57" s="1804">
        <f>Q57+R57</f>
        <v>0</v>
      </c>
      <c r="Q57" s="1883">
        <v>0</v>
      </c>
      <c r="R57" s="1884">
        <v>0</v>
      </c>
      <c r="S57" s="1804">
        <f>T57+U57</f>
        <v>0</v>
      </c>
      <c r="T57" s="1884">
        <v>0</v>
      </c>
      <c r="U57" s="1884">
        <v>0</v>
      </c>
      <c r="V57" s="1778"/>
      <c r="W57" s="1773"/>
      <c r="X57" s="1773"/>
      <c r="Y57" s="1755"/>
    </row>
    <row r="58" spans="2:25" ht="15" customHeight="1" x14ac:dyDescent="0.2">
      <c r="B58" s="1758"/>
      <c r="C58" s="1773"/>
      <c r="D58" s="1781" t="s">
        <v>199</v>
      </c>
      <c r="E58" s="1829"/>
      <c r="F58" s="1775"/>
      <c r="G58" s="1775"/>
      <c r="H58" s="1775"/>
      <c r="I58" s="1775"/>
      <c r="J58" s="1775"/>
      <c r="K58" s="1775"/>
      <c r="L58" s="1775"/>
      <c r="M58" s="1775"/>
      <c r="N58" s="1775"/>
      <c r="O58" s="1779">
        <f>+'6A'!J65</f>
        <v>0</v>
      </c>
      <c r="P58" s="1780">
        <f>Q58+R58</f>
        <v>0</v>
      </c>
      <c r="Q58" s="1893">
        <v>0</v>
      </c>
      <c r="R58" s="1894">
        <v>0</v>
      </c>
      <c r="S58" s="1780">
        <f>T58+U58</f>
        <v>0</v>
      </c>
      <c r="T58" s="1894">
        <v>0</v>
      </c>
      <c r="U58" s="1894">
        <v>0</v>
      </c>
      <c r="V58" s="1778"/>
      <c r="W58" s="1773"/>
      <c r="X58" s="1773"/>
      <c r="Y58" s="1755"/>
    </row>
    <row r="59" spans="2:25" ht="15" customHeight="1" thickBot="1" x14ac:dyDescent="0.25">
      <c r="B59" s="1758"/>
      <c r="C59" s="1788"/>
      <c r="D59" s="1775"/>
      <c r="E59" s="1775"/>
      <c r="F59" s="1773"/>
      <c r="G59" s="1789"/>
      <c r="H59" s="1789"/>
      <c r="I59" s="1789"/>
      <c r="J59" s="1789"/>
      <c r="K59" s="1789"/>
      <c r="L59" s="1789"/>
      <c r="M59" s="1789"/>
      <c r="N59" s="1790" t="s">
        <v>167</v>
      </c>
      <c r="O59" s="1791">
        <f>P59+S59</f>
        <v>0</v>
      </c>
      <c r="P59" s="1792">
        <f t="shared" ref="P59:U59" si="9">SUM(P57:P58)</f>
        <v>0</v>
      </c>
      <c r="Q59" s="1793">
        <f t="shared" si="9"/>
        <v>0</v>
      </c>
      <c r="R59" s="1793">
        <f t="shared" si="9"/>
        <v>0</v>
      </c>
      <c r="S59" s="1792">
        <f t="shared" si="9"/>
        <v>0</v>
      </c>
      <c r="T59" s="1794">
        <f t="shared" si="9"/>
        <v>0</v>
      </c>
      <c r="U59" s="1794">
        <f t="shared" si="9"/>
        <v>0</v>
      </c>
      <c r="V59" s="1795"/>
      <c r="W59" s="1773"/>
      <c r="X59" s="1773"/>
      <c r="Y59" s="1797"/>
    </row>
    <row r="60" spans="2:25" ht="3.75" customHeight="1" x14ac:dyDescent="0.2">
      <c r="B60" s="1758"/>
      <c r="C60" s="1775"/>
      <c r="D60" s="1829"/>
      <c r="E60" s="1829"/>
      <c r="F60" s="1775"/>
      <c r="G60" s="1775"/>
      <c r="H60" s="1775"/>
      <c r="I60" s="1775"/>
      <c r="J60" s="1775"/>
      <c r="K60" s="1775"/>
      <c r="L60" s="1775"/>
      <c r="M60" s="1775"/>
      <c r="N60" s="1775"/>
      <c r="O60" s="1796"/>
      <c r="P60" s="1796"/>
      <c r="Q60" s="1797"/>
      <c r="R60" s="1797"/>
      <c r="S60" s="1796"/>
      <c r="T60" s="1797"/>
      <c r="U60" s="1798"/>
      <c r="V60" s="1828"/>
      <c r="W60" s="1773"/>
      <c r="X60" s="1773"/>
      <c r="Y60" s="1797"/>
    </row>
    <row r="61" spans="2:25" ht="15" customHeight="1" thickBot="1" x14ac:dyDescent="0.25">
      <c r="B61" s="1758"/>
      <c r="C61" s="1799" t="s">
        <v>200</v>
      </c>
      <c r="D61" s="1800"/>
      <c r="E61" s="1800"/>
      <c r="F61" s="1801"/>
      <c r="G61" s="1801"/>
      <c r="H61" s="1801"/>
      <c r="I61" s="1801"/>
      <c r="J61" s="1801"/>
      <c r="K61" s="1801"/>
      <c r="L61" s="1801"/>
      <c r="M61" s="1801"/>
      <c r="N61" s="1801"/>
      <c r="O61" s="1796"/>
      <c r="P61" s="1796"/>
      <c r="Q61" s="1797"/>
      <c r="R61" s="1797"/>
      <c r="S61" s="1796"/>
      <c r="T61" s="1797"/>
      <c r="U61" s="1803"/>
      <c r="V61" s="1828"/>
      <c r="W61" s="1773"/>
      <c r="X61" s="1773"/>
      <c r="Y61" s="1755"/>
    </row>
    <row r="62" spans="2:25" ht="15" customHeight="1" x14ac:dyDescent="0.2">
      <c r="B62" s="1758"/>
      <c r="C62" s="1773"/>
      <c r="D62" s="1781" t="s">
        <v>201</v>
      </c>
      <c r="E62" s="1829"/>
      <c r="F62" s="1775"/>
      <c r="G62" s="1775"/>
      <c r="H62" s="1775"/>
      <c r="I62" s="1775"/>
      <c r="J62" s="1775"/>
      <c r="K62" s="1775"/>
      <c r="L62" s="1775"/>
      <c r="M62" s="1775"/>
      <c r="N62" s="1775"/>
      <c r="O62" s="1776">
        <f>+'6A'!J69</f>
        <v>278827</v>
      </c>
      <c r="P62" s="1804">
        <f>Q62+R62</f>
        <v>195000</v>
      </c>
      <c r="Q62" s="1883">
        <v>195000</v>
      </c>
      <c r="R62" s="1884">
        <v>0</v>
      </c>
      <c r="S62" s="1804">
        <f>T62+U62</f>
        <v>83827</v>
      </c>
      <c r="T62" s="1884">
        <f>143827-30000-30000</f>
        <v>83827</v>
      </c>
      <c r="U62" s="1884">
        <v>0</v>
      </c>
      <c r="V62" s="1778"/>
      <c r="W62" s="1773"/>
      <c r="X62" s="1773"/>
      <c r="Y62" s="1755"/>
    </row>
    <row r="63" spans="2:25" ht="15" customHeight="1" x14ac:dyDescent="0.2">
      <c r="B63" s="1758"/>
      <c r="C63" s="1773"/>
      <c r="D63" s="1781" t="s">
        <v>202</v>
      </c>
      <c r="E63" s="1829"/>
      <c r="F63" s="1775"/>
      <c r="G63" s="1775"/>
      <c r="H63" s="1775"/>
      <c r="I63" s="1775"/>
      <c r="J63" s="1775"/>
      <c r="K63" s="1775"/>
      <c r="L63" s="1775"/>
      <c r="M63" s="1775"/>
      <c r="N63" s="1775"/>
      <c r="O63" s="1779">
        <f>+'6A'!J70</f>
        <v>60000</v>
      </c>
      <c r="P63" s="1780">
        <f>Q63+R63</f>
        <v>30000</v>
      </c>
      <c r="Q63" s="1885">
        <v>30000</v>
      </c>
      <c r="R63" s="1886">
        <v>0</v>
      </c>
      <c r="S63" s="1780">
        <f>T63+U63</f>
        <v>30000</v>
      </c>
      <c r="T63" s="1886">
        <f>60000-30000</f>
        <v>30000</v>
      </c>
      <c r="U63" s="1886">
        <v>0</v>
      </c>
      <c r="V63" s="1778"/>
      <c r="W63" s="1773"/>
      <c r="X63" s="1773"/>
      <c r="Y63" s="1755"/>
    </row>
    <row r="64" spans="2:25" ht="15" customHeight="1" x14ac:dyDescent="0.2">
      <c r="B64" s="1758"/>
      <c r="C64" s="1773"/>
      <c r="D64" s="1781" t="s">
        <v>203</v>
      </c>
      <c r="E64" s="1829"/>
      <c r="F64" s="1775"/>
      <c r="G64" s="1775"/>
      <c r="H64" s="1775"/>
      <c r="I64" s="1775"/>
      <c r="J64" s="1775"/>
      <c r="K64" s="1775"/>
      <c r="L64" s="1775"/>
      <c r="M64" s="1775"/>
      <c r="N64" s="1775"/>
      <c r="O64" s="1779">
        <f>+'6A'!J71</f>
        <v>100000</v>
      </c>
      <c r="P64" s="1780">
        <f>Q64+R64</f>
        <v>41144</v>
      </c>
      <c r="Q64" s="1885">
        <f>5000+36144</f>
        <v>41144</v>
      </c>
      <c r="R64" s="1886">
        <v>0</v>
      </c>
      <c r="S64" s="1780">
        <f>T64+U64</f>
        <v>58856</v>
      </c>
      <c r="T64" s="1886">
        <f>30000+23856+5000</f>
        <v>58856</v>
      </c>
      <c r="U64" s="1886">
        <v>0</v>
      </c>
      <c r="V64" s="1778"/>
    </row>
    <row r="65" spans="2:24" ht="15" customHeight="1" x14ac:dyDescent="0.2">
      <c r="B65" s="1758"/>
      <c r="C65" s="1773"/>
      <c r="D65" s="1781" t="s">
        <v>204</v>
      </c>
      <c r="E65" s="1829"/>
      <c r="F65" s="1775"/>
      <c r="G65" s="1775"/>
      <c r="H65" s="1775"/>
      <c r="I65" s="1775"/>
      <c r="J65" s="1775"/>
      <c r="K65" s="1775"/>
      <c r="L65" s="1775"/>
      <c r="M65" s="1775"/>
      <c r="N65" s="1775"/>
      <c r="O65" s="1779">
        <f>+'6A'!J72</f>
        <v>376247</v>
      </c>
      <c r="P65" s="1780">
        <f>Q65+R65</f>
        <v>277748</v>
      </c>
      <c r="Q65" s="1885">
        <f>201753+19328+56667</f>
        <v>277748</v>
      </c>
      <c r="R65" s="1886">
        <v>0</v>
      </c>
      <c r="S65" s="1780">
        <f>T65+U65</f>
        <v>98499</v>
      </c>
      <c r="T65" s="1886">
        <f>38928+48899+10672</f>
        <v>98499</v>
      </c>
      <c r="U65" s="1886">
        <v>0</v>
      </c>
      <c r="V65" s="1778"/>
    </row>
    <row r="66" spans="2:24" ht="15" customHeight="1" x14ac:dyDescent="0.2">
      <c r="B66" s="1758"/>
      <c r="C66" s="1773"/>
      <c r="D66" s="1781" t="s">
        <v>205</v>
      </c>
      <c r="E66" s="1829"/>
      <c r="F66" s="1775"/>
      <c r="G66" s="1775"/>
      <c r="H66" s="1775"/>
      <c r="I66" s="1775"/>
      <c r="J66" s="1775"/>
      <c r="K66" s="1775"/>
      <c r="L66" s="1775"/>
      <c r="M66" s="1775"/>
      <c r="N66" s="1775"/>
      <c r="O66" s="1779">
        <f>+'6A'!J73</f>
        <v>538523</v>
      </c>
      <c r="P66" s="1813">
        <f>Q66+R66</f>
        <v>370869</v>
      </c>
      <c r="Q66" s="1893">
        <v>370869</v>
      </c>
      <c r="R66" s="1894">
        <v>0</v>
      </c>
      <c r="S66" s="1813">
        <f>T66+U66</f>
        <v>167654</v>
      </c>
      <c r="T66" s="1894">
        <v>167654</v>
      </c>
      <c r="U66" s="1894">
        <v>0</v>
      </c>
      <c r="V66" s="1778"/>
    </row>
    <row r="67" spans="2:24" ht="15" customHeight="1" thickBot="1" x14ac:dyDescent="0.25">
      <c r="B67" s="1758"/>
      <c r="C67" s="1788"/>
      <c r="D67" s="1775"/>
      <c r="E67" s="1775"/>
      <c r="F67" s="1773"/>
      <c r="G67" s="1789"/>
      <c r="H67" s="1789"/>
      <c r="I67" s="1789"/>
      <c r="J67" s="1789"/>
      <c r="K67" s="1789"/>
      <c r="L67" s="1789"/>
      <c r="M67" s="1789"/>
      <c r="N67" s="1790" t="s">
        <v>167</v>
      </c>
      <c r="O67" s="1791">
        <f>P67+S67</f>
        <v>1353597</v>
      </c>
      <c r="P67" s="1792">
        <f t="shared" ref="P67:U67" si="10">SUM(P62:P66)</f>
        <v>914761</v>
      </c>
      <c r="Q67" s="1793">
        <f t="shared" si="10"/>
        <v>914761</v>
      </c>
      <c r="R67" s="1793">
        <f t="shared" si="10"/>
        <v>0</v>
      </c>
      <c r="S67" s="1792">
        <f t="shared" si="10"/>
        <v>438836</v>
      </c>
      <c r="T67" s="1794">
        <f t="shared" si="10"/>
        <v>438836</v>
      </c>
      <c r="U67" s="1794">
        <f t="shared" si="10"/>
        <v>0</v>
      </c>
      <c r="V67" s="1795"/>
      <c r="X67" s="1985"/>
    </row>
    <row r="68" spans="2:24" ht="3.75" customHeight="1" x14ac:dyDescent="0.2">
      <c r="B68" s="1758"/>
      <c r="C68" s="1775"/>
      <c r="D68" s="1829"/>
      <c r="E68" s="1829"/>
      <c r="F68" s="1775"/>
      <c r="G68" s="1775"/>
      <c r="H68" s="1775"/>
      <c r="I68" s="1775"/>
      <c r="J68" s="1775"/>
      <c r="K68" s="1775"/>
      <c r="L68" s="1775"/>
      <c r="M68" s="1775"/>
      <c r="N68" s="1775"/>
      <c r="O68" s="1796"/>
      <c r="P68" s="1796"/>
      <c r="Q68" s="1797"/>
      <c r="R68" s="1797"/>
      <c r="S68" s="1796"/>
      <c r="T68" s="1797"/>
      <c r="U68" s="1798"/>
      <c r="V68" s="1772"/>
    </row>
    <row r="69" spans="2:24" ht="15" customHeight="1" thickBot="1" x14ac:dyDescent="0.25">
      <c r="B69" s="1758"/>
      <c r="C69" s="1799" t="s">
        <v>206</v>
      </c>
      <c r="D69" s="1800"/>
      <c r="E69" s="1800"/>
      <c r="F69" s="1801"/>
      <c r="G69" s="1801"/>
      <c r="H69" s="1801"/>
      <c r="I69" s="1801"/>
      <c r="J69" s="1801"/>
      <c r="K69" s="1801"/>
      <c r="L69" s="1801"/>
      <c r="M69" s="1801"/>
      <c r="N69" s="1801"/>
      <c r="O69" s="1796"/>
      <c r="P69" s="1796"/>
      <c r="Q69" s="1797"/>
      <c r="R69" s="1797"/>
      <c r="S69" s="1796"/>
      <c r="T69" s="1797"/>
      <c r="U69" s="1803"/>
      <c r="V69" s="1772"/>
    </row>
    <row r="70" spans="2:24" ht="15" customHeight="1" x14ac:dyDescent="0.2">
      <c r="B70" s="1758"/>
      <c r="C70" s="1773"/>
      <c r="D70" s="1781" t="s">
        <v>207</v>
      </c>
      <c r="E70" s="1829"/>
      <c r="F70" s="1775"/>
      <c r="G70" s="1775"/>
      <c r="H70" s="1775"/>
      <c r="I70" s="1775"/>
      <c r="J70" s="1775"/>
      <c r="K70" s="1775"/>
      <c r="L70" s="1775"/>
      <c r="M70" s="1775"/>
      <c r="N70" s="1775"/>
      <c r="O70" s="1776">
        <f>+'6A'!J77</f>
        <v>60320</v>
      </c>
      <c r="P70" s="1804">
        <f t="shared" ref="P70:P77" si="11">Q70+R70</f>
        <v>60320</v>
      </c>
      <c r="Q70" s="1883">
        <v>60320</v>
      </c>
      <c r="R70" s="1884">
        <v>0</v>
      </c>
      <c r="S70" s="1804">
        <f t="shared" ref="S70:S77" si="12">T70+U70</f>
        <v>0</v>
      </c>
      <c r="T70" s="1884">
        <v>0</v>
      </c>
      <c r="U70" s="1884">
        <v>0</v>
      </c>
      <c r="V70" s="1778"/>
    </row>
    <row r="71" spans="2:24" ht="15" customHeight="1" x14ac:dyDescent="0.2">
      <c r="B71" s="1758"/>
      <c r="C71" s="1773"/>
      <c r="D71" s="1781" t="s">
        <v>208</v>
      </c>
      <c r="E71" s="1829"/>
      <c r="F71" s="1775"/>
      <c r="G71" s="1775"/>
      <c r="H71" s="1775"/>
      <c r="I71" s="1775"/>
      <c r="J71" s="1775"/>
      <c r="K71" s="1775"/>
      <c r="L71" s="1775"/>
      <c r="M71" s="1775"/>
      <c r="N71" s="1775"/>
      <c r="O71" s="1779">
        <f>+'6A'!J78</f>
        <v>0</v>
      </c>
      <c r="P71" s="1780">
        <f t="shared" si="11"/>
        <v>0</v>
      </c>
      <c r="Q71" s="1885">
        <v>0</v>
      </c>
      <c r="R71" s="1886">
        <v>0</v>
      </c>
      <c r="S71" s="1780">
        <f t="shared" si="12"/>
        <v>0</v>
      </c>
      <c r="T71" s="1886">
        <v>0</v>
      </c>
      <c r="U71" s="1886">
        <v>0</v>
      </c>
      <c r="V71" s="1778"/>
    </row>
    <row r="72" spans="2:24" ht="15" customHeight="1" x14ac:dyDescent="0.2">
      <c r="B72" s="1758"/>
      <c r="C72" s="1773"/>
      <c r="D72" s="1781" t="s">
        <v>209</v>
      </c>
      <c r="E72" s="1829"/>
      <c r="F72" s="1775"/>
      <c r="G72" s="1775"/>
      <c r="H72" s="1775"/>
      <c r="I72" s="1775"/>
      <c r="J72" s="1775"/>
      <c r="K72" s="1775"/>
      <c r="L72" s="1775"/>
      <c r="M72" s="1775"/>
      <c r="N72" s="1775"/>
      <c r="O72" s="1779">
        <f>+'6A'!J79</f>
        <v>0</v>
      </c>
      <c r="P72" s="1780">
        <f t="shared" si="11"/>
        <v>0</v>
      </c>
      <c r="Q72" s="1885">
        <v>0</v>
      </c>
      <c r="R72" s="1886">
        <v>0</v>
      </c>
      <c r="S72" s="1780">
        <f t="shared" si="12"/>
        <v>0</v>
      </c>
      <c r="T72" s="1886"/>
      <c r="U72" s="1886">
        <v>0</v>
      </c>
      <c r="V72" s="1778"/>
    </row>
    <row r="73" spans="2:24" ht="15" customHeight="1" x14ac:dyDescent="0.2">
      <c r="B73" s="1758"/>
      <c r="C73" s="1773"/>
      <c r="D73" s="1784" t="s">
        <v>210</v>
      </c>
      <c r="E73" s="1775"/>
      <c r="F73" s="1775"/>
      <c r="G73" s="1775"/>
      <c r="H73" s="1775"/>
      <c r="I73" s="1775"/>
      <c r="J73" s="1775"/>
      <c r="K73" s="1775"/>
      <c r="L73" s="1775"/>
      <c r="M73" s="1775"/>
      <c r="N73" s="1775"/>
      <c r="O73" s="1779">
        <f>+'6A'!J80</f>
        <v>141345</v>
      </c>
      <c r="P73" s="1780">
        <f t="shared" si="11"/>
        <v>60342</v>
      </c>
      <c r="Q73" s="1885">
        <f>7500+48882+3960</f>
        <v>60342</v>
      </c>
      <c r="R73" s="1886">
        <v>0</v>
      </c>
      <c r="S73" s="1780">
        <f t="shared" si="12"/>
        <v>81003</v>
      </c>
      <c r="T73" s="1886">
        <f>77938+1800+1265</f>
        <v>81003</v>
      </c>
      <c r="U73" s="1886">
        <v>0</v>
      </c>
      <c r="V73" s="1778"/>
    </row>
    <row r="74" spans="2:24" ht="15" customHeight="1" x14ac:dyDescent="0.2">
      <c r="B74" s="1758"/>
      <c r="C74" s="1773"/>
      <c r="D74" s="1784" t="s">
        <v>211</v>
      </c>
      <c r="E74" s="1775"/>
      <c r="F74" s="1775"/>
      <c r="G74" s="1775"/>
      <c r="H74" s="1775"/>
      <c r="I74" s="1775"/>
      <c r="J74" s="1775"/>
      <c r="K74" s="1775"/>
      <c r="L74" s="1775"/>
      <c r="M74" s="1775"/>
      <c r="N74" s="1775"/>
      <c r="O74" s="1779">
        <f>+'6A'!J81</f>
        <v>87500</v>
      </c>
      <c r="P74" s="1780">
        <f t="shared" si="11"/>
        <v>45000</v>
      </c>
      <c r="Q74" s="1885">
        <v>45000</v>
      </c>
      <c r="R74" s="1886">
        <v>0</v>
      </c>
      <c r="S74" s="1780">
        <f t="shared" si="12"/>
        <v>42500</v>
      </c>
      <c r="T74" s="1886">
        <v>42500</v>
      </c>
      <c r="U74" s="1886">
        <v>0</v>
      </c>
      <c r="V74" s="1778"/>
    </row>
    <row r="75" spans="2:24" ht="15" customHeight="1" x14ac:dyDescent="0.2">
      <c r="B75" s="1758"/>
      <c r="C75" s="1773"/>
      <c r="D75" s="1784" t="s">
        <v>212</v>
      </c>
      <c r="E75" s="1775"/>
      <c r="F75" s="1775"/>
      <c r="G75" s="1775"/>
      <c r="H75" s="1775"/>
      <c r="I75" s="1775"/>
      <c r="J75" s="1775"/>
      <c r="K75" s="1775"/>
      <c r="L75" s="1775"/>
      <c r="M75" s="1775"/>
      <c r="N75" s="1775"/>
      <c r="O75" s="1779">
        <f>+'6A'!J82</f>
        <v>0</v>
      </c>
      <c r="P75" s="1780">
        <f t="shared" si="11"/>
        <v>0</v>
      </c>
      <c r="Q75" s="1885">
        <v>0</v>
      </c>
      <c r="R75" s="1886">
        <v>0</v>
      </c>
      <c r="S75" s="1780">
        <f t="shared" si="12"/>
        <v>0</v>
      </c>
      <c r="T75" s="1886">
        <v>0</v>
      </c>
      <c r="U75" s="1886">
        <v>0</v>
      </c>
      <c r="V75" s="1778"/>
    </row>
    <row r="76" spans="2:24" ht="15" customHeight="1" x14ac:dyDescent="0.2">
      <c r="B76" s="1758"/>
      <c r="C76" s="1773"/>
      <c r="D76" s="1783" t="s">
        <v>213</v>
      </c>
      <c r="E76" s="1829"/>
      <c r="F76" s="1775"/>
      <c r="G76" s="1775"/>
      <c r="H76" s="1775"/>
      <c r="I76" s="1775"/>
      <c r="J76" s="1775"/>
      <c r="K76" s="1775"/>
      <c r="L76" s="1775"/>
      <c r="M76" s="1775"/>
      <c r="N76" s="1775"/>
      <c r="O76" s="1779">
        <f>+'6A'!J83</f>
        <v>194000</v>
      </c>
      <c r="P76" s="1780">
        <f t="shared" si="11"/>
        <v>115000</v>
      </c>
      <c r="Q76" s="1885">
        <v>115000</v>
      </c>
      <c r="R76" s="1886">
        <v>0</v>
      </c>
      <c r="S76" s="1780">
        <f t="shared" si="12"/>
        <v>79000</v>
      </c>
      <c r="T76" s="1886">
        <v>79000</v>
      </c>
      <c r="U76" s="1886">
        <v>0</v>
      </c>
      <c r="V76" s="1778"/>
    </row>
    <row r="77" spans="2:24" ht="15" customHeight="1" x14ac:dyDescent="0.2">
      <c r="B77" s="1758"/>
      <c r="C77" s="1773"/>
      <c r="D77" s="1783" t="s">
        <v>240</v>
      </c>
      <c r="E77" s="1829"/>
      <c r="F77" s="1785"/>
      <c r="G77" s="1785"/>
      <c r="H77" s="1785"/>
      <c r="I77" s="1785"/>
      <c r="J77" s="1785"/>
      <c r="K77" s="1785"/>
      <c r="L77" s="1785"/>
      <c r="M77" s="1785"/>
      <c r="N77" s="1785"/>
      <c r="O77" s="1779">
        <f>+'6A'!J84</f>
        <v>0</v>
      </c>
      <c r="P77" s="1813">
        <f t="shared" si="11"/>
        <v>0</v>
      </c>
      <c r="Q77" s="1893"/>
      <c r="R77" s="1894">
        <v>0</v>
      </c>
      <c r="S77" s="1813">
        <f t="shared" si="12"/>
        <v>0</v>
      </c>
      <c r="T77" s="1894"/>
      <c r="U77" s="1894">
        <v>0</v>
      </c>
      <c r="V77" s="1778"/>
    </row>
    <row r="78" spans="2:24" ht="15" customHeight="1" thickBot="1" x14ac:dyDescent="0.25">
      <c r="B78" s="1758"/>
      <c r="C78" s="1788"/>
      <c r="D78" s="1775"/>
      <c r="E78" s="1775"/>
      <c r="F78" s="1773"/>
      <c r="G78" s="1789"/>
      <c r="H78" s="1789"/>
      <c r="I78" s="1789"/>
      <c r="J78" s="1789"/>
      <c r="K78" s="1789"/>
      <c r="L78" s="1789"/>
      <c r="M78" s="1789"/>
      <c r="N78" s="1790" t="s">
        <v>167</v>
      </c>
      <c r="O78" s="1791">
        <f>P78+S78</f>
        <v>483165</v>
      </c>
      <c r="P78" s="1792">
        <f t="shared" ref="P78:U78" si="13">SUM(P70:P77)</f>
        <v>280662</v>
      </c>
      <c r="Q78" s="1793">
        <f t="shared" si="13"/>
        <v>280662</v>
      </c>
      <c r="R78" s="1793">
        <f t="shared" si="13"/>
        <v>0</v>
      </c>
      <c r="S78" s="1792">
        <f t="shared" si="13"/>
        <v>202503</v>
      </c>
      <c r="T78" s="1794">
        <f t="shared" si="13"/>
        <v>202503</v>
      </c>
      <c r="U78" s="1794">
        <f t="shared" si="13"/>
        <v>0</v>
      </c>
      <c r="V78" s="1795"/>
    </row>
    <row r="79" spans="2:24" ht="3.75" customHeight="1" x14ac:dyDescent="0.2">
      <c r="B79" s="1758"/>
      <c r="C79" s="1775"/>
      <c r="D79" s="1775"/>
      <c r="E79" s="1775"/>
      <c r="F79" s="1775"/>
      <c r="G79" s="1775"/>
      <c r="H79" s="1775"/>
      <c r="I79" s="1775"/>
      <c r="J79" s="1775"/>
      <c r="K79" s="1775"/>
      <c r="L79" s="1775"/>
      <c r="M79" s="1775"/>
      <c r="N79" s="1775"/>
      <c r="O79" s="1796"/>
      <c r="P79" s="1796"/>
      <c r="Q79" s="1797"/>
      <c r="R79" s="1797"/>
      <c r="S79" s="1796"/>
      <c r="T79" s="1797"/>
      <c r="U79" s="1798"/>
      <c r="V79" s="1772"/>
    </row>
    <row r="80" spans="2:24" ht="15" customHeight="1" thickBot="1" x14ac:dyDescent="0.25">
      <c r="B80" s="1758"/>
      <c r="C80" s="1799" t="s">
        <v>214</v>
      </c>
      <c r="D80" s="1800"/>
      <c r="E80" s="1800"/>
      <c r="F80" s="1801"/>
      <c r="G80" s="1801"/>
      <c r="H80" s="1801"/>
      <c r="I80" s="1801"/>
      <c r="J80" s="1801"/>
      <c r="K80" s="1801"/>
      <c r="L80" s="1801"/>
      <c r="M80" s="1801"/>
      <c r="N80" s="1801"/>
      <c r="O80" s="1830"/>
      <c r="P80" s="1830"/>
      <c r="Q80" s="1831"/>
      <c r="R80" s="1831"/>
      <c r="S80" s="1830"/>
      <c r="T80" s="1831"/>
      <c r="U80" s="1832"/>
      <c r="V80" s="1772"/>
    </row>
    <row r="81" spans="2:22" ht="15" customHeight="1" x14ac:dyDescent="0.2">
      <c r="B81" s="1758"/>
      <c r="C81" s="1773"/>
      <c r="D81" s="1783" t="s">
        <v>215</v>
      </c>
      <c r="E81" s="1775"/>
      <c r="F81" s="1810"/>
      <c r="G81" s="1810"/>
      <c r="H81" s="1810"/>
      <c r="I81" s="1810"/>
      <c r="J81" s="1810"/>
      <c r="K81" s="1810"/>
      <c r="L81" s="1810"/>
      <c r="M81" s="1810"/>
      <c r="N81" s="1810"/>
      <c r="O81" s="1776">
        <f>+'6A'!J88</f>
        <v>624022</v>
      </c>
      <c r="P81" s="1804">
        <f>Q81+R81</f>
        <v>495526</v>
      </c>
      <c r="Q81" s="1883">
        <v>495526</v>
      </c>
      <c r="R81" s="1884">
        <v>0</v>
      </c>
      <c r="S81" s="1804">
        <f>T81+U81</f>
        <v>128496</v>
      </c>
      <c r="T81" s="1884">
        <v>128496</v>
      </c>
      <c r="U81" s="1884">
        <v>0</v>
      </c>
      <c r="V81" s="1778"/>
    </row>
    <row r="82" spans="2:22" ht="15" customHeight="1" x14ac:dyDescent="0.2">
      <c r="B82" s="1758"/>
      <c r="C82" s="1773"/>
      <c r="D82" s="1783" t="s">
        <v>216</v>
      </c>
      <c r="E82" s="1775"/>
      <c r="F82" s="1811"/>
      <c r="G82" s="1811"/>
      <c r="H82" s="1811"/>
      <c r="I82" s="1811"/>
      <c r="J82" s="1811"/>
      <c r="K82" s="1811"/>
      <c r="L82" s="1811"/>
      <c r="M82" s="1811"/>
      <c r="N82" s="1811"/>
      <c r="O82" s="2149">
        <f>+'6A'!J89</f>
        <v>44800.4</v>
      </c>
      <c r="P82" s="1780">
        <f>Q82+R82</f>
        <v>30800</v>
      </c>
      <c r="Q82" s="1885">
        <v>30800</v>
      </c>
      <c r="R82" s="1886">
        <v>0</v>
      </c>
      <c r="S82" s="1780">
        <f>T82+U82</f>
        <v>14000.4</v>
      </c>
      <c r="T82" s="1886">
        <v>14000.4</v>
      </c>
      <c r="U82" s="1886">
        <v>0</v>
      </c>
      <c r="V82" s="1778"/>
    </row>
    <row r="83" spans="2:22" ht="15" customHeight="1" x14ac:dyDescent="0.2">
      <c r="B83" s="1758"/>
      <c r="C83" s="1773"/>
      <c r="D83" s="1783" t="s">
        <v>242</v>
      </c>
      <c r="E83" s="1775"/>
      <c r="F83" s="1785"/>
      <c r="G83" s="1785"/>
      <c r="H83" s="1785"/>
      <c r="I83" s="1785"/>
      <c r="J83" s="1785"/>
      <c r="K83" s="1785"/>
      <c r="L83" s="1785"/>
      <c r="M83" s="1785"/>
      <c r="N83" s="1785"/>
      <c r="O83" s="1779">
        <f>+'6A'!J90</f>
        <v>0</v>
      </c>
      <c r="P83" s="1813">
        <f>Q83+R83</f>
        <v>0</v>
      </c>
      <c r="Q83" s="1893">
        <v>0</v>
      </c>
      <c r="R83" s="1894">
        <v>0</v>
      </c>
      <c r="S83" s="1813">
        <f>T83+U83</f>
        <v>0</v>
      </c>
      <c r="T83" s="1894">
        <v>0</v>
      </c>
      <c r="U83" s="1894">
        <v>0</v>
      </c>
      <c r="V83" s="1778"/>
    </row>
    <row r="84" spans="2:22" ht="15" customHeight="1" thickBot="1" x14ac:dyDescent="0.25">
      <c r="B84" s="1758"/>
      <c r="C84" s="1788"/>
      <c r="D84" s="1775"/>
      <c r="E84" s="1775"/>
      <c r="F84" s="1773"/>
      <c r="G84" s="1789"/>
      <c r="H84" s="1789"/>
      <c r="I84" s="1789"/>
      <c r="J84" s="1789"/>
      <c r="K84" s="1789"/>
      <c r="L84" s="1789"/>
      <c r="M84" s="1789"/>
      <c r="N84" s="1790" t="s">
        <v>167</v>
      </c>
      <c r="O84" s="1791">
        <f>P84+S84</f>
        <v>668822.4</v>
      </c>
      <c r="P84" s="1792">
        <f t="shared" ref="P84:U84" si="14">SUM(P81:P83)</f>
        <v>526326</v>
      </c>
      <c r="Q84" s="1793">
        <f t="shared" si="14"/>
        <v>526326</v>
      </c>
      <c r="R84" s="1793">
        <f t="shared" si="14"/>
        <v>0</v>
      </c>
      <c r="S84" s="1792">
        <f t="shared" si="14"/>
        <v>142496.4</v>
      </c>
      <c r="T84" s="1794">
        <f t="shared" si="14"/>
        <v>142496.4</v>
      </c>
      <c r="U84" s="1794">
        <f t="shared" si="14"/>
        <v>0</v>
      </c>
      <c r="V84" s="1795"/>
    </row>
    <row r="85" spans="2:22" ht="3.75" customHeight="1" x14ac:dyDescent="0.2">
      <c r="B85" s="1758"/>
      <c r="C85" s="1775"/>
      <c r="D85" s="1775"/>
      <c r="E85" s="1775"/>
      <c r="F85" s="1775"/>
      <c r="G85" s="1775"/>
      <c r="H85" s="1775"/>
      <c r="I85" s="1775"/>
      <c r="J85" s="1775"/>
      <c r="K85" s="1775"/>
      <c r="L85" s="1775"/>
      <c r="M85" s="1775"/>
      <c r="N85" s="1775"/>
      <c r="O85" s="1830"/>
      <c r="P85" s="1830"/>
      <c r="Q85" s="1831"/>
      <c r="R85" s="1831"/>
      <c r="S85" s="1830"/>
      <c r="T85" s="1831"/>
      <c r="U85" s="1833"/>
      <c r="V85" s="1772"/>
    </row>
    <row r="86" spans="2:22" ht="15" customHeight="1" thickBot="1" x14ac:dyDescent="0.25">
      <c r="B86" s="1758"/>
      <c r="C86" s="1799" t="s">
        <v>217</v>
      </c>
      <c r="D86" s="1800"/>
      <c r="E86" s="1800"/>
      <c r="F86" s="1801"/>
      <c r="G86" s="1801"/>
      <c r="H86" s="1801"/>
      <c r="I86" s="1801"/>
      <c r="J86" s="1801"/>
      <c r="K86" s="1801"/>
      <c r="L86" s="1801"/>
      <c r="M86" s="1801"/>
      <c r="N86" s="1801"/>
      <c r="O86" s="1830"/>
      <c r="P86" s="1830"/>
      <c r="Q86" s="1831"/>
      <c r="R86" s="1831"/>
      <c r="S86" s="1830"/>
      <c r="T86" s="1831"/>
      <c r="U86" s="1832"/>
      <c r="V86" s="1772"/>
    </row>
    <row r="87" spans="2:22" ht="15" customHeight="1" x14ac:dyDescent="0.2">
      <c r="B87" s="1758"/>
      <c r="C87" s="1773"/>
      <c r="D87" s="1783" t="s">
        <v>218</v>
      </c>
      <c r="E87" s="1775"/>
      <c r="F87" s="1810"/>
      <c r="G87" s="1810"/>
      <c r="H87" s="1810"/>
      <c r="I87" s="1810"/>
      <c r="J87" s="1810"/>
      <c r="K87" s="1810"/>
      <c r="L87" s="1810"/>
      <c r="M87" s="1810"/>
      <c r="N87" s="1810"/>
      <c r="O87" s="1776">
        <f>+'6A'!J94</f>
        <v>6000</v>
      </c>
      <c r="P87" s="1804">
        <f t="shared" ref="P87:P97" si="15">Q87+R87</f>
        <v>3000</v>
      </c>
      <c r="Q87" s="1883">
        <v>3000</v>
      </c>
      <c r="R87" s="1884">
        <v>0</v>
      </c>
      <c r="S87" s="1804">
        <f t="shared" ref="S87:S97" si="16">T87+U87</f>
        <v>3000</v>
      </c>
      <c r="T87" s="1884">
        <v>3000</v>
      </c>
      <c r="U87" s="1884">
        <v>0</v>
      </c>
      <c r="V87" s="1778"/>
    </row>
    <row r="88" spans="2:22" ht="15" customHeight="1" x14ac:dyDescent="0.2">
      <c r="B88" s="1758"/>
      <c r="C88" s="1773"/>
      <c r="D88" s="1783" t="s">
        <v>219</v>
      </c>
      <c r="E88" s="1775"/>
      <c r="F88" s="1811"/>
      <c r="G88" s="1811"/>
      <c r="H88" s="1811"/>
      <c r="I88" s="1811"/>
      <c r="J88" s="1811"/>
      <c r="K88" s="1811"/>
      <c r="L88" s="1811"/>
      <c r="M88" s="1811"/>
      <c r="N88" s="1811"/>
      <c r="O88" s="1779">
        <f>+'6A'!J95</f>
        <v>121600</v>
      </c>
      <c r="P88" s="1780">
        <f t="shared" si="15"/>
        <v>78342</v>
      </c>
      <c r="Q88" s="1885">
        <v>78342</v>
      </c>
      <c r="R88" s="1886">
        <v>0</v>
      </c>
      <c r="S88" s="1780">
        <f t="shared" si="16"/>
        <v>43258</v>
      </c>
      <c r="T88" s="1886">
        <v>43258</v>
      </c>
      <c r="U88" s="1886">
        <v>0</v>
      </c>
      <c r="V88" s="1778"/>
    </row>
    <row r="89" spans="2:22" ht="15" customHeight="1" x14ac:dyDescent="0.2">
      <c r="B89" s="1758"/>
      <c r="C89" s="1773"/>
      <c r="D89" s="1783" t="s">
        <v>123</v>
      </c>
      <c r="E89" s="1775"/>
      <c r="F89" s="1775"/>
      <c r="G89" s="1775"/>
      <c r="H89" s="1775"/>
      <c r="I89" s="1775"/>
      <c r="J89" s="1775"/>
      <c r="K89" s="1775"/>
      <c r="L89" s="1775"/>
      <c r="M89" s="1775"/>
      <c r="N89" s="1775"/>
      <c r="O89" s="1779">
        <f>+'6A'!J96</f>
        <v>0</v>
      </c>
      <c r="P89" s="1780">
        <f t="shared" si="15"/>
        <v>0</v>
      </c>
      <c r="Q89" s="1885">
        <v>0</v>
      </c>
      <c r="R89" s="1886">
        <v>0</v>
      </c>
      <c r="S89" s="1780">
        <f t="shared" si="16"/>
        <v>0</v>
      </c>
      <c r="T89" s="1886">
        <v>0</v>
      </c>
      <c r="U89" s="1886">
        <v>0</v>
      </c>
      <c r="V89" s="1778"/>
    </row>
    <row r="90" spans="2:22" ht="15" customHeight="1" x14ac:dyDescent="0.2">
      <c r="B90" s="1758"/>
      <c r="C90" s="1773"/>
      <c r="D90" s="1783" t="s">
        <v>220</v>
      </c>
      <c r="E90" s="1775"/>
      <c r="F90" s="1775"/>
      <c r="G90" s="1775"/>
      <c r="H90" s="1775"/>
      <c r="I90" s="1775"/>
      <c r="J90" s="1775"/>
      <c r="K90" s="1775"/>
      <c r="L90" s="1775"/>
      <c r="M90" s="1775"/>
      <c r="N90" s="1775"/>
      <c r="O90" s="1779">
        <f>+'6A'!J97</f>
        <v>0</v>
      </c>
      <c r="P90" s="1780">
        <f t="shared" si="15"/>
        <v>0</v>
      </c>
      <c r="Q90" s="1885">
        <v>0</v>
      </c>
      <c r="R90" s="1886">
        <v>0</v>
      </c>
      <c r="S90" s="1780">
        <f t="shared" si="16"/>
        <v>0</v>
      </c>
      <c r="T90" s="1886">
        <v>0</v>
      </c>
      <c r="U90" s="1886">
        <v>0</v>
      </c>
      <c r="V90" s="1778"/>
    </row>
    <row r="91" spans="2:22" ht="15" customHeight="1" x14ac:dyDescent="0.2">
      <c r="B91" s="1758"/>
      <c r="C91" s="1773"/>
      <c r="D91" s="1783" t="s">
        <v>221</v>
      </c>
      <c r="E91" s="1775"/>
      <c r="F91" s="1775"/>
      <c r="G91" s="1775"/>
      <c r="H91" s="1775"/>
      <c r="I91" s="1775"/>
      <c r="J91" s="1775"/>
      <c r="K91" s="1775"/>
      <c r="L91" s="1953"/>
      <c r="M91" s="1953"/>
      <c r="N91" s="1953"/>
      <c r="O91" s="2149">
        <f>+'6A'!J98</f>
        <v>880218.5</v>
      </c>
      <c r="P91" s="1780">
        <f t="shared" si="15"/>
        <v>567092</v>
      </c>
      <c r="Q91" s="1885">
        <v>567092</v>
      </c>
      <c r="R91" s="1886">
        <v>0</v>
      </c>
      <c r="S91" s="1780">
        <f t="shared" si="16"/>
        <v>313126.5</v>
      </c>
      <c r="T91" s="1886">
        <v>313126.5</v>
      </c>
      <c r="U91" s="1886">
        <v>0</v>
      </c>
      <c r="V91" s="1778"/>
    </row>
    <row r="92" spans="2:22" ht="15" customHeight="1" x14ac:dyDescent="0.2">
      <c r="B92" s="1758"/>
      <c r="C92" s="1773"/>
      <c r="D92" s="1784" t="s">
        <v>222</v>
      </c>
      <c r="E92" s="1775"/>
      <c r="F92" s="1775"/>
      <c r="G92" s="1775"/>
      <c r="H92" s="1775"/>
      <c r="I92" s="1775"/>
      <c r="J92" s="1775"/>
      <c r="K92" s="1775"/>
      <c r="L92" s="1775"/>
      <c r="M92" s="1775"/>
      <c r="N92" s="1775"/>
      <c r="O92" s="1779">
        <f>+'6A'!J99</f>
        <v>645120</v>
      </c>
      <c r="P92" s="1780">
        <f t="shared" si="15"/>
        <v>443520</v>
      </c>
      <c r="Q92" s="1885">
        <v>443520</v>
      </c>
      <c r="R92" s="1886">
        <v>0</v>
      </c>
      <c r="S92" s="1780">
        <f t="shared" si="16"/>
        <v>201600</v>
      </c>
      <c r="T92" s="1886">
        <v>201600</v>
      </c>
      <c r="U92" s="1886">
        <v>0</v>
      </c>
      <c r="V92" s="1778"/>
    </row>
    <row r="93" spans="2:22" ht="15" customHeight="1" x14ac:dyDescent="0.2">
      <c r="B93" s="1758"/>
      <c r="C93" s="1773"/>
      <c r="D93" s="1784" t="s">
        <v>223</v>
      </c>
      <c r="E93" s="1775"/>
      <c r="F93" s="1775"/>
      <c r="G93" s="1775"/>
      <c r="H93" s="1775"/>
      <c r="I93" s="1775"/>
      <c r="J93" s="1775"/>
      <c r="K93" s="1775"/>
      <c r="L93" s="1775"/>
      <c r="M93" s="1775"/>
      <c r="N93" s="1775"/>
      <c r="O93" s="1779">
        <f>+'6A'!J100</f>
        <v>0</v>
      </c>
      <c r="P93" s="1780">
        <f t="shared" si="15"/>
        <v>0</v>
      </c>
      <c r="Q93" s="1885">
        <v>0</v>
      </c>
      <c r="R93" s="1886">
        <v>0</v>
      </c>
      <c r="S93" s="1780">
        <f t="shared" si="16"/>
        <v>0</v>
      </c>
      <c r="T93" s="1886">
        <v>0</v>
      </c>
      <c r="U93" s="1886">
        <v>0</v>
      </c>
      <c r="V93" s="1778"/>
    </row>
    <row r="94" spans="2:22" ht="15" customHeight="1" x14ac:dyDescent="0.2">
      <c r="B94" s="1758"/>
      <c r="C94" s="1773"/>
      <c r="D94" s="1784" t="s">
        <v>224</v>
      </c>
      <c r="E94" s="1775"/>
      <c r="F94" s="1775"/>
      <c r="G94" s="1775"/>
      <c r="H94" s="1775"/>
      <c r="I94" s="1775"/>
      <c r="J94" s="1775"/>
      <c r="K94" s="1775"/>
      <c r="L94" s="1775"/>
      <c r="M94" s="1775"/>
      <c r="N94" s="1775"/>
      <c r="O94" s="1779">
        <f>+'6A'!J101</f>
        <v>10000</v>
      </c>
      <c r="P94" s="1780">
        <f t="shared" si="15"/>
        <v>0</v>
      </c>
      <c r="Q94" s="1885">
        <v>0</v>
      </c>
      <c r="R94" s="1886">
        <v>0</v>
      </c>
      <c r="S94" s="1780">
        <f t="shared" si="16"/>
        <v>10000</v>
      </c>
      <c r="T94" s="1886">
        <v>10000</v>
      </c>
      <c r="U94" s="1886">
        <v>0</v>
      </c>
      <c r="V94" s="1778"/>
    </row>
    <row r="95" spans="2:22" ht="15" customHeight="1" x14ac:dyDescent="0.2">
      <c r="B95" s="1758"/>
      <c r="C95" s="1773"/>
      <c r="D95" s="1783" t="s">
        <v>225</v>
      </c>
      <c r="E95" s="1775"/>
      <c r="F95" s="1775"/>
      <c r="G95" s="1775"/>
      <c r="H95" s="1775"/>
      <c r="I95" s="1775"/>
      <c r="J95" s="1775"/>
      <c r="K95" s="1775"/>
      <c r="L95" s="1775"/>
      <c r="M95" s="1775"/>
      <c r="N95" s="1775"/>
      <c r="O95" s="1779">
        <f>+'6A'!J102</f>
        <v>61540</v>
      </c>
      <c r="P95" s="1780">
        <f t="shared" si="15"/>
        <v>30770</v>
      </c>
      <c r="Q95" s="1885">
        <v>30770</v>
      </c>
      <c r="R95" s="1886">
        <v>0</v>
      </c>
      <c r="S95" s="1780">
        <f t="shared" si="16"/>
        <v>30770</v>
      </c>
      <c r="T95" s="1886">
        <v>30770</v>
      </c>
      <c r="U95" s="1886">
        <v>0</v>
      </c>
      <c r="V95" s="1778"/>
    </row>
    <row r="96" spans="2:22" ht="15" customHeight="1" x14ac:dyDescent="0.2">
      <c r="B96" s="1758"/>
      <c r="C96" s="1773"/>
      <c r="D96" s="1784" t="s">
        <v>226</v>
      </c>
      <c r="E96" s="1775"/>
      <c r="F96" s="1775"/>
      <c r="G96" s="1775"/>
      <c r="H96" s="1775"/>
      <c r="I96" s="1775"/>
      <c r="J96" s="1775"/>
      <c r="K96" s="1775"/>
      <c r="L96" s="1775"/>
      <c r="M96" s="1775"/>
      <c r="N96" s="1775"/>
      <c r="O96" s="2149">
        <f>+'6A'!J103</f>
        <v>127999.5</v>
      </c>
      <c r="P96" s="1780">
        <f t="shared" si="15"/>
        <v>83660.5</v>
      </c>
      <c r="Q96" s="1885">
        <v>83660.5</v>
      </c>
      <c r="R96" s="1886">
        <v>0</v>
      </c>
      <c r="S96" s="1780">
        <f t="shared" si="16"/>
        <v>44339</v>
      </c>
      <c r="T96" s="1886">
        <v>44339</v>
      </c>
      <c r="U96" s="1886">
        <v>0</v>
      </c>
      <c r="V96" s="1778"/>
    </row>
    <row r="97" spans="2:22" ht="15" customHeight="1" x14ac:dyDescent="0.2">
      <c r="B97" s="1758"/>
      <c r="C97" s="1773"/>
      <c r="D97" s="1783" t="s">
        <v>227</v>
      </c>
      <c r="E97" s="1834"/>
      <c r="F97" s="1811"/>
      <c r="G97" s="1811"/>
      <c r="H97" s="1811"/>
      <c r="I97" s="1811"/>
      <c r="J97" s="1811"/>
      <c r="K97" s="1811"/>
      <c r="L97" s="1811"/>
      <c r="M97" s="1811"/>
      <c r="N97" s="1811"/>
      <c r="O97" s="1779">
        <f>+'6A'!J104</f>
        <v>0</v>
      </c>
      <c r="P97" s="1813">
        <f t="shared" si="15"/>
        <v>0</v>
      </c>
      <c r="Q97" s="1893">
        <v>0</v>
      </c>
      <c r="R97" s="1894">
        <v>0</v>
      </c>
      <c r="S97" s="1813">
        <f t="shared" si="16"/>
        <v>0</v>
      </c>
      <c r="T97" s="1894">
        <v>0</v>
      </c>
      <c r="U97" s="1894">
        <v>0</v>
      </c>
      <c r="V97" s="1778"/>
    </row>
    <row r="98" spans="2:22" ht="15" customHeight="1" thickBot="1" x14ac:dyDescent="0.25">
      <c r="B98" s="1758"/>
      <c r="C98" s="1788"/>
      <c r="D98" s="1775"/>
      <c r="E98" s="1775"/>
      <c r="F98" s="1773"/>
      <c r="G98" s="1789"/>
      <c r="H98" s="1789"/>
      <c r="I98" s="1789"/>
      <c r="J98" s="1789"/>
      <c r="K98" s="1789"/>
      <c r="L98" s="1789"/>
      <c r="M98" s="1789"/>
      <c r="N98" s="1790" t="s">
        <v>167</v>
      </c>
      <c r="O98" s="1791">
        <f>P98+S98</f>
        <v>1852478</v>
      </c>
      <c r="P98" s="1792">
        <f t="shared" ref="P98:U98" si="17">SUM(P87:P97)</f>
        <v>1206384.5</v>
      </c>
      <c r="Q98" s="1793">
        <f t="shared" si="17"/>
        <v>1206384.5</v>
      </c>
      <c r="R98" s="1793">
        <f t="shared" si="17"/>
        <v>0</v>
      </c>
      <c r="S98" s="1792">
        <f t="shared" si="17"/>
        <v>646093.5</v>
      </c>
      <c r="T98" s="1794">
        <f t="shared" si="17"/>
        <v>646093.5</v>
      </c>
      <c r="U98" s="1794">
        <f t="shared" si="17"/>
        <v>0</v>
      </c>
      <c r="V98" s="1795"/>
    </row>
    <row r="99" spans="2:22" ht="3.75" customHeight="1" thickBot="1" x14ac:dyDescent="0.25">
      <c r="B99" s="1820"/>
      <c r="C99" s="1835"/>
      <c r="D99" s="1836"/>
      <c r="E99" s="1836"/>
      <c r="F99" s="1821"/>
      <c r="G99" s="1821"/>
      <c r="H99" s="1821"/>
      <c r="I99" s="1821"/>
      <c r="J99" s="1821"/>
      <c r="K99" s="1821"/>
      <c r="L99" s="1821"/>
      <c r="M99" s="1821"/>
      <c r="N99" s="1821"/>
      <c r="O99" s="1823"/>
      <c r="P99" s="1823"/>
      <c r="Q99" s="1825"/>
      <c r="R99" s="1825"/>
      <c r="S99" s="1823"/>
      <c r="T99" s="1825"/>
      <c r="U99" s="1826"/>
      <c r="V99" s="1837"/>
    </row>
    <row r="100" spans="2:22" ht="3.75" customHeight="1" x14ac:dyDescent="0.2">
      <c r="B100" s="1758"/>
      <c r="C100" s="1838"/>
      <c r="D100" s="1829"/>
      <c r="E100" s="1829"/>
      <c r="F100" s="1775"/>
      <c r="G100" s="1775"/>
      <c r="H100" s="1775"/>
      <c r="I100" s="1775"/>
      <c r="J100" s="1775"/>
      <c r="K100" s="1775"/>
      <c r="L100" s="1775"/>
      <c r="M100" s="1775"/>
      <c r="N100" s="1775"/>
      <c r="O100" s="1796"/>
      <c r="P100" s="1796"/>
      <c r="Q100" s="1797"/>
      <c r="R100" s="1797"/>
      <c r="S100" s="1796"/>
      <c r="T100" s="1797"/>
      <c r="U100" s="1797"/>
      <c r="V100" s="1772"/>
    </row>
    <row r="101" spans="2:22" s="1840" customFormat="1" ht="15" customHeight="1" thickBot="1" x14ac:dyDescent="0.25">
      <c r="B101" s="1758"/>
      <c r="C101" s="1799" t="s">
        <v>228</v>
      </c>
      <c r="D101" s="1800"/>
      <c r="E101" s="1800"/>
      <c r="F101" s="1801"/>
      <c r="G101" s="1801"/>
      <c r="H101" s="1801"/>
      <c r="I101" s="1801"/>
      <c r="J101" s="1801"/>
      <c r="K101" s="1801"/>
      <c r="L101" s="1801"/>
      <c r="M101" s="1801"/>
      <c r="N101" s="1801"/>
      <c r="O101" s="1839"/>
      <c r="P101" s="1839"/>
      <c r="Q101" s="1803"/>
      <c r="R101" s="1803"/>
      <c r="S101" s="1839"/>
      <c r="T101" s="1803"/>
      <c r="U101" s="1803"/>
      <c r="V101" s="1772"/>
    </row>
    <row r="102" spans="2:22" s="1840" customFormat="1" ht="15" customHeight="1" x14ac:dyDescent="0.2">
      <c r="B102" s="1758"/>
      <c r="C102" s="1841"/>
      <c r="D102" s="1781" t="s">
        <v>229</v>
      </c>
      <c r="E102" s="1829"/>
      <c r="F102" s="1775"/>
      <c r="G102" s="1775"/>
      <c r="H102" s="1775"/>
      <c r="I102" s="1775"/>
      <c r="J102" s="1775"/>
      <c r="K102" s="1775"/>
      <c r="L102" s="1775"/>
      <c r="M102" s="1775"/>
      <c r="N102" s="1775"/>
      <c r="O102" s="2150">
        <f>+'6A'!J109</f>
        <v>174999.5</v>
      </c>
      <c r="P102" s="1804">
        <f t="shared" ref="P102:P108" si="18">Q102+R102</f>
        <v>174999.5</v>
      </c>
      <c r="Q102" s="1883">
        <f>13000+85000+76999.5</f>
        <v>174999.5</v>
      </c>
      <c r="R102" s="1884">
        <v>0</v>
      </c>
      <c r="S102" s="1804">
        <f t="shared" ref="S102:S108" si="19">T102+U102</f>
        <v>0</v>
      </c>
      <c r="T102" s="1884">
        <v>0</v>
      </c>
      <c r="U102" s="1884">
        <v>0</v>
      </c>
      <c r="V102" s="1778"/>
    </row>
    <row r="103" spans="2:22" s="1840" customFormat="1" ht="15" customHeight="1" x14ac:dyDescent="0.2">
      <c r="B103" s="1758"/>
      <c r="C103" s="1841"/>
      <c r="D103" s="1781" t="s">
        <v>230</v>
      </c>
      <c r="E103" s="1829"/>
      <c r="F103" s="1775"/>
      <c r="G103" s="1775"/>
      <c r="H103" s="1775"/>
      <c r="I103" s="1775"/>
      <c r="J103" s="1775"/>
      <c r="K103" s="1775"/>
      <c r="L103" s="1775"/>
      <c r="M103" s="1775"/>
      <c r="N103" s="1775"/>
      <c r="O103" s="2148">
        <f>+'6A'!J110</f>
        <v>50000.1</v>
      </c>
      <c r="P103" s="1780">
        <f t="shared" si="18"/>
        <v>50000.1</v>
      </c>
      <c r="Q103" s="1885">
        <v>50000.1</v>
      </c>
      <c r="R103" s="1886">
        <v>0</v>
      </c>
      <c r="S103" s="1780">
        <f t="shared" si="19"/>
        <v>0</v>
      </c>
      <c r="T103" s="1886">
        <v>0</v>
      </c>
      <c r="U103" s="1886">
        <v>0</v>
      </c>
      <c r="V103" s="1778"/>
    </row>
    <row r="104" spans="2:22" ht="15" customHeight="1" x14ac:dyDescent="0.2">
      <c r="B104" s="1758"/>
      <c r="C104" s="1773"/>
      <c r="D104" s="1781" t="s">
        <v>231</v>
      </c>
      <c r="E104" s="1829"/>
      <c r="F104" s="1775"/>
      <c r="G104" s="1775"/>
      <c r="H104" s="1775"/>
      <c r="I104" s="1775"/>
      <c r="J104" s="1775"/>
      <c r="K104" s="1775"/>
      <c r="L104" s="1775"/>
      <c r="M104" s="1775"/>
      <c r="N104" s="1775"/>
      <c r="O104" s="1779">
        <f>+'6A'!J111</f>
        <v>0</v>
      </c>
      <c r="P104" s="1780">
        <f t="shared" si="18"/>
        <v>0</v>
      </c>
      <c r="Q104" s="1885">
        <v>0</v>
      </c>
      <c r="R104" s="1886">
        <v>0</v>
      </c>
      <c r="S104" s="1780">
        <f t="shared" si="19"/>
        <v>0</v>
      </c>
      <c r="T104" s="1886">
        <v>0</v>
      </c>
      <c r="U104" s="1886">
        <v>0</v>
      </c>
      <c r="V104" s="1778"/>
    </row>
    <row r="105" spans="2:22" ht="15" customHeight="1" x14ac:dyDescent="0.2">
      <c r="B105" s="1758"/>
      <c r="C105" s="1773"/>
      <c r="D105" s="1781" t="s">
        <v>232</v>
      </c>
      <c r="E105" s="1829"/>
      <c r="F105" s="1775"/>
      <c r="G105" s="1775"/>
      <c r="H105" s="1775"/>
      <c r="I105" s="1775"/>
      <c r="J105" s="1775"/>
      <c r="K105" s="1775"/>
      <c r="L105" s="1775"/>
      <c r="M105" s="1775"/>
      <c r="N105" s="1775"/>
      <c r="O105" s="1779">
        <f>+'6A'!J112</f>
        <v>0</v>
      </c>
      <c r="P105" s="1780">
        <f t="shared" si="18"/>
        <v>0</v>
      </c>
      <c r="Q105" s="1885">
        <v>0</v>
      </c>
      <c r="R105" s="1886">
        <v>0</v>
      </c>
      <c r="S105" s="1780">
        <f t="shared" si="19"/>
        <v>0</v>
      </c>
      <c r="T105" s="1886">
        <v>0</v>
      </c>
      <c r="U105" s="1886">
        <v>0</v>
      </c>
      <c r="V105" s="1778"/>
    </row>
    <row r="106" spans="2:22" ht="15" customHeight="1" x14ac:dyDescent="0.2">
      <c r="B106" s="1758"/>
      <c r="C106" s="1773"/>
      <c r="D106" s="1781" t="s">
        <v>233</v>
      </c>
      <c r="E106" s="1829"/>
      <c r="F106" s="1775"/>
      <c r="G106" s="1775"/>
      <c r="H106" s="1775"/>
      <c r="I106" s="1775"/>
      <c r="J106" s="1775"/>
      <c r="K106" s="1775"/>
      <c r="L106" s="1775"/>
      <c r="M106" s="1775"/>
      <c r="N106" s="1775"/>
      <c r="O106" s="1779">
        <f>+'6A'!J113</f>
        <v>0</v>
      </c>
      <c r="P106" s="1780">
        <f t="shared" si="18"/>
        <v>0</v>
      </c>
      <c r="Q106" s="1885">
        <v>0</v>
      </c>
      <c r="R106" s="1886">
        <v>0</v>
      </c>
      <c r="S106" s="1780">
        <f t="shared" si="19"/>
        <v>0</v>
      </c>
      <c r="T106" s="1886">
        <v>0</v>
      </c>
      <c r="U106" s="1886">
        <v>0</v>
      </c>
      <c r="V106" s="1778"/>
    </row>
    <row r="107" spans="2:22" ht="15" customHeight="1" x14ac:dyDescent="0.2">
      <c r="B107" s="1758"/>
      <c r="C107" s="1773"/>
      <c r="D107" s="1781" t="s">
        <v>234</v>
      </c>
      <c r="E107" s="1829"/>
      <c r="F107" s="1775"/>
      <c r="G107" s="1775"/>
      <c r="H107" s="1775"/>
      <c r="I107" s="1775"/>
      <c r="J107" s="1775"/>
      <c r="K107" s="1775"/>
      <c r="L107" s="1775"/>
      <c r="M107" s="1775"/>
      <c r="N107" s="1775"/>
      <c r="O107" s="1779">
        <f>+'6A'!J114</f>
        <v>25000</v>
      </c>
      <c r="P107" s="1780">
        <f t="shared" si="18"/>
        <v>25000</v>
      </c>
      <c r="Q107" s="1885">
        <v>25000</v>
      </c>
      <c r="R107" s="1886">
        <v>0</v>
      </c>
      <c r="S107" s="1780">
        <f t="shared" si="19"/>
        <v>0</v>
      </c>
      <c r="T107" s="1886">
        <v>0</v>
      </c>
      <c r="U107" s="1886">
        <v>0</v>
      </c>
      <c r="V107" s="1778"/>
    </row>
    <row r="108" spans="2:22" ht="15" customHeight="1" x14ac:dyDescent="0.2">
      <c r="B108" s="1758"/>
      <c r="C108" s="1773"/>
      <c r="D108" s="1781" t="s">
        <v>235</v>
      </c>
      <c r="E108" s="1829"/>
      <c r="F108" s="1775"/>
      <c r="G108" s="1775"/>
      <c r="H108" s="1775"/>
      <c r="I108" s="1775"/>
      <c r="J108" s="1775"/>
      <c r="K108" s="1775"/>
      <c r="L108" s="1775"/>
      <c r="M108" s="1775"/>
      <c r="N108" s="1775"/>
      <c r="O108" s="1779">
        <f>+'6A'!J115</f>
        <v>0</v>
      </c>
      <c r="P108" s="1813">
        <f t="shared" si="18"/>
        <v>0</v>
      </c>
      <c r="Q108" s="1893">
        <v>0</v>
      </c>
      <c r="R108" s="1894">
        <v>0</v>
      </c>
      <c r="S108" s="1813">
        <f t="shared" si="19"/>
        <v>0</v>
      </c>
      <c r="T108" s="1894">
        <v>0</v>
      </c>
      <c r="U108" s="1894">
        <v>0</v>
      </c>
      <c r="V108" s="1778"/>
    </row>
    <row r="109" spans="2:22" ht="15" customHeight="1" thickBot="1" x14ac:dyDescent="0.25">
      <c r="B109" s="1758"/>
      <c r="C109" s="1788"/>
      <c r="D109" s="1775"/>
      <c r="E109" s="1775"/>
      <c r="F109" s="1773"/>
      <c r="G109" s="1789"/>
      <c r="H109" s="1789"/>
      <c r="I109" s="1789"/>
      <c r="J109" s="1789"/>
      <c r="K109" s="1789"/>
      <c r="L109" s="1789"/>
      <c r="M109" s="1789"/>
      <c r="N109" s="1790" t="s">
        <v>167</v>
      </c>
      <c r="O109" s="1791">
        <f>P109+S109</f>
        <v>249999.6</v>
      </c>
      <c r="P109" s="1792">
        <f t="shared" ref="P109:U109" si="20">SUM(P102:P108)</f>
        <v>249999.6</v>
      </c>
      <c r="Q109" s="1793">
        <f t="shared" si="20"/>
        <v>249999.6</v>
      </c>
      <c r="R109" s="1793">
        <f t="shared" si="20"/>
        <v>0</v>
      </c>
      <c r="S109" s="1792">
        <f t="shared" si="20"/>
        <v>0</v>
      </c>
      <c r="T109" s="1794">
        <f t="shared" si="20"/>
        <v>0</v>
      </c>
      <c r="U109" s="1794">
        <f t="shared" si="20"/>
        <v>0</v>
      </c>
      <c r="V109" s="1795"/>
    </row>
    <row r="110" spans="2:22" ht="7.5" customHeight="1" thickBot="1" x14ac:dyDescent="0.25">
      <c r="B110" s="1758"/>
      <c r="C110" s="1809"/>
      <c r="D110" s="1775"/>
      <c r="E110" s="1775"/>
      <c r="F110" s="1811"/>
      <c r="G110" s="1811"/>
      <c r="H110" s="1811"/>
      <c r="I110" s="1811"/>
      <c r="J110" s="1811"/>
      <c r="K110" s="1811"/>
      <c r="L110" s="1811"/>
      <c r="M110" s="1811"/>
      <c r="N110" s="1811"/>
      <c r="O110" s="1842"/>
      <c r="P110" s="1842"/>
      <c r="Q110" s="1843"/>
      <c r="R110" s="1843"/>
      <c r="S110" s="1842"/>
      <c r="T110" s="1843"/>
      <c r="U110" s="1844"/>
      <c r="V110" s="1772"/>
    </row>
    <row r="111" spans="2:22" ht="15" customHeight="1" thickBot="1" x14ac:dyDescent="0.25">
      <c r="B111" s="1758"/>
      <c r="C111" s="1845" t="s">
        <v>1548</v>
      </c>
      <c r="D111" s="1846"/>
      <c r="E111" s="1846"/>
      <c r="F111" s="1847"/>
      <c r="G111" s="1847"/>
      <c r="H111" s="1847"/>
      <c r="I111" s="1847"/>
      <c r="J111" s="1847"/>
      <c r="K111" s="1847"/>
      <c r="L111" s="1847"/>
      <c r="M111" s="1847"/>
      <c r="N111" s="1847"/>
      <c r="O111" s="1791">
        <f>O19+O38+O54+O59+O67+O78+O84+O98+O109</f>
        <v>62440403</v>
      </c>
      <c r="P111" s="1792">
        <f>P19+P38+P54+P59+P67+P78+P84+P98+P109</f>
        <v>36858226.100000001</v>
      </c>
      <c r="Q111" s="1793">
        <f>Q19+Q38+Q54+Q59+Q109+Q67+Q78+Q84+Q98</f>
        <v>36858226.100000001</v>
      </c>
      <c r="R111" s="1794"/>
      <c r="S111" s="1792">
        <f>S19+S38+S54+S59+S67+S78+S84+S98+S109</f>
        <v>25582176.899999999</v>
      </c>
      <c r="T111" s="1794">
        <f>T19+T38+T54+T59+T109+T67+T78+T84+T98</f>
        <v>22064076.899999999</v>
      </c>
      <c r="U111" s="1794">
        <f>U19+U38+U54+U59+U109+U67+U78+U84+U98</f>
        <v>3518100</v>
      </c>
      <c r="V111" s="1795"/>
    </row>
    <row r="112" spans="2:22" ht="12.75" customHeight="1" thickBot="1" x14ac:dyDescent="0.25">
      <c r="B112" s="1820"/>
      <c r="C112" s="1848"/>
      <c r="D112" s="1848"/>
      <c r="E112" s="1848"/>
      <c r="F112" s="1848"/>
      <c r="G112" s="1848"/>
      <c r="H112" s="1848"/>
      <c r="I112" s="1848"/>
      <c r="J112" s="1848"/>
      <c r="K112" s="1848"/>
      <c r="L112" s="1848"/>
      <c r="M112" s="1848"/>
      <c r="N112" s="1848"/>
      <c r="O112" s="1849"/>
      <c r="P112" s="1849"/>
      <c r="Q112" s="1850"/>
      <c r="R112" s="1850"/>
      <c r="S112" s="1850"/>
      <c r="T112" s="1850"/>
      <c r="U112" s="1850"/>
      <c r="V112" s="1851"/>
    </row>
    <row r="113" spans="2:21" ht="12.75" customHeight="1" x14ac:dyDescent="0.25">
      <c r="B113" s="1841"/>
      <c r="C113" s="1852"/>
      <c r="D113" s="1852"/>
      <c r="E113" s="1852"/>
      <c r="F113" s="1852"/>
      <c r="G113" s="1852"/>
      <c r="H113" s="1852"/>
      <c r="I113" s="1852"/>
      <c r="J113" s="1852"/>
      <c r="K113" s="1852"/>
      <c r="L113" s="1852"/>
      <c r="M113" s="1852"/>
      <c r="N113" s="1852"/>
      <c r="O113" s="1853"/>
      <c r="P113" s="1969"/>
      <c r="Q113" s="1970"/>
      <c r="R113" s="1970"/>
      <c r="S113" s="1970"/>
      <c r="T113" s="1907"/>
      <c r="U113" s="1855"/>
    </row>
    <row r="114" spans="2:21" ht="12.75" customHeight="1" x14ac:dyDescent="0.2">
      <c r="B114" s="1841"/>
      <c r="C114" s="1841"/>
      <c r="D114" s="1841"/>
      <c r="E114" s="1841"/>
      <c r="F114" s="1841"/>
      <c r="G114" s="1841"/>
      <c r="H114" s="1841"/>
      <c r="I114" s="1841"/>
      <c r="J114" s="1841"/>
      <c r="K114" s="1841"/>
      <c r="L114" s="1841"/>
      <c r="M114" s="1841"/>
      <c r="N114" s="1841"/>
      <c r="O114" s="1841"/>
      <c r="P114" s="1968"/>
      <c r="Q114" s="1855"/>
      <c r="R114" s="1855"/>
      <c r="S114" s="1967"/>
      <c r="T114" s="1855"/>
      <c r="U114" s="1855"/>
    </row>
    <row r="115" spans="2:21" ht="12.75" customHeight="1" x14ac:dyDescent="0.2">
      <c r="B115" s="1841"/>
      <c r="C115" s="1856"/>
      <c r="D115" s="1856"/>
      <c r="E115" s="1856"/>
      <c r="F115" s="1856"/>
      <c r="G115" s="1856"/>
      <c r="H115" s="1856"/>
      <c r="I115" s="1856"/>
      <c r="J115" s="1856"/>
      <c r="K115" s="1856"/>
      <c r="L115" s="1856"/>
      <c r="M115" s="1856"/>
      <c r="N115" s="1856"/>
      <c r="O115" s="1857"/>
      <c r="P115" s="1852"/>
      <c r="Q115" s="1855"/>
      <c r="R115" s="1855"/>
      <c r="S115" s="1855"/>
      <c r="T115" s="1855"/>
      <c r="U115" s="1855"/>
    </row>
    <row r="116" spans="2:21" ht="12.75" customHeight="1" x14ac:dyDescent="0.2">
      <c r="B116" s="1841"/>
      <c r="C116" s="1858"/>
      <c r="D116" s="1859"/>
      <c r="E116" s="1858"/>
      <c r="F116" s="1858"/>
      <c r="G116" s="1858"/>
      <c r="H116" s="1858"/>
      <c r="I116" s="1858"/>
      <c r="J116" s="1858"/>
      <c r="K116" s="1858"/>
      <c r="L116" s="1858"/>
      <c r="M116" s="1858"/>
      <c r="N116" s="1858"/>
      <c r="O116" s="1859"/>
      <c r="P116" s="1859"/>
      <c r="Q116" s="1855"/>
      <c r="R116" s="1855"/>
      <c r="S116" s="1855"/>
      <c r="T116" s="1855"/>
      <c r="U116" s="1855"/>
    </row>
    <row r="117" spans="2:21" ht="12.75" customHeight="1" x14ac:dyDescent="0.2">
      <c r="B117" s="1841"/>
      <c r="C117" s="1858"/>
      <c r="D117" s="1859"/>
      <c r="E117" s="1858"/>
      <c r="F117" s="1859"/>
      <c r="G117" s="1859"/>
      <c r="H117" s="1859"/>
      <c r="I117" s="1859"/>
      <c r="J117" s="1859"/>
      <c r="K117" s="1859"/>
      <c r="L117" s="1859"/>
      <c r="M117" s="1859"/>
      <c r="N117" s="1859"/>
      <c r="O117" s="1859"/>
      <c r="P117" s="1859"/>
      <c r="Q117" s="1855"/>
      <c r="R117" s="1855"/>
      <c r="S117" s="1855"/>
      <c r="T117" s="1855"/>
      <c r="U117" s="1855"/>
    </row>
    <row r="118" spans="2:21" ht="12.75" customHeight="1" x14ac:dyDescent="0.2">
      <c r="B118" s="1841"/>
      <c r="C118" s="1860"/>
      <c r="D118" s="1860"/>
      <c r="E118" s="1860"/>
      <c r="F118" s="1861"/>
      <c r="G118" s="1861"/>
      <c r="H118" s="1861"/>
      <c r="I118" s="1861"/>
      <c r="J118" s="1861"/>
      <c r="K118" s="1861"/>
      <c r="L118" s="1861"/>
      <c r="M118" s="1861"/>
      <c r="N118" s="1861"/>
      <c r="O118" s="1861"/>
      <c r="P118" s="1861"/>
      <c r="Q118" s="1855"/>
      <c r="R118" s="1855"/>
      <c r="S118" s="1855"/>
      <c r="T118" s="1855"/>
      <c r="U118" s="1855"/>
    </row>
    <row r="119" spans="2:21" ht="12.75" customHeight="1" x14ac:dyDescent="0.2">
      <c r="B119" s="1841"/>
      <c r="C119" s="1860"/>
      <c r="D119" s="1860"/>
      <c r="E119" s="1860"/>
      <c r="F119" s="1861"/>
      <c r="G119" s="1861"/>
      <c r="H119" s="1861"/>
      <c r="I119" s="1861"/>
      <c r="J119" s="1861"/>
      <c r="K119" s="1861"/>
      <c r="L119" s="1861"/>
      <c r="M119" s="1861"/>
      <c r="N119" s="1861"/>
      <c r="O119" s="1861"/>
      <c r="P119" s="1861"/>
      <c r="Q119" s="1855"/>
      <c r="R119" s="1855"/>
      <c r="S119" s="1855"/>
      <c r="T119" s="1855"/>
      <c r="U119" s="1855"/>
    </row>
    <row r="120" spans="2:21" ht="12.75" customHeight="1" x14ac:dyDescent="0.2">
      <c r="B120" s="1841"/>
      <c r="C120" s="1856"/>
      <c r="D120" s="1856"/>
      <c r="E120" s="1856"/>
      <c r="F120" s="1861"/>
      <c r="G120" s="1861"/>
      <c r="H120" s="1861"/>
      <c r="I120" s="1861"/>
      <c r="J120" s="1861"/>
      <c r="K120" s="1861"/>
      <c r="L120" s="1861"/>
      <c r="M120" s="1861"/>
      <c r="N120" s="1861"/>
      <c r="O120" s="1861"/>
      <c r="P120" s="1861"/>
      <c r="Q120" s="1855"/>
      <c r="R120" s="1855"/>
      <c r="S120" s="1855"/>
      <c r="T120" s="1855"/>
      <c r="U120" s="1855"/>
    </row>
    <row r="121" spans="2:21" ht="12.75" customHeight="1" x14ac:dyDescent="0.2">
      <c r="B121" s="1841"/>
      <c r="C121" s="1841"/>
      <c r="D121" s="1841"/>
      <c r="E121" s="1841"/>
      <c r="F121" s="1841"/>
      <c r="G121" s="1841"/>
      <c r="H121" s="1841"/>
      <c r="I121" s="1841"/>
      <c r="J121" s="1841"/>
      <c r="K121" s="1841"/>
      <c r="L121" s="1841"/>
      <c r="M121" s="1841"/>
      <c r="N121" s="1841"/>
      <c r="O121" s="1841"/>
      <c r="P121" s="1841"/>
      <c r="Q121" s="1855"/>
      <c r="R121" s="1855"/>
      <c r="S121" s="1855"/>
      <c r="T121" s="1855"/>
      <c r="U121" s="1855"/>
    </row>
    <row r="122" spans="2:21" ht="12.75" customHeight="1" x14ac:dyDescent="0.2">
      <c r="B122" s="1841"/>
      <c r="C122" s="1856"/>
      <c r="D122" s="1856"/>
      <c r="E122" s="1856"/>
      <c r="F122" s="1856"/>
      <c r="G122" s="1856"/>
      <c r="H122" s="1856"/>
      <c r="I122" s="1856"/>
      <c r="J122" s="1856"/>
      <c r="K122" s="1856"/>
      <c r="L122" s="1856"/>
      <c r="M122" s="1856"/>
      <c r="N122" s="1856"/>
      <c r="O122" s="1852"/>
      <c r="P122" s="1852"/>
      <c r="Q122" s="1855"/>
      <c r="R122" s="1855"/>
      <c r="S122" s="1855"/>
      <c r="T122" s="1855"/>
      <c r="U122" s="1855"/>
    </row>
    <row r="123" spans="2:21" ht="12.75" customHeight="1" x14ac:dyDescent="0.2">
      <c r="B123" s="1841"/>
      <c r="C123" s="1862"/>
      <c r="D123" s="1852"/>
      <c r="E123" s="1856"/>
      <c r="F123" s="1856"/>
      <c r="G123" s="1856"/>
      <c r="H123" s="1856"/>
      <c r="I123" s="1856"/>
      <c r="J123" s="1856"/>
      <c r="K123" s="1856"/>
      <c r="L123" s="1856"/>
      <c r="M123" s="1856"/>
      <c r="N123" s="1856"/>
      <c r="O123" s="1852"/>
      <c r="P123" s="1852"/>
      <c r="Q123" s="1855"/>
      <c r="R123" s="1855"/>
      <c r="S123" s="1855"/>
      <c r="T123" s="1855"/>
      <c r="U123" s="1855"/>
    </row>
    <row r="124" spans="2:21" ht="12.75" customHeight="1" x14ac:dyDescent="0.2">
      <c r="B124" s="1841"/>
      <c r="C124" s="1862"/>
      <c r="D124" s="1852"/>
      <c r="E124" s="1856"/>
      <c r="F124" s="1852"/>
      <c r="G124" s="1852"/>
      <c r="H124" s="1852"/>
      <c r="I124" s="1852"/>
      <c r="J124" s="1852"/>
      <c r="K124" s="1852"/>
      <c r="L124" s="1852"/>
      <c r="M124" s="1852"/>
      <c r="N124" s="1852"/>
      <c r="O124" s="1852"/>
      <c r="P124" s="1852"/>
      <c r="Q124" s="1855"/>
      <c r="R124" s="1855"/>
      <c r="S124" s="1855"/>
      <c r="T124" s="1855"/>
      <c r="U124" s="1855"/>
    </row>
    <row r="125" spans="2:21" ht="12.75" customHeight="1" x14ac:dyDescent="0.2">
      <c r="B125" s="1841"/>
      <c r="C125" s="1863"/>
      <c r="D125" s="1852"/>
      <c r="E125" s="1854"/>
      <c r="F125" s="1852"/>
      <c r="G125" s="1852"/>
      <c r="H125" s="1852"/>
      <c r="I125" s="1852"/>
      <c r="J125" s="1852"/>
      <c r="K125" s="1852"/>
      <c r="L125" s="1852"/>
      <c r="M125" s="1852"/>
      <c r="N125" s="1852"/>
      <c r="O125" s="1852"/>
      <c r="P125" s="1852"/>
      <c r="Q125" s="1855"/>
      <c r="R125" s="1855"/>
      <c r="S125" s="1855"/>
      <c r="T125" s="1855"/>
      <c r="U125" s="1855"/>
    </row>
    <row r="126" spans="2:21" ht="12.75" customHeight="1" x14ac:dyDescent="0.2">
      <c r="B126" s="1841"/>
      <c r="C126" s="1856"/>
      <c r="D126" s="1852"/>
      <c r="E126" s="1856"/>
      <c r="F126" s="1856"/>
      <c r="G126" s="1856"/>
      <c r="H126" s="1856"/>
      <c r="I126" s="1856"/>
      <c r="J126" s="1856"/>
      <c r="K126" s="1856"/>
      <c r="L126" s="1856"/>
      <c r="M126" s="1856"/>
      <c r="N126" s="1856"/>
      <c r="O126" s="1852"/>
      <c r="P126" s="1852"/>
      <c r="Q126" s="1855"/>
      <c r="R126" s="1855"/>
      <c r="S126" s="1855"/>
      <c r="T126" s="1855"/>
      <c r="U126" s="1855"/>
    </row>
    <row r="127" spans="2:21" ht="12.75" customHeight="1" x14ac:dyDescent="0.2">
      <c r="B127" s="1841"/>
      <c r="C127" s="1841"/>
      <c r="D127" s="1841"/>
      <c r="E127" s="1841"/>
      <c r="F127" s="1841"/>
      <c r="G127" s="1841"/>
      <c r="H127" s="1841"/>
      <c r="I127" s="1841"/>
      <c r="J127" s="1841"/>
      <c r="K127" s="1841"/>
      <c r="L127" s="1841"/>
      <c r="M127" s="1841"/>
      <c r="N127" s="1841"/>
      <c r="O127" s="1841"/>
      <c r="P127" s="1841"/>
      <c r="Q127" s="1855"/>
      <c r="R127" s="1855"/>
      <c r="S127" s="1855"/>
      <c r="T127" s="1855"/>
      <c r="U127" s="1855"/>
    </row>
    <row r="128" spans="2:21" ht="12.75" customHeight="1" x14ac:dyDescent="0.2">
      <c r="B128" s="1841"/>
      <c r="C128" s="1841"/>
      <c r="D128" s="1841"/>
      <c r="E128" s="1841"/>
      <c r="F128" s="1841"/>
      <c r="G128" s="1841"/>
      <c r="H128" s="1841"/>
      <c r="I128" s="1841"/>
      <c r="J128" s="1841"/>
      <c r="K128" s="1841"/>
      <c r="L128" s="1841"/>
      <c r="M128" s="1841"/>
      <c r="N128" s="1841"/>
      <c r="O128" s="1841"/>
      <c r="P128" s="1841"/>
      <c r="Q128" s="1855"/>
      <c r="R128" s="1855"/>
      <c r="S128" s="1855"/>
      <c r="T128" s="1855"/>
      <c r="U128" s="1855"/>
    </row>
    <row r="129" spans="2:21" ht="12.75" customHeight="1" x14ac:dyDescent="0.2">
      <c r="B129" s="1841"/>
      <c r="C129" s="1841"/>
      <c r="D129" s="1841"/>
      <c r="E129" s="1841"/>
      <c r="F129" s="1841"/>
      <c r="G129" s="1841"/>
      <c r="H129" s="1841"/>
      <c r="I129" s="1841"/>
      <c r="J129" s="1841"/>
      <c r="K129" s="1841"/>
      <c r="L129" s="1841"/>
      <c r="M129" s="1841"/>
      <c r="N129" s="1841"/>
      <c r="O129" s="1841"/>
      <c r="P129" s="1841"/>
      <c r="Q129" s="1855"/>
      <c r="R129" s="1855"/>
      <c r="S129" s="1855"/>
      <c r="T129" s="1855"/>
      <c r="U129" s="1855"/>
    </row>
    <row r="130" spans="2:21" ht="12.75" customHeight="1" x14ac:dyDescent="0.2">
      <c r="B130" s="1841"/>
      <c r="C130" s="1841"/>
      <c r="D130" s="1841"/>
      <c r="E130" s="1841"/>
      <c r="F130" s="1841"/>
      <c r="G130" s="1841"/>
      <c r="H130" s="1841"/>
      <c r="I130" s="1841"/>
      <c r="J130" s="1841"/>
      <c r="K130" s="1841"/>
      <c r="L130" s="1841"/>
      <c r="M130" s="1841"/>
      <c r="N130" s="1841"/>
      <c r="O130" s="1841"/>
      <c r="P130" s="1841"/>
      <c r="Q130" s="1855"/>
      <c r="R130" s="1855"/>
      <c r="S130" s="1855"/>
      <c r="T130" s="1855"/>
      <c r="U130" s="1855"/>
    </row>
    <row r="131" spans="2:21" ht="12.75" customHeight="1" x14ac:dyDescent="0.2">
      <c r="B131" s="1841"/>
      <c r="C131" s="1864"/>
      <c r="D131" s="1841"/>
      <c r="E131" s="1841"/>
      <c r="F131" s="1841"/>
      <c r="G131" s="1841"/>
      <c r="H131" s="1841"/>
      <c r="I131" s="1841"/>
      <c r="J131" s="1841"/>
      <c r="K131" s="1841"/>
      <c r="L131" s="1841"/>
      <c r="M131" s="1841"/>
      <c r="N131" s="1841"/>
      <c r="O131" s="1841"/>
      <c r="P131" s="1841"/>
      <c r="Q131" s="1855"/>
      <c r="R131" s="1855"/>
      <c r="S131" s="1855"/>
      <c r="T131" s="1855"/>
      <c r="U131" s="1855"/>
    </row>
    <row r="132" spans="2:21" ht="12.75" customHeight="1" x14ac:dyDescent="0.2">
      <c r="B132" s="1841"/>
      <c r="C132" s="1864"/>
      <c r="D132" s="1841"/>
      <c r="E132" s="1841"/>
      <c r="F132" s="1841"/>
      <c r="G132" s="1841"/>
      <c r="H132" s="1841"/>
      <c r="I132" s="1841"/>
      <c r="J132" s="1841"/>
      <c r="K132" s="1841"/>
      <c r="L132" s="1841"/>
      <c r="M132" s="1841"/>
      <c r="N132" s="1841"/>
      <c r="O132" s="1841"/>
      <c r="P132" s="1841"/>
      <c r="Q132" s="1855"/>
      <c r="R132" s="1855"/>
      <c r="S132" s="1855"/>
      <c r="T132" s="1855"/>
      <c r="U132" s="1855"/>
    </row>
    <row r="133" spans="2:21" ht="12.75" customHeight="1" x14ac:dyDescent="0.2">
      <c r="B133" s="1841"/>
      <c r="C133" s="1862"/>
      <c r="D133" s="1852"/>
      <c r="E133" s="1856"/>
      <c r="F133" s="1856"/>
      <c r="G133" s="1856"/>
      <c r="H133" s="1856"/>
      <c r="I133" s="1856"/>
      <c r="J133" s="1856"/>
      <c r="K133" s="1856"/>
      <c r="L133" s="1856"/>
      <c r="M133" s="1856"/>
      <c r="N133" s="1856"/>
      <c r="O133" s="1852"/>
      <c r="P133" s="1852"/>
      <c r="Q133" s="1855"/>
      <c r="R133" s="1855"/>
      <c r="S133" s="1855"/>
      <c r="T133" s="1855"/>
      <c r="U133" s="1855"/>
    </row>
    <row r="134" spans="2:21" ht="12.75" customHeight="1" x14ac:dyDescent="0.2">
      <c r="B134" s="1841"/>
      <c r="C134" s="1862"/>
      <c r="D134" s="1852"/>
      <c r="E134" s="1856"/>
      <c r="F134" s="1852"/>
      <c r="G134" s="1852"/>
      <c r="H134" s="1852"/>
      <c r="I134" s="1852"/>
      <c r="J134" s="1852"/>
      <c r="K134" s="1852"/>
      <c r="L134" s="1852"/>
      <c r="M134" s="1852"/>
      <c r="N134" s="1852"/>
      <c r="O134" s="1852"/>
      <c r="P134" s="1852"/>
      <c r="Q134" s="1855"/>
      <c r="R134" s="1855"/>
      <c r="S134" s="1855"/>
      <c r="T134" s="1855"/>
      <c r="U134" s="1855"/>
    </row>
    <row r="135" spans="2:21" ht="12.75" customHeight="1" x14ac:dyDescent="0.2">
      <c r="B135" s="1841"/>
      <c r="C135" s="1860"/>
      <c r="D135" s="1852"/>
      <c r="E135" s="1860"/>
      <c r="F135" s="1860"/>
      <c r="G135" s="1860"/>
      <c r="H135" s="1860"/>
      <c r="I135" s="1860"/>
      <c r="J135" s="1860"/>
      <c r="K135" s="1860"/>
      <c r="L135" s="1860"/>
      <c r="M135" s="1860"/>
      <c r="N135" s="1860"/>
      <c r="O135" s="1852"/>
      <c r="P135" s="1852"/>
      <c r="Q135" s="1855"/>
      <c r="R135" s="1855"/>
      <c r="S135" s="1855"/>
      <c r="T135" s="1855"/>
      <c r="U135" s="1855"/>
    </row>
    <row r="136" spans="2:21" ht="12.75" customHeight="1" x14ac:dyDescent="0.2">
      <c r="B136" s="1841"/>
      <c r="C136" s="1860"/>
      <c r="D136" s="1852"/>
      <c r="E136" s="1860"/>
      <c r="F136" s="1860"/>
      <c r="G136" s="1860"/>
      <c r="H136" s="1860"/>
      <c r="I136" s="1860"/>
      <c r="J136" s="1860"/>
      <c r="K136" s="1860"/>
      <c r="L136" s="1860"/>
      <c r="M136" s="1860"/>
      <c r="N136" s="1860"/>
      <c r="O136" s="1852"/>
      <c r="P136" s="1852"/>
      <c r="Q136" s="1855"/>
      <c r="R136" s="1855"/>
      <c r="S136" s="1855"/>
      <c r="T136" s="1855"/>
      <c r="U136" s="1855"/>
    </row>
    <row r="137" spans="2:21" ht="12.75" customHeight="1" x14ac:dyDescent="0.2">
      <c r="B137" s="1841"/>
      <c r="C137" s="1860"/>
      <c r="D137" s="1852"/>
      <c r="E137" s="1860"/>
      <c r="F137" s="1860"/>
      <c r="G137" s="1860"/>
      <c r="H137" s="1860"/>
      <c r="I137" s="1860"/>
      <c r="J137" s="1860"/>
      <c r="K137" s="1860"/>
      <c r="L137" s="1860"/>
      <c r="M137" s="1860"/>
      <c r="N137" s="1860"/>
      <c r="O137" s="1852"/>
      <c r="P137" s="1852"/>
      <c r="Q137" s="1855"/>
      <c r="R137" s="1855"/>
      <c r="S137" s="1855"/>
      <c r="T137" s="1855"/>
      <c r="U137" s="1855"/>
    </row>
    <row r="138" spans="2:21" ht="12.75" customHeight="1" x14ac:dyDescent="0.2">
      <c r="B138" s="1841"/>
      <c r="C138" s="1856"/>
      <c r="D138" s="1852"/>
      <c r="E138" s="1856"/>
      <c r="F138" s="1856"/>
      <c r="G138" s="1856"/>
      <c r="H138" s="1856"/>
      <c r="I138" s="1856"/>
      <c r="J138" s="1856"/>
      <c r="K138" s="1856"/>
      <c r="L138" s="1856"/>
      <c r="M138" s="1856"/>
      <c r="N138" s="1856"/>
      <c r="O138" s="1852"/>
      <c r="P138" s="1852"/>
      <c r="Q138" s="1855"/>
      <c r="R138" s="1855"/>
      <c r="S138" s="1855"/>
      <c r="T138" s="1855"/>
      <c r="U138" s="1855"/>
    </row>
    <row r="139" spans="2:21" ht="12.75" customHeight="1" x14ac:dyDescent="0.2">
      <c r="B139" s="1841"/>
      <c r="C139" s="1856"/>
      <c r="D139" s="1852"/>
      <c r="E139" s="1856"/>
      <c r="F139" s="1856"/>
      <c r="G139" s="1856"/>
      <c r="H139" s="1856"/>
      <c r="I139" s="1856"/>
      <c r="J139" s="1856"/>
      <c r="K139" s="1856"/>
      <c r="L139" s="1856"/>
      <c r="M139" s="1856"/>
      <c r="N139" s="1856"/>
      <c r="O139" s="1852"/>
      <c r="P139" s="1852"/>
      <c r="Q139" s="1855"/>
      <c r="R139" s="1855"/>
      <c r="S139" s="1855"/>
      <c r="T139" s="1855"/>
      <c r="U139" s="1855"/>
    </row>
    <row r="140" spans="2:21" ht="12.75" customHeight="1" x14ac:dyDescent="0.2">
      <c r="B140" s="1841"/>
      <c r="C140" s="1856"/>
      <c r="D140" s="1852"/>
      <c r="E140" s="1856"/>
      <c r="F140" s="1856"/>
      <c r="G140" s="1856"/>
      <c r="H140" s="1856"/>
      <c r="I140" s="1856"/>
      <c r="J140" s="1856"/>
      <c r="K140" s="1856"/>
      <c r="L140" s="1856"/>
      <c r="M140" s="1856"/>
      <c r="N140" s="1856"/>
      <c r="O140" s="1852"/>
      <c r="P140" s="1852"/>
      <c r="Q140" s="1855"/>
      <c r="R140" s="1855"/>
      <c r="S140" s="1855"/>
      <c r="T140" s="1855"/>
      <c r="U140" s="1855"/>
    </row>
    <row r="141" spans="2:21" ht="12.75" customHeight="1" x14ac:dyDescent="0.2">
      <c r="B141" s="1841"/>
      <c r="C141" s="1856"/>
      <c r="D141" s="1852"/>
      <c r="E141" s="1856"/>
      <c r="F141" s="1856"/>
      <c r="G141" s="1856"/>
      <c r="H141" s="1856"/>
      <c r="I141" s="1856"/>
      <c r="J141" s="1856"/>
      <c r="K141" s="1856"/>
      <c r="L141" s="1856"/>
      <c r="M141" s="1856"/>
      <c r="N141" s="1856"/>
      <c r="O141" s="1852"/>
      <c r="P141" s="1852"/>
      <c r="Q141" s="1855"/>
      <c r="R141" s="1855"/>
      <c r="S141" s="1855"/>
      <c r="T141" s="1855"/>
      <c r="U141" s="1855"/>
    </row>
    <row r="142" spans="2:21" ht="12.75" customHeight="1" x14ac:dyDescent="0.2">
      <c r="B142" s="1841"/>
      <c r="C142" s="1841"/>
      <c r="D142" s="1841"/>
      <c r="E142" s="1841"/>
      <c r="F142" s="1841"/>
      <c r="G142" s="1841"/>
      <c r="H142" s="1841"/>
      <c r="I142" s="1841"/>
      <c r="J142" s="1841"/>
      <c r="K142" s="1841"/>
      <c r="L142" s="1841"/>
      <c r="M142" s="1841"/>
      <c r="N142" s="1841"/>
      <c r="O142" s="1841"/>
      <c r="P142" s="1841"/>
      <c r="Q142" s="1855"/>
      <c r="R142" s="1855"/>
      <c r="S142" s="1855"/>
      <c r="T142" s="1855"/>
      <c r="U142" s="1855"/>
    </row>
    <row r="143" spans="2:21" ht="12.75" customHeight="1" x14ac:dyDescent="0.2">
      <c r="B143" s="1841"/>
      <c r="C143" s="1864"/>
      <c r="D143" s="1841"/>
      <c r="E143" s="1841"/>
      <c r="F143" s="1841"/>
      <c r="G143" s="1841"/>
      <c r="H143" s="1841"/>
      <c r="I143" s="1841"/>
      <c r="J143" s="1841"/>
      <c r="K143" s="1841"/>
      <c r="L143" s="1841"/>
      <c r="M143" s="1841"/>
      <c r="N143" s="1841"/>
      <c r="O143" s="1841"/>
      <c r="P143" s="1841"/>
      <c r="Q143" s="1855"/>
      <c r="R143" s="1855"/>
      <c r="S143" s="1855"/>
      <c r="T143" s="1855"/>
      <c r="U143" s="1855"/>
    </row>
    <row r="144" spans="2:21" ht="12.75" customHeight="1" x14ac:dyDescent="0.2">
      <c r="B144" s="1841"/>
      <c r="C144" s="1864"/>
      <c r="D144" s="1841"/>
      <c r="E144" s="1841"/>
      <c r="F144" s="1841"/>
      <c r="G144" s="1841"/>
      <c r="H144" s="1841"/>
      <c r="I144" s="1841"/>
      <c r="J144" s="1841"/>
      <c r="K144" s="1841"/>
      <c r="L144" s="1841"/>
      <c r="M144" s="1841"/>
      <c r="N144" s="1841"/>
      <c r="O144" s="1841"/>
      <c r="P144" s="1841"/>
      <c r="Q144" s="1855"/>
      <c r="R144" s="1855"/>
      <c r="S144" s="1855"/>
      <c r="T144" s="1855"/>
      <c r="U144" s="1855"/>
    </row>
    <row r="145" spans="2:21" ht="12.75" customHeight="1" x14ac:dyDescent="0.2">
      <c r="B145" s="1841"/>
      <c r="C145" s="1865"/>
      <c r="D145" s="1866"/>
      <c r="E145" s="1861"/>
      <c r="F145" s="1866"/>
      <c r="G145" s="1866"/>
      <c r="H145" s="1866"/>
      <c r="I145" s="1866"/>
      <c r="J145" s="1866"/>
      <c r="K145" s="1866"/>
      <c r="L145" s="1866"/>
      <c r="M145" s="1866"/>
      <c r="N145" s="1866"/>
      <c r="O145" s="1841"/>
      <c r="P145" s="1841"/>
      <c r="Q145" s="1867"/>
      <c r="R145" s="1868"/>
      <c r="S145" s="1868"/>
      <c r="T145" s="1868"/>
      <c r="U145" s="1855"/>
    </row>
    <row r="146" spans="2:21" ht="12.75" customHeight="1" x14ac:dyDescent="0.2">
      <c r="B146" s="1841"/>
      <c r="C146" s="1865"/>
      <c r="D146" s="1841"/>
      <c r="E146" s="1841"/>
      <c r="F146" s="1841"/>
      <c r="G146" s="1841"/>
      <c r="H146" s="1841"/>
      <c r="I146" s="1841"/>
      <c r="J146" s="1841"/>
      <c r="K146" s="1841"/>
      <c r="L146" s="1841"/>
      <c r="M146" s="1841"/>
      <c r="N146" s="1841"/>
      <c r="O146" s="1841"/>
      <c r="P146" s="1841"/>
      <c r="Q146" s="1869"/>
      <c r="R146" s="1868"/>
      <c r="S146" s="1868"/>
      <c r="T146" s="1868"/>
      <c r="U146" s="1855"/>
    </row>
    <row r="147" spans="2:21" ht="12.75" customHeight="1" x14ac:dyDescent="0.2">
      <c r="B147" s="1841"/>
      <c r="C147" s="1865"/>
      <c r="D147" s="1866"/>
      <c r="E147" s="1861"/>
      <c r="F147" s="1866"/>
      <c r="G147" s="1866"/>
      <c r="H147" s="1866"/>
      <c r="I147" s="1866"/>
      <c r="J147" s="1866"/>
      <c r="K147" s="1866"/>
      <c r="L147" s="1866"/>
      <c r="M147" s="1866"/>
      <c r="N147" s="1866"/>
      <c r="O147" s="1841"/>
      <c r="P147" s="1841"/>
      <c r="Q147" s="1867"/>
      <c r="R147" s="1868"/>
      <c r="S147" s="1868"/>
      <c r="T147" s="1868"/>
      <c r="U147" s="1855"/>
    </row>
    <row r="148" spans="2:21" ht="12.75" customHeight="1" x14ac:dyDescent="0.2">
      <c r="B148" s="1841"/>
      <c r="C148" s="1865"/>
      <c r="D148" s="1866"/>
      <c r="E148" s="1861"/>
      <c r="F148" s="1866"/>
      <c r="G148" s="1866"/>
      <c r="H148" s="1866"/>
      <c r="I148" s="1866"/>
      <c r="J148" s="1866"/>
      <c r="K148" s="1866"/>
      <c r="L148" s="1866"/>
      <c r="M148" s="1866"/>
      <c r="N148" s="1866"/>
      <c r="O148" s="1865"/>
      <c r="P148" s="1865"/>
      <c r="Q148" s="1868"/>
      <c r="R148" s="1868"/>
      <c r="S148" s="1868"/>
      <c r="T148" s="1868"/>
      <c r="U148" s="1855"/>
    </row>
    <row r="149" spans="2:21" ht="12.75" customHeight="1" x14ac:dyDescent="0.2">
      <c r="B149" s="1841"/>
      <c r="C149" s="1861"/>
      <c r="D149" s="1861"/>
      <c r="E149" s="1861"/>
      <c r="F149" s="1861"/>
      <c r="G149" s="1861"/>
      <c r="H149" s="1861"/>
      <c r="I149" s="1861"/>
      <c r="J149" s="1861"/>
      <c r="K149" s="1861"/>
      <c r="L149" s="1861"/>
      <c r="M149" s="1861"/>
      <c r="N149" s="1861"/>
      <c r="O149" s="1861"/>
      <c r="P149" s="1861"/>
      <c r="Q149" s="1868"/>
      <c r="R149" s="1868"/>
      <c r="S149" s="1868"/>
      <c r="T149" s="1868"/>
      <c r="U149" s="1855"/>
    </row>
    <row r="150" spans="2:21" ht="12.75" customHeight="1" x14ac:dyDescent="0.2">
      <c r="B150" s="1841"/>
      <c r="C150" s="1841"/>
      <c r="D150" s="1841"/>
      <c r="E150" s="1841"/>
      <c r="F150" s="1841"/>
      <c r="G150" s="1841"/>
      <c r="H150" s="1841"/>
      <c r="I150" s="1841"/>
      <c r="J150" s="1841"/>
      <c r="K150" s="1841"/>
      <c r="L150" s="1841"/>
      <c r="M150" s="1841"/>
      <c r="N150" s="1841"/>
      <c r="O150" s="1841"/>
      <c r="P150" s="1841"/>
      <c r="Q150" s="1855"/>
      <c r="R150" s="1855"/>
      <c r="S150" s="1855"/>
      <c r="T150" s="1855"/>
      <c r="U150" s="1855"/>
    </row>
    <row r="151" spans="2:21" ht="12.75" customHeight="1" x14ac:dyDescent="0.2">
      <c r="B151" s="1841"/>
      <c r="C151" s="1865"/>
      <c r="D151" s="1841"/>
      <c r="E151" s="1841"/>
      <c r="F151" s="1841"/>
      <c r="G151" s="1841"/>
      <c r="H151" s="1841"/>
      <c r="I151" s="1841"/>
      <c r="J151" s="1841"/>
      <c r="K151" s="1841"/>
      <c r="L151" s="1841"/>
      <c r="M151" s="1841"/>
      <c r="N151" s="1841"/>
      <c r="O151" s="1841"/>
      <c r="P151" s="1841"/>
      <c r="Q151" s="1855"/>
      <c r="R151" s="1855"/>
      <c r="S151" s="1855"/>
      <c r="T151" s="1855"/>
      <c r="U151" s="1855"/>
    </row>
    <row r="152" spans="2:21" ht="12.75" customHeight="1" x14ac:dyDescent="0.2">
      <c r="B152" s="1841"/>
      <c r="C152" s="1870"/>
      <c r="D152" s="1841"/>
      <c r="E152" s="1841"/>
      <c r="F152" s="1841"/>
      <c r="G152" s="1841"/>
      <c r="H152" s="1841"/>
      <c r="I152" s="1841"/>
      <c r="J152" s="1841"/>
      <c r="K152" s="1841"/>
      <c r="L152" s="1841"/>
      <c r="M152" s="1841"/>
      <c r="N152" s="1841"/>
      <c r="O152" s="1841"/>
      <c r="P152" s="1841"/>
      <c r="Q152" s="1855"/>
      <c r="R152" s="1855"/>
      <c r="S152" s="1855"/>
      <c r="T152" s="1855"/>
      <c r="U152" s="1855"/>
    </row>
    <row r="153" spans="2:21" ht="12.75" customHeight="1" x14ac:dyDescent="0.2">
      <c r="B153" s="1841"/>
      <c r="C153" s="1865"/>
      <c r="D153" s="1841"/>
      <c r="E153" s="1841"/>
      <c r="F153" s="1841"/>
      <c r="G153" s="1841"/>
      <c r="H153" s="1841"/>
      <c r="I153" s="1841"/>
      <c r="J153" s="1841"/>
      <c r="K153" s="1841"/>
      <c r="L153" s="1841"/>
      <c r="M153" s="1841"/>
      <c r="N153" s="1841"/>
      <c r="O153" s="1841"/>
      <c r="P153" s="1841"/>
      <c r="Q153" s="1855"/>
      <c r="R153" s="1855"/>
      <c r="S153" s="1855"/>
      <c r="T153" s="1855"/>
      <c r="U153" s="1855"/>
    </row>
    <row r="154" spans="2:21" ht="12.75" customHeight="1" x14ac:dyDescent="0.2">
      <c r="B154" s="1841"/>
      <c r="C154" s="1870"/>
      <c r="D154" s="1841"/>
      <c r="E154" s="1841"/>
      <c r="F154" s="1841"/>
      <c r="G154" s="1841"/>
      <c r="H154" s="1841"/>
      <c r="I154" s="1841"/>
      <c r="J154" s="1841"/>
      <c r="K154" s="1841"/>
      <c r="L154" s="1841"/>
      <c r="M154" s="1841"/>
      <c r="N154" s="1841"/>
      <c r="O154" s="1841"/>
      <c r="P154" s="1841"/>
      <c r="Q154" s="1855"/>
      <c r="R154" s="1855"/>
      <c r="S154" s="1855"/>
      <c r="T154" s="1855"/>
      <c r="U154" s="1855"/>
    </row>
    <row r="155" spans="2:21" ht="12.75" customHeight="1" x14ac:dyDescent="0.2">
      <c r="B155" s="1841"/>
      <c r="C155" s="1871"/>
      <c r="D155" s="1852"/>
      <c r="E155" s="1852"/>
      <c r="F155" s="1852"/>
      <c r="G155" s="1852"/>
      <c r="H155" s="1852"/>
      <c r="I155" s="1852"/>
      <c r="J155" s="1852"/>
      <c r="K155" s="1852"/>
      <c r="L155" s="1852"/>
      <c r="M155" s="1852"/>
      <c r="N155" s="1852"/>
      <c r="O155" s="1852"/>
      <c r="P155" s="1852"/>
      <c r="Q155" s="1872"/>
      <c r="R155" s="1872"/>
      <c r="S155" s="1872"/>
      <c r="T155" s="1872"/>
      <c r="U155" s="1872"/>
    </row>
    <row r="156" spans="2:21" ht="12.75" customHeight="1" x14ac:dyDescent="0.2">
      <c r="B156" s="1841"/>
      <c r="C156" s="1852"/>
      <c r="D156" s="1852"/>
      <c r="E156" s="1852"/>
      <c r="F156" s="1852"/>
      <c r="G156" s="1852"/>
      <c r="H156" s="1852"/>
      <c r="I156" s="1852"/>
      <c r="J156" s="1852"/>
      <c r="K156" s="1852"/>
      <c r="L156" s="1852"/>
      <c r="M156" s="1852"/>
      <c r="N156" s="1852"/>
      <c r="O156" s="1852"/>
      <c r="P156" s="1852"/>
      <c r="Q156" s="1872"/>
      <c r="R156" s="1872"/>
      <c r="S156" s="1872"/>
      <c r="T156" s="1872"/>
      <c r="U156" s="1872"/>
    </row>
    <row r="157" spans="2:21" ht="12.75" customHeight="1" x14ac:dyDescent="0.2">
      <c r="B157" s="1841"/>
      <c r="C157" s="1870"/>
      <c r="D157" s="1841"/>
      <c r="E157" s="1841"/>
      <c r="F157" s="1841"/>
      <c r="G157" s="1841"/>
      <c r="H157" s="1841"/>
      <c r="I157" s="1841"/>
      <c r="J157" s="1841"/>
      <c r="K157" s="1841"/>
      <c r="L157" s="1841"/>
      <c r="M157" s="1841"/>
      <c r="N157" s="1841"/>
      <c r="O157" s="1841"/>
      <c r="P157" s="1841"/>
      <c r="Q157" s="1855"/>
      <c r="R157" s="1855"/>
      <c r="S157" s="1855"/>
      <c r="T157" s="1855"/>
      <c r="U157" s="1855"/>
    </row>
    <row r="158" spans="2:21" ht="12.75" customHeight="1" x14ac:dyDescent="0.2">
      <c r="B158" s="1841"/>
      <c r="C158" s="1871"/>
      <c r="D158" s="1852"/>
      <c r="E158" s="1852"/>
      <c r="F158" s="1852"/>
      <c r="G158" s="1852"/>
      <c r="H158" s="1852"/>
      <c r="I158" s="1852"/>
      <c r="J158" s="1852"/>
      <c r="K158" s="1852"/>
      <c r="L158" s="1852"/>
      <c r="M158" s="1852"/>
      <c r="N158" s="1852"/>
      <c r="O158" s="1852"/>
      <c r="P158" s="1852"/>
      <c r="Q158" s="1872"/>
      <c r="R158" s="1872"/>
      <c r="S158" s="1872"/>
      <c r="T158" s="1872"/>
      <c r="U158" s="1872"/>
    </row>
    <row r="159" spans="2:21" ht="12.75" customHeight="1" x14ac:dyDescent="0.2">
      <c r="B159" s="1841"/>
      <c r="C159" s="1852"/>
      <c r="D159" s="1852"/>
      <c r="E159" s="1852"/>
      <c r="F159" s="1852"/>
      <c r="G159" s="1852"/>
      <c r="H159" s="1852"/>
      <c r="I159" s="1852"/>
      <c r="J159" s="1852"/>
      <c r="K159" s="1852"/>
      <c r="L159" s="1852"/>
      <c r="M159" s="1852"/>
      <c r="N159" s="1852"/>
      <c r="O159" s="1852"/>
      <c r="P159" s="1852"/>
      <c r="Q159" s="1872"/>
      <c r="R159" s="1872"/>
      <c r="S159" s="1872"/>
      <c r="T159" s="1872"/>
      <c r="U159" s="1872"/>
    </row>
    <row r="160" spans="2:21" ht="12.75" customHeight="1" x14ac:dyDescent="0.2">
      <c r="B160" s="1841"/>
      <c r="C160" s="1852"/>
      <c r="D160" s="1852"/>
      <c r="E160" s="1852"/>
      <c r="F160" s="1852"/>
      <c r="G160" s="1852"/>
      <c r="H160" s="1852"/>
      <c r="I160" s="1852"/>
      <c r="J160" s="1852"/>
      <c r="K160" s="1852"/>
      <c r="L160" s="1852"/>
      <c r="M160" s="1852"/>
      <c r="N160" s="1852"/>
      <c r="O160" s="1852"/>
      <c r="P160" s="1852"/>
      <c r="Q160" s="1872"/>
      <c r="R160" s="1872"/>
      <c r="S160" s="1872"/>
      <c r="T160" s="1872"/>
      <c r="U160" s="1872"/>
    </row>
    <row r="161" spans="2:21" ht="12.75" customHeight="1" x14ac:dyDescent="0.2">
      <c r="B161" s="1841"/>
      <c r="C161" s="1861"/>
      <c r="D161" s="1841"/>
      <c r="E161" s="1841"/>
      <c r="F161" s="1841"/>
      <c r="G161" s="1841"/>
      <c r="H161" s="1841"/>
      <c r="I161" s="1841"/>
      <c r="J161" s="1841"/>
      <c r="K161" s="1841"/>
      <c r="L161" s="1841"/>
      <c r="M161" s="1841"/>
      <c r="N161" s="1841"/>
      <c r="O161" s="1841"/>
      <c r="P161" s="1841"/>
      <c r="Q161" s="1855"/>
      <c r="R161" s="1855"/>
      <c r="S161" s="1855"/>
      <c r="T161" s="1855"/>
      <c r="U161" s="1855"/>
    </row>
    <row r="162" spans="2:21" ht="12.75" customHeight="1" x14ac:dyDescent="0.2">
      <c r="B162" s="1841"/>
      <c r="C162" s="1841"/>
      <c r="D162" s="1841"/>
      <c r="E162" s="1841"/>
      <c r="F162" s="1841"/>
      <c r="G162" s="1841"/>
      <c r="H162" s="1841"/>
      <c r="I162" s="1841"/>
      <c r="J162" s="1841"/>
      <c r="K162" s="1841"/>
      <c r="L162" s="1841"/>
      <c r="M162" s="1841"/>
      <c r="N162" s="1841"/>
      <c r="O162" s="1841"/>
      <c r="P162" s="1841"/>
      <c r="Q162" s="1855"/>
      <c r="R162" s="1855"/>
      <c r="S162" s="1855"/>
      <c r="T162" s="1855"/>
      <c r="U162" s="1855"/>
    </row>
    <row r="163" spans="2:21" ht="12.75" customHeight="1" x14ac:dyDescent="0.25">
      <c r="B163" s="1873"/>
      <c r="C163" s="1841"/>
      <c r="D163" s="1841"/>
      <c r="E163" s="1841"/>
      <c r="F163" s="1841"/>
      <c r="G163" s="1841"/>
      <c r="H163" s="1841"/>
      <c r="I163" s="1841"/>
      <c r="J163" s="1841"/>
      <c r="K163" s="1841"/>
      <c r="L163" s="1841"/>
      <c r="M163" s="1841"/>
      <c r="N163" s="1841"/>
      <c r="O163" s="1841"/>
      <c r="P163" s="1841"/>
      <c r="Q163" s="1855"/>
      <c r="R163" s="1855"/>
      <c r="S163" s="1855"/>
      <c r="T163" s="1855"/>
      <c r="U163" s="1855"/>
    </row>
    <row r="164" spans="2:21" ht="12.75" customHeight="1" x14ac:dyDescent="0.2">
      <c r="B164" s="1841"/>
      <c r="C164" s="1841"/>
      <c r="D164" s="1841"/>
      <c r="E164" s="1841"/>
      <c r="F164" s="1841"/>
      <c r="G164" s="1841"/>
      <c r="H164" s="1841"/>
      <c r="I164" s="1841"/>
      <c r="J164" s="1841"/>
      <c r="K164" s="1841"/>
      <c r="L164" s="1841"/>
      <c r="M164" s="1841"/>
      <c r="N164" s="1841"/>
      <c r="O164" s="1841"/>
      <c r="P164" s="1841"/>
      <c r="Q164" s="1855"/>
      <c r="R164" s="1855"/>
      <c r="S164" s="1855"/>
      <c r="T164" s="1855"/>
      <c r="U164" s="1855"/>
    </row>
    <row r="165" spans="2:21" ht="12.75" customHeight="1" x14ac:dyDescent="0.2">
      <c r="B165" s="1841"/>
      <c r="C165" s="1862"/>
      <c r="D165" s="1852"/>
      <c r="E165" s="1841"/>
      <c r="F165" s="1852"/>
      <c r="G165" s="1852"/>
      <c r="H165" s="1852"/>
      <c r="I165" s="1852"/>
      <c r="J165" s="1852"/>
      <c r="K165" s="1852"/>
      <c r="L165" s="1852"/>
      <c r="M165" s="1852"/>
      <c r="N165" s="1852"/>
      <c r="O165" s="1841"/>
      <c r="P165" s="1841"/>
      <c r="Q165" s="1855"/>
      <c r="R165" s="1855"/>
      <c r="S165" s="1855"/>
      <c r="T165" s="1855"/>
      <c r="U165" s="1855"/>
    </row>
    <row r="166" spans="2:21" ht="12.75" customHeight="1" x14ac:dyDescent="0.2">
      <c r="C166" s="1874"/>
      <c r="D166" s="1861"/>
      <c r="E166" s="1861"/>
      <c r="F166" s="1861"/>
      <c r="G166" s="1861"/>
      <c r="H166" s="1861"/>
      <c r="I166" s="1861"/>
      <c r="J166" s="1861"/>
      <c r="K166" s="1861"/>
      <c r="L166" s="1861"/>
      <c r="M166" s="1861"/>
      <c r="N166" s="1861"/>
    </row>
    <row r="167" spans="2:21" ht="12.75" customHeight="1" x14ac:dyDescent="0.2">
      <c r="C167" s="1874"/>
      <c r="D167" s="1861"/>
      <c r="E167" s="1861"/>
      <c r="F167" s="1861"/>
      <c r="G167" s="1861"/>
      <c r="H167" s="1861"/>
      <c r="I167" s="1861"/>
      <c r="J167" s="1861"/>
      <c r="K167" s="1861"/>
      <c r="L167" s="1861"/>
      <c r="M167" s="1861"/>
      <c r="N167" s="1861"/>
    </row>
    <row r="168" spans="2:21" ht="12.75" customHeight="1" x14ac:dyDescent="0.2">
      <c r="C168" s="1874"/>
      <c r="D168" s="1861"/>
      <c r="E168" s="1861"/>
      <c r="F168" s="1861"/>
      <c r="G168" s="1861"/>
      <c r="H168" s="1861"/>
      <c r="I168" s="1861"/>
      <c r="J168" s="1861"/>
      <c r="K168" s="1861"/>
      <c r="L168" s="1861"/>
      <c r="M168" s="1861"/>
      <c r="N168" s="1861"/>
    </row>
    <row r="169" spans="2:21" ht="12.75" customHeight="1" x14ac:dyDescent="0.2">
      <c r="C169" s="1874"/>
      <c r="D169" s="1861"/>
      <c r="E169" s="1861"/>
      <c r="F169" s="1861"/>
      <c r="G169" s="1861"/>
      <c r="H169" s="1861"/>
      <c r="I169" s="1861"/>
      <c r="J169" s="1861"/>
      <c r="K169" s="1861"/>
      <c r="L169" s="1861"/>
      <c r="M169" s="1861"/>
      <c r="N169" s="1861"/>
    </row>
    <row r="170" spans="2:21" ht="12.75" customHeight="1" x14ac:dyDescent="0.2">
      <c r="C170" s="1875"/>
      <c r="D170" s="1861"/>
      <c r="E170" s="1861"/>
      <c r="F170" s="1861"/>
      <c r="G170" s="1861"/>
      <c r="H170" s="1861"/>
      <c r="I170" s="1861"/>
      <c r="J170" s="1861"/>
      <c r="K170" s="1861"/>
      <c r="L170" s="1861"/>
      <c r="M170" s="1861"/>
      <c r="N170" s="1861"/>
    </row>
    <row r="171" spans="2:21" ht="12.75" customHeight="1" x14ac:dyDescent="0.2">
      <c r="C171" s="1876"/>
      <c r="D171" s="1877"/>
      <c r="E171" s="1878"/>
      <c r="F171" s="1852"/>
      <c r="G171" s="1852"/>
      <c r="H171" s="1852"/>
      <c r="I171" s="1852"/>
      <c r="J171" s="1852"/>
      <c r="K171" s="1852"/>
      <c r="L171" s="1852"/>
      <c r="M171" s="1852"/>
      <c r="N171" s="1852"/>
    </row>
    <row r="172" spans="2:21" ht="12.75" customHeight="1" x14ac:dyDescent="0.2">
      <c r="C172" s="1863"/>
      <c r="D172" s="1879"/>
      <c r="E172" s="1880"/>
      <c r="F172" s="1879"/>
      <c r="G172" s="1879"/>
      <c r="H172" s="1879"/>
      <c r="I172" s="1879"/>
      <c r="J172" s="1879"/>
      <c r="K172" s="1879"/>
      <c r="L172" s="1879"/>
      <c r="M172" s="1879"/>
      <c r="N172" s="1879"/>
    </row>
    <row r="173" spans="2:21" ht="12.75" customHeight="1" x14ac:dyDescent="0.2">
      <c r="C173" s="1852"/>
      <c r="D173" s="1881"/>
      <c r="E173" s="1880"/>
      <c r="F173" s="1879"/>
      <c r="G173" s="1879"/>
      <c r="H173" s="1879"/>
      <c r="I173" s="1879"/>
      <c r="J173" s="1879"/>
      <c r="K173" s="1879"/>
      <c r="L173" s="1879"/>
      <c r="M173" s="1879"/>
      <c r="N173" s="1879"/>
    </row>
    <row r="174" spans="2:21" ht="12.75" customHeight="1" x14ac:dyDescent="0.2">
      <c r="C174" s="1852"/>
      <c r="D174" s="1852"/>
      <c r="E174" s="1841"/>
      <c r="F174" s="1882"/>
      <c r="G174" s="1882"/>
      <c r="H174" s="1882"/>
      <c r="I174" s="1882"/>
      <c r="J174" s="1882"/>
      <c r="K174" s="1882"/>
      <c r="L174" s="1882"/>
      <c r="M174" s="1882"/>
      <c r="N174" s="1882"/>
    </row>
    <row r="175" spans="2:21" ht="12.75" customHeight="1" x14ac:dyDescent="0.2">
      <c r="C175" s="1852"/>
      <c r="D175" s="1852"/>
      <c r="E175" s="1841"/>
      <c r="F175" s="1841"/>
      <c r="G175" s="1841"/>
      <c r="H175" s="1841"/>
      <c r="I175" s="1841"/>
      <c r="J175" s="1841"/>
      <c r="K175" s="1841"/>
      <c r="L175" s="1841"/>
      <c r="M175" s="1841"/>
      <c r="N175" s="1841"/>
    </row>
    <row r="176" spans="2:21" ht="12.75" customHeight="1" x14ac:dyDescent="0.2">
      <c r="C176" s="1852"/>
      <c r="D176" s="1852"/>
      <c r="E176" s="1841"/>
      <c r="F176" s="1841"/>
      <c r="G176" s="1841"/>
      <c r="H176" s="1841"/>
      <c r="I176" s="1841"/>
      <c r="J176" s="1841"/>
      <c r="K176" s="1841"/>
      <c r="L176" s="1841"/>
      <c r="M176" s="1841"/>
      <c r="N176" s="1841"/>
    </row>
    <row r="177" spans="3:14" ht="12.75" customHeight="1" x14ac:dyDescent="0.2">
      <c r="C177" s="1852"/>
      <c r="D177" s="1852"/>
      <c r="E177" s="1841"/>
      <c r="F177" s="1841"/>
      <c r="G177" s="1841"/>
      <c r="H177" s="1841"/>
      <c r="I177" s="1841"/>
      <c r="J177" s="1841"/>
      <c r="K177" s="1841"/>
      <c r="L177" s="1841"/>
      <c r="M177" s="1841"/>
      <c r="N177" s="1841"/>
    </row>
    <row r="178" spans="3:14" ht="12.75" customHeight="1" x14ac:dyDescent="0.2">
      <c r="C178" s="1852"/>
      <c r="D178" s="1852"/>
      <c r="E178" s="1841"/>
      <c r="F178" s="1841"/>
      <c r="G178" s="1841"/>
      <c r="H178" s="1841"/>
      <c r="I178" s="1841"/>
      <c r="J178" s="1841"/>
      <c r="K178" s="1841"/>
      <c r="L178" s="1841"/>
      <c r="M178" s="1841"/>
      <c r="N178" s="1841"/>
    </row>
    <row r="179" spans="3:14" ht="12.75" customHeight="1" x14ac:dyDescent="0.2">
      <c r="C179" s="1852"/>
      <c r="D179" s="1852"/>
      <c r="E179" s="1841"/>
      <c r="F179" s="1882"/>
      <c r="G179" s="1882"/>
      <c r="H179" s="1882"/>
      <c r="I179" s="1882"/>
      <c r="J179" s="1882"/>
      <c r="K179" s="1882"/>
      <c r="L179" s="1882"/>
      <c r="M179" s="1882"/>
      <c r="N179" s="1882"/>
    </row>
    <row r="180" spans="3:14" ht="12.75" customHeight="1" x14ac:dyDescent="0.2">
      <c r="C180" s="1852"/>
      <c r="D180" s="1852"/>
      <c r="E180" s="1841"/>
      <c r="F180" s="1841"/>
      <c r="G180" s="1841"/>
      <c r="H180" s="1841"/>
      <c r="I180" s="1841"/>
      <c r="J180" s="1841"/>
      <c r="K180" s="1841"/>
      <c r="L180" s="1841"/>
      <c r="M180" s="1841"/>
      <c r="N180" s="1841"/>
    </row>
    <row r="181" spans="3:14" ht="12.75" customHeight="1" x14ac:dyDescent="0.2">
      <c r="C181" s="1852"/>
      <c r="D181" s="1852"/>
      <c r="E181" s="1841"/>
      <c r="F181" s="1841"/>
      <c r="G181" s="1841"/>
      <c r="H181" s="1841"/>
      <c r="I181" s="1841"/>
      <c r="J181" s="1841"/>
      <c r="K181" s="1841"/>
      <c r="L181" s="1841"/>
      <c r="M181" s="1841"/>
      <c r="N181" s="1841"/>
    </row>
    <row r="182" spans="3:14" ht="12.75" customHeight="1" x14ac:dyDescent="0.2">
      <c r="C182" s="1852"/>
      <c r="D182" s="1852"/>
      <c r="E182" s="1841"/>
      <c r="F182" s="1852"/>
      <c r="G182" s="1852"/>
      <c r="H182" s="1852"/>
      <c r="I182" s="1852"/>
      <c r="J182" s="1852"/>
      <c r="K182" s="1852"/>
      <c r="L182" s="1852"/>
      <c r="M182" s="1852"/>
      <c r="N182" s="1852"/>
    </row>
    <row r="183" spans="3:14" ht="12.75" customHeight="1" x14ac:dyDescent="0.2">
      <c r="C183" s="1852"/>
      <c r="D183" s="1852"/>
      <c r="E183" s="1841"/>
      <c r="F183" s="1852"/>
      <c r="G183" s="1852"/>
      <c r="H183" s="1852"/>
      <c r="I183" s="1852"/>
      <c r="J183" s="1852"/>
      <c r="K183" s="1852"/>
      <c r="L183" s="1852"/>
      <c r="M183" s="1852"/>
      <c r="N183" s="1852"/>
    </row>
    <row r="184" spans="3:14" ht="12.75" customHeight="1" x14ac:dyDescent="0.2">
      <c r="C184" s="1841"/>
      <c r="D184" s="1852"/>
      <c r="E184" s="1841"/>
      <c r="F184" s="1852"/>
      <c r="G184" s="1852"/>
      <c r="H184" s="1852"/>
      <c r="I184" s="1852"/>
      <c r="J184" s="1852"/>
      <c r="K184" s="1852"/>
      <c r="L184" s="1852"/>
      <c r="M184" s="1852"/>
      <c r="N184" s="1852"/>
    </row>
    <row r="185" spans="3:14" ht="12.75" customHeight="1" x14ac:dyDescent="0.2">
      <c r="C185" s="1852"/>
      <c r="D185" s="1852"/>
      <c r="E185" s="1841"/>
      <c r="F185" s="1852"/>
      <c r="G185" s="1852"/>
      <c r="H185" s="1852"/>
      <c r="I185" s="1852"/>
      <c r="J185" s="1852"/>
      <c r="K185" s="1852"/>
      <c r="L185" s="1852"/>
      <c r="M185" s="1852"/>
      <c r="N185" s="1852"/>
    </row>
    <row r="186" spans="3:14" ht="12.75" customHeight="1" x14ac:dyDescent="0.2">
      <c r="C186" s="1852"/>
      <c r="D186" s="1852"/>
      <c r="E186" s="1841"/>
      <c r="F186" s="1882"/>
      <c r="G186" s="1882"/>
      <c r="H186" s="1882"/>
      <c r="I186" s="1882"/>
      <c r="J186" s="1882"/>
      <c r="K186" s="1882"/>
      <c r="L186" s="1882"/>
      <c r="M186" s="1882"/>
      <c r="N186" s="1882"/>
    </row>
    <row r="187" spans="3:14" ht="12.75" customHeight="1" x14ac:dyDescent="0.2">
      <c r="C187" s="1852"/>
      <c r="D187" s="1852"/>
      <c r="E187" s="1841"/>
      <c r="F187" s="1841"/>
      <c r="G187" s="1841"/>
      <c r="H187" s="1841"/>
      <c r="I187" s="1841"/>
      <c r="J187" s="1841"/>
      <c r="K187" s="1841"/>
      <c r="L187" s="1841"/>
      <c r="M187" s="1841"/>
      <c r="N187" s="1841"/>
    </row>
    <row r="188" spans="3:14" ht="12.75" customHeight="1" x14ac:dyDescent="0.2">
      <c r="C188" s="1852"/>
      <c r="D188" s="1852"/>
      <c r="E188" s="1841"/>
      <c r="F188" s="1852"/>
      <c r="G188" s="1852"/>
      <c r="H188" s="1852"/>
      <c r="I188" s="1852"/>
      <c r="J188" s="1852"/>
      <c r="K188" s="1852"/>
      <c r="L188" s="1852"/>
      <c r="M188" s="1852"/>
      <c r="N188" s="1852"/>
    </row>
    <row r="189" spans="3:14" ht="12.75" customHeight="1" x14ac:dyDescent="0.2">
      <c r="C189" s="1852"/>
      <c r="D189" s="1852"/>
      <c r="E189" s="1841"/>
      <c r="F189" s="1852"/>
      <c r="G189" s="1852"/>
      <c r="H189" s="1852"/>
      <c r="I189" s="1852"/>
      <c r="J189" s="1852"/>
      <c r="K189" s="1852"/>
      <c r="L189" s="1852"/>
      <c r="M189" s="1852"/>
      <c r="N189" s="1852"/>
    </row>
    <row r="190" spans="3:14" ht="12.75" customHeight="1" x14ac:dyDescent="0.2">
      <c r="C190" s="1852"/>
      <c r="D190" s="1852"/>
      <c r="E190" s="1841"/>
      <c r="F190" s="1852"/>
      <c r="G190" s="1852"/>
      <c r="H190" s="1852"/>
      <c r="I190" s="1852"/>
      <c r="J190" s="1852"/>
      <c r="K190" s="1852"/>
      <c r="L190" s="1852"/>
      <c r="M190" s="1852"/>
      <c r="N190" s="1852"/>
    </row>
    <row r="191" spans="3:14" ht="12.75" customHeight="1" x14ac:dyDescent="0.2">
      <c r="C191" s="1852"/>
      <c r="D191" s="1852"/>
      <c r="E191" s="1841"/>
      <c r="F191" s="1852"/>
      <c r="G191" s="1852"/>
      <c r="H191" s="1852"/>
      <c r="I191" s="1852"/>
      <c r="J191" s="1852"/>
      <c r="K191" s="1852"/>
      <c r="L191" s="1852"/>
      <c r="M191" s="1852"/>
      <c r="N191" s="1852"/>
    </row>
    <row r="192" spans="3:14" ht="12.75" customHeight="1" x14ac:dyDescent="0.2">
      <c r="C192" s="1852"/>
      <c r="D192" s="1852"/>
      <c r="E192" s="1841"/>
      <c r="F192" s="1852"/>
      <c r="G192" s="1852"/>
      <c r="H192" s="1852"/>
      <c r="I192" s="1852"/>
      <c r="J192" s="1852"/>
      <c r="K192" s="1852"/>
      <c r="L192" s="1852"/>
      <c r="M192" s="1852"/>
      <c r="N192" s="1852"/>
    </row>
    <row r="193" spans="3:14" ht="12.75" customHeight="1" x14ac:dyDescent="0.2">
      <c r="C193" s="1852"/>
      <c r="D193" s="1852"/>
      <c r="E193" s="1841"/>
      <c r="F193" s="1852"/>
      <c r="G193" s="1852"/>
      <c r="H193" s="1852"/>
      <c r="I193" s="1852"/>
      <c r="J193" s="1852"/>
      <c r="K193" s="1852"/>
      <c r="L193" s="1852"/>
      <c r="M193" s="1852"/>
      <c r="N193" s="1852"/>
    </row>
    <row r="194" spans="3:14" ht="12.75" customHeight="1" x14ac:dyDescent="0.2">
      <c r="C194" s="1852"/>
      <c r="D194" s="1852"/>
      <c r="E194" s="1841"/>
      <c r="F194" s="1852"/>
      <c r="G194" s="1852"/>
      <c r="H194" s="1852"/>
      <c r="I194" s="1852"/>
      <c r="J194" s="1852"/>
      <c r="K194" s="1852"/>
      <c r="L194" s="1852"/>
      <c r="M194" s="1852"/>
      <c r="N194" s="1852"/>
    </row>
    <row r="195" spans="3:14" ht="12.75" customHeight="1" x14ac:dyDescent="0.2">
      <c r="C195" s="1852"/>
      <c r="D195" s="1852"/>
      <c r="E195" s="1841"/>
      <c r="F195" s="1852"/>
      <c r="G195" s="1852"/>
      <c r="H195" s="1852"/>
      <c r="I195" s="1852"/>
      <c r="J195" s="1852"/>
      <c r="K195" s="1852"/>
      <c r="L195" s="1852"/>
      <c r="M195" s="1852"/>
      <c r="N195" s="1852"/>
    </row>
    <row r="196" spans="3:14" ht="12.75" customHeight="1" x14ac:dyDescent="0.2">
      <c r="C196" s="1852"/>
      <c r="D196" s="1852"/>
      <c r="E196" s="1841"/>
      <c r="F196" s="1852"/>
      <c r="G196" s="1852"/>
      <c r="H196" s="1852"/>
      <c r="I196" s="1852"/>
      <c r="J196" s="1852"/>
      <c r="K196" s="1852"/>
      <c r="L196" s="1852"/>
      <c r="M196" s="1852"/>
      <c r="N196" s="1852"/>
    </row>
    <row r="197" spans="3:14" ht="12.75" customHeight="1" x14ac:dyDescent="0.2">
      <c r="C197" s="1852"/>
      <c r="D197" s="1852"/>
      <c r="E197" s="1841"/>
      <c r="F197" s="1852"/>
      <c r="G197" s="1852"/>
      <c r="H197" s="1852"/>
      <c r="I197" s="1852"/>
      <c r="J197" s="1852"/>
      <c r="K197" s="1852"/>
      <c r="L197" s="1852"/>
      <c r="M197" s="1852"/>
      <c r="N197" s="1852"/>
    </row>
    <row r="198" spans="3:14" ht="12.75" customHeight="1" x14ac:dyDescent="0.2">
      <c r="C198" s="1852"/>
      <c r="D198" s="1852"/>
      <c r="E198" s="1841"/>
      <c r="F198" s="1882"/>
      <c r="G198" s="1882"/>
      <c r="H198" s="1882"/>
      <c r="I198" s="1882"/>
      <c r="J198" s="1882"/>
      <c r="K198" s="1882"/>
      <c r="L198" s="1882"/>
      <c r="M198" s="1882"/>
      <c r="N198" s="1882"/>
    </row>
    <row r="199" spans="3:14" ht="12.75" customHeight="1" x14ac:dyDescent="0.2">
      <c r="C199" s="1852"/>
      <c r="D199" s="1852"/>
      <c r="E199" s="1841"/>
      <c r="F199" s="1882"/>
      <c r="G199" s="1882"/>
      <c r="H199" s="1882"/>
      <c r="I199" s="1882"/>
      <c r="J199" s="1882"/>
      <c r="K199" s="1882"/>
      <c r="L199" s="1882"/>
      <c r="M199" s="1882"/>
      <c r="N199" s="1882"/>
    </row>
    <row r="200" spans="3:14" ht="12.75" customHeight="1" x14ac:dyDescent="0.2">
      <c r="C200" s="1852"/>
      <c r="D200" s="1852"/>
      <c r="E200" s="1841"/>
      <c r="F200" s="1882"/>
      <c r="G200" s="1882"/>
      <c r="H200" s="1882"/>
      <c r="I200" s="1882"/>
      <c r="J200" s="1882"/>
      <c r="K200" s="1882"/>
      <c r="L200" s="1882"/>
      <c r="M200" s="1882"/>
      <c r="N200" s="1882"/>
    </row>
    <row r="201" spans="3:14" ht="12.75" customHeight="1" x14ac:dyDescent="0.2">
      <c r="C201" s="1852"/>
      <c r="D201" s="1852"/>
      <c r="E201" s="1841"/>
      <c r="F201" s="1841"/>
      <c r="G201" s="1841"/>
      <c r="H201" s="1841"/>
      <c r="I201" s="1841"/>
      <c r="J201" s="1841"/>
      <c r="K201" s="1841"/>
      <c r="L201" s="1841"/>
      <c r="M201" s="1841"/>
      <c r="N201" s="1841"/>
    </row>
    <row r="202" spans="3:14" ht="12.75" customHeight="1" x14ac:dyDescent="0.2">
      <c r="C202" s="1841"/>
      <c r="D202" s="1852"/>
      <c r="E202" s="1841"/>
      <c r="F202" s="1852"/>
      <c r="G202" s="1852"/>
      <c r="H202" s="1852"/>
      <c r="I202" s="1852"/>
      <c r="J202" s="1852"/>
      <c r="K202" s="1852"/>
      <c r="L202" s="1852"/>
      <c r="M202" s="1852"/>
      <c r="N202" s="1852"/>
    </row>
    <row r="203" spans="3:14" ht="12.75" customHeight="1" x14ac:dyDescent="0.2">
      <c r="C203" s="1852"/>
      <c r="D203" s="1852"/>
      <c r="E203" s="1841"/>
      <c r="F203" s="1841"/>
      <c r="G203" s="1841"/>
      <c r="H203" s="1841"/>
      <c r="I203" s="1841"/>
      <c r="J203" s="1841"/>
      <c r="K203" s="1841"/>
      <c r="L203" s="1841"/>
      <c r="M203" s="1841"/>
      <c r="N203" s="1841"/>
    </row>
    <row r="204" spans="3:14" ht="12.75" customHeight="1" x14ac:dyDescent="0.2">
      <c r="C204" s="1852"/>
      <c r="D204" s="1852"/>
      <c r="E204" s="1841"/>
      <c r="F204" s="1852"/>
      <c r="G204" s="1852"/>
      <c r="H204" s="1852"/>
      <c r="I204" s="1852"/>
      <c r="J204" s="1852"/>
      <c r="K204" s="1852"/>
      <c r="L204" s="1852"/>
      <c r="M204" s="1852"/>
      <c r="N204" s="1852"/>
    </row>
    <row r="205" spans="3:14" ht="12.75" customHeight="1" x14ac:dyDescent="0.2">
      <c r="C205" s="1852"/>
      <c r="D205" s="1852"/>
      <c r="E205" s="1841"/>
      <c r="F205" s="1882"/>
      <c r="G205" s="1882"/>
      <c r="H205" s="1882"/>
      <c r="I205" s="1882"/>
      <c r="J205" s="1882"/>
      <c r="K205" s="1882"/>
      <c r="L205" s="1882"/>
      <c r="M205" s="1882"/>
      <c r="N205" s="1882"/>
    </row>
    <row r="206" spans="3:14" ht="12.75" customHeight="1" x14ac:dyDescent="0.2">
      <c r="C206" s="1852"/>
      <c r="D206" s="1852"/>
      <c r="E206" s="1841"/>
      <c r="F206" s="1852"/>
      <c r="G206" s="1852"/>
      <c r="H206" s="1852"/>
      <c r="I206" s="1852"/>
      <c r="J206" s="1852"/>
      <c r="K206" s="1852"/>
      <c r="L206" s="1852"/>
      <c r="M206" s="1852"/>
      <c r="N206" s="1852"/>
    </row>
    <row r="207" spans="3:14" ht="12.75" customHeight="1" x14ac:dyDescent="0.2">
      <c r="C207" s="1852"/>
      <c r="D207" s="1852"/>
      <c r="E207" s="1841"/>
      <c r="F207" s="1852"/>
      <c r="G207" s="1852"/>
      <c r="H207" s="1852"/>
      <c r="I207" s="1852"/>
      <c r="J207" s="1852"/>
      <c r="K207" s="1852"/>
      <c r="L207" s="1852"/>
      <c r="M207" s="1852"/>
      <c r="N207" s="1852"/>
    </row>
    <row r="208" spans="3:14" ht="12.75" customHeight="1" x14ac:dyDescent="0.2">
      <c r="C208" s="1852"/>
      <c r="D208" s="1852"/>
      <c r="E208" s="1841"/>
      <c r="F208" s="1852"/>
      <c r="G208" s="1852"/>
      <c r="H208" s="1852"/>
      <c r="I208" s="1852"/>
      <c r="J208" s="1852"/>
      <c r="K208" s="1852"/>
      <c r="L208" s="1852"/>
      <c r="M208" s="1852"/>
      <c r="N208" s="1852"/>
    </row>
    <row r="209" spans="3:14" ht="12.75" customHeight="1" x14ac:dyDescent="0.2">
      <c r="C209" s="1852"/>
      <c r="D209" s="1852"/>
      <c r="E209" s="1841"/>
      <c r="F209" s="1852"/>
      <c r="G209" s="1852"/>
      <c r="H209" s="1852"/>
      <c r="I209" s="1852"/>
      <c r="J209" s="1852"/>
      <c r="K209" s="1852"/>
      <c r="L209" s="1852"/>
      <c r="M209" s="1852"/>
      <c r="N209" s="1852"/>
    </row>
    <row r="210" spans="3:14" ht="12.75" customHeight="1" x14ac:dyDescent="0.2">
      <c r="C210" s="1852"/>
      <c r="D210" s="1852"/>
      <c r="E210" s="1841"/>
      <c r="F210" s="1882"/>
      <c r="G210" s="1882"/>
      <c r="H210" s="1882"/>
      <c r="I210" s="1882"/>
      <c r="J210" s="1882"/>
      <c r="K210" s="1882"/>
      <c r="L210" s="1882"/>
      <c r="M210" s="1882"/>
      <c r="N210" s="1882"/>
    </row>
    <row r="211" spans="3:14" ht="12.75" customHeight="1" x14ac:dyDescent="0.2">
      <c r="C211" s="1852"/>
      <c r="D211" s="1852"/>
      <c r="E211" s="1841"/>
      <c r="F211" s="1852"/>
      <c r="G211" s="1852"/>
      <c r="H211" s="1852"/>
      <c r="I211" s="1852"/>
      <c r="J211" s="1852"/>
      <c r="K211" s="1852"/>
      <c r="L211" s="1852"/>
      <c r="M211" s="1852"/>
      <c r="N211" s="1852"/>
    </row>
    <row r="212" spans="3:14" ht="12.75" customHeight="1" x14ac:dyDescent="0.2">
      <c r="C212" s="1852"/>
      <c r="D212" s="1852"/>
      <c r="E212" s="1841"/>
      <c r="F212" s="1852"/>
      <c r="G212" s="1852"/>
      <c r="H212" s="1852"/>
      <c r="I212" s="1852"/>
      <c r="J212" s="1852"/>
      <c r="K212" s="1852"/>
      <c r="L212" s="1852"/>
      <c r="M212" s="1852"/>
      <c r="N212" s="1852"/>
    </row>
    <row r="213" spans="3:14" ht="12.75" customHeight="1" x14ac:dyDescent="0.2">
      <c r="C213" s="1852"/>
      <c r="D213" s="1852"/>
      <c r="E213" s="1841"/>
      <c r="F213" s="1852"/>
      <c r="G213" s="1852"/>
      <c r="H213" s="1852"/>
      <c r="I213" s="1852"/>
      <c r="J213" s="1852"/>
      <c r="K213" s="1852"/>
      <c r="L213" s="1852"/>
      <c r="M213" s="1852"/>
      <c r="N213" s="1852"/>
    </row>
    <row r="214" spans="3:14" ht="12.75" customHeight="1" x14ac:dyDescent="0.2">
      <c r="C214" s="1852"/>
      <c r="D214" s="1852"/>
      <c r="E214" s="1841"/>
      <c r="F214" s="1852"/>
      <c r="G214" s="1852"/>
      <c r="H214" s="1852"/>
      <c r="I214" s="1852"/>
      <c r="J214" s="1852"/>
      <c r="K214" s="1852"/>
      <c r="L214" s="1852"/>
      <c r="M214" s="1852"/>
      <c r="N214" s="1852"/>
    </row>
    <row r="215" spans="3:14" ht="12.75" customHeight="1" x14ac:dyDescent="0.2">
      <c r="C215" s="1852"/>
      <c r="D215" s="1852"/>
      <c r="E215" s="1841"/>
      <c r="F215" s="1852"/>
      <c r="G215" s="1852"/>
      <c r="H215" s="1852"/>
      <c r="I215" s="1852"/>
      <c r="J215" s="1852"/>
      <c r="K215" s="1852"/>
      <c r="L215" s="1852"/>
      <c r="M215" s="1852"/>
      <c r="N215" s="1852"/>
    </row>
  </sheetData>
  <sheetProtection algorithmName="SHA-512" hashValue="yIv3Bd+jc9xLu0V9OlsotVwW3E88kKodUlLBP9wsTQfGa7e9JS5zIxwVZl4EMZ77pZQU4yH3+bkTEpYCfWF0+Q==" saltValue="rOzDovh7exAJ1pogaxZXog==" spinCount="100000" sheet="1" objects="1" scenarios="1" formatCells="0" formatColumns="0" insertColumns="0"/>
  <mergeCells count="6">
    <mergeCell ref="F53:J53"/>
    <mergeCell ref="H7:R7"/>
    <mergeCell ref="P9:R9"/>
    <mergeCell ref="S9:U9"/>
    <mergeCell ref="P10:R10"/>
    <mergeCell ref="S10:U10"/>
  </mergeCells>
  <conditionalFormatting sqref="T49 Q49:R50 U49:U50">
    <cfRule type="expression" dxfId="9" priority="76">
      <formula>$T$50&gt;(0.1*$Q$111)</formula>
    </cfRule>
  </conditionalFormatting>
  <conditionalFormatting sqref="O13:O18 O41:O53 O57:O58 O62:O66 O70:O77 O81:O83 O87:O97 O102:O108 O22:O37">
    <cfRule type="cellIs" dxfId="8" priority="80" operator="notEqual">
      <formula>P13+S13</formula>
    </cfRule>
  </conditionalFormatting>
  <dataValidations disablePrompts="1" count="2">
    <dataValidation allowBlank="1" showInputMessage="1" showErrorMessage="1" promptTitle="New Construction Contingency %" prompt="Defined as New Construction Contingency divided by the sum of New Building, Contractor Profit, Contractor Overhead, and Bond Premium amounts _x000a__x000a_% = F33 / (F29+F31+F32+F41))" sqref="E27"/>
    <dataValidation allowBlank="1" showInputMessage="1" showErrorMessage="1" promptTitle="Rehab Contingency %" prompt="Defined as Rehab Contingency divided by the sum of Rehab, Contractor Profit, Contractor Overhead, and Bond Premium amounts_x000a__x000a_% = F34 / (F30+F31+F32+F41)" sqref="E28"/>
  </dataValidations>
  <printOptions horizontalCentered="1"/>
  <pageMargins left="0.47" right="0.25" top="0.75" bottom="0.75" header="0.3" footer="0.3"/>
  <pageSetup paperSize="17" scale="89" fitToHeight="0" orientation="portrait" r:id="rId1"/>
  <headerFooter alignWithMargins="0">
    <oddHeader>&amp;C&amp;"Arial,Bold"&amp;14Form 6B 
Development Budget by Site</oddHeader>
    <oddFooter>&amp;LForm 6B Development Budget by Site&amp;RCFA Forms 2014, v1.0
June 2014</oddFooter>
  </headerFooter>
  <rowBreaks count="1" manualBreakCount="1">
    <brk id="55" min="1" max="2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102"/>
  <sheetViews>
    <sheetView showGridLines="0" view="pageBreakPreview" zoomScale="60" zoomScaleNormal="100" workbookViewId="0">
      <selection activeCell="E43" sqref="E43:E44"/>
    </sheetView>
  </sheetViews>
  <sheetFormatPr defaultColWidth="9.140625" defaultRowHeight="15" x14ac:dyDescent="0.25"/>
  <cols>
    <col min="1" max="2" width="1.7109375" style="734" customWidth="1"/>
    <col min="3" max="3" width="2.85546875" style="734" customWidth="1"/>
    <col min="4" max="4" width="5.7109375" style="734" customWidth="1"/>
    <col min="5" max="5" width="8.5703125" style="734" customWidth="1"/>
    <col min="6" max="6" width="12.85546875" style="734" customWidth="1"/>
    <col min="7" max="7" width="10.7109375" style="734" customWidth="1"/>
    <col min="8" max="8" width="1.42578125" style="734" customWidth="1"/>
    <col min="9" max="9" width="11.42578125" style="734" customWidth="1"/>
    <col min="10" max="10" width="19.28515625" style="734" customWidth="1"/>
    <col min="11" max="11" width="40.7109375" style="734" customWidth="1"/>
    <col min="12" max="12" width="1.7109375" style="734" customWidth="1"/>
    <col min="13" max="16384" width="9.140625" style="734"/>
  </cols>
  <sheetData>
    <row r="5" spans="2:12" ht="15.75" thickBot="1" x14ac:dyDescent="0.3"/>
    <row r="6" spans="2:12" ht="9" customHeight="1" x14ac:dyDescent="0.25">
      <c r="B6" s="971"/>
      <c r="C6" s="972"/>
      <c r="D6" s="972"/>
      <c r="E6" s="972"/>
      <c r="F6" s="972"/>
      <c r="G6" s="972"/>
      <c r="H6" s="972"/>
      <c r="I6" s="972"/>
      <c r="J6" s="972"/>
      <c r="K6" s="972"/>
      <c r="L6" s="973"/>
    </row>
    <row r="7" spans="2:12" ht="18.75" x14ac:dyDescent="0.3">
      <c r="B7" s="974"/>
      <c r="C7" s="2208" t="s">
        <v>1261</v>
      </c>
      <c r="D7" s="2208"/>
      <c r="E7" s="2208"/>
      <c r="F7" s="2208"/>
      <c r="G7" s="2208"/>
      <c r="H7" s="2208"/>
      <c r="I7" s="2208"/>
      <c r="J7" s="2208"/>
      <c r="K7" s="2208"/>
      <c r="L7" s="975"/>
    </row>
    <row r="8" spans="2:12" x14ac:dyDescent="0.25">
      <c r="B8" s="974"/>
      <c r="C8" s="976"/>
      <c r="D8" s="976"/>
      <c r="E8" s="976"/>
      <c r="F8" s="976"/>
      <c r="G8" s="976"/>
      <c r="H8" s="976"/>
      <c r="I8" s="976"/>
      <c r="J8" s="976"/>
      <c r="K8" s="976"/>
      <c r="L8" s="975"/>
    </row>
    <row r="9" spans="2:12" x14ac:dyDescent="0.25">
      <c r="B9" s="974"/>
      <c r="C9" s="708"/>
      <c r="D9" s="702" t="s">
        <v>63</v>
      </c>
      <c r="E9" s="977"/>
      <c r="F9" s="978" t="str">
        <f>IF('1A'!G5="","Enter Project Name on Form 1A",'1A'!G5)</f>
        <v xml:space="preserve">Building 9 </v>
      </c>
      <c r="G9" s="978"/>
      <c r="H9" s="812"/>
      <c r="I9" s="978"/>
      <c r="J9" s="978"/>
      <c r="K9" s="979"/>
      <c r="L9" s="975"/>
    </row>
    <row r="10" spans="2:12" ht="7.5" customHeight="1" thickBot="1" x14ac:dyDescent="0.3">
      <c r="B10" s="980"/>
      <c r="C10" s="981"/>
      <c r="D10" s="981"/>
      <c r="E10" s="981"/>
      <c r="F10" s="981"/>
      <c r="G10" s="981"/>
      <c r="H10" s="981"/>
      <c r="I10" s="981"/>
      <c r="J10" s="981"/>
      <c r="K10" s="966"/>
      <c r="L10" s="975"/>
    </row>
    <row r="11" spans="2:12" x14ac:dyDescent="0.25">
      <c r="B11" s="980"/>
      <c r="C11" s="75"/>
      <c r="D11" s="75"/>
      <c r="E11" s="75"/>
      <c r="F11" s="75"/>
      <c r="G11" s="75"/>
      <c r="H11" s="75"/>
      <c r="I11" s="2389" t="s">
        <v>158</v>
      </c>
      <c r="J11" s="2390"/>
      <c r="K11" s="2391"/>
      <c r="L11" s="975"/>
    </row>
    <row r="12" spans="2:12" ht="37.5" customHeight="1" thickBot="1" x14ac:dyDescent="0.3">
      <c r="B12" s="980"/>
      <c r="C12" s="76"/>
      <c r="D12" s="52"/>
      <c r="E12" s="52"/>
      <c r="F12" s="77"/>
      <c r="G12" s="77"/>
      <c r="H12" s="77"/>
      <c r="I12" s="195" t="s">
        <v>238</v>
      </c>
      <c r="J12" s="2392" t="s">
        <v>239</v>
      </c>
      <c r="K12" s="2393"/>
      <c r="L12" s="975"/>
    </row>
    <row r="13" spans="2:12" ht="15.75" thickBot="1" x14ac:dyDescent="0.3">
      <c r="B13" s="980"/>
      <c r="C13" s="67" t="s">
        <v>161</v>
      </c>
      <c r="D13" s="68"/>
      <c r="E13" s="68"/>
      <c r="F13" s="69"/>
      <c r="G13" s="69"/>
      <c r="H13" s="69"/>
      <c r="I13" s="50"/>
      <c r="J13" s="50"/>
      <c r="K13" s="976"/>
      <c r="L13" s="975"/>
    </row>
    <row r="14" spans="2:12" x14ac:dyDescent="0.25">
      <c r="B14" s="980"/>
      <c r="C14" s="966"/>
      <c r="D14" s="186" t="s">
        <v>162</v>
      </c>
      <c r="E14" s="186"/>
      <c r="F14" s="186"/>
      <c r="G14" s="186"/>
      <c r="H14" s="187"/>
      <c r="I14" s="1660">
        <f>'6A'!K20</f>
        <v>0</v>
      </c>
      <c r="J14" s="2387" t="s">
        <v>1407</v>
      </c>
      <c r="K14" s="2388"/>
      <c r="L14" s="975"/>
    </row>
    <row r="15" spans="2:12" x14ac:dyDescent="0.25">
      <c r="B15" s="980"/>
      <c r="C15" s="966"/>
      <c r="D15" s="188" t="s">
        <v>163</v>
      </c>
      <c r="E15" s="188"/>
      <c r="F15" s="188"/>
      <c r="G15" s="188"/>
      <c r="H15" s="189"/>
      <c r="I15" s="1661">
        <f>'6A'!K21</f>
        <v>0</v>
      </c>
      <c r="J15" s="2383"/>
      <c r="K15" s="2384"/>
      <c r="L15" s="975"/>
    </row>
    <row r="16" spans="2:12" x14ac:dyDescent="0.25">
      <c r="B16" s="980"/>
      <c r="C16" s="966"/>
      <c r="D16" s="188" t="s">
        <v>164</v>
      </c>
      <c r="E16" s="188"/>
      <c r="F16" s="188"/>
      <c r="G16" s="188"/>
      <c r="H16" s="189"/>
      <c r="I16" s="1661">
        <f>'6A'!K22</f>
        <v>0</v>
      </c>
      <c r="J16" s="2383"/>
      <c r="K16" s="2384"/>
      <c r="L16" s="975"/>
    </row>
    <row r="17" spans="2:12" x14ac:dyDescent="0.25">
      <c r="B17" s="980"/>
      <c r="C17" s="966"/>
      <c r="D17" s="188" t="s">
        <v>165</v>
      </c>
      <c r="E17" s="188"/>
      <c r="F17" s="188"/>
      <c r="G17" s="188"/>
      <c r="H17" s="189"/>
      <c r="I17" s="1661">
        <f>'6A'!K23</f>
        <v>45000</v>
      </c>
      <c r="J17" s="2383"/>
      <c r="K17" s="2384"/>
      <c r="L17" s="975"/>
    </row>
    <row r="18" spans="2:12" x14ac:dyDescent="0.25">
      <c r="B18" s="980"/>
      <c r="C18" s="966"/>
      <c r="D18" s="188" t="s">
        <v>166</v>
      </c>
      <c r="E18" s="188"/>
      <c r="F18" s="188"/>
      <c r="G18" s="188"/>
      <c r="H18" s="189"/>
      <c r="I18" s="1661">
        <f>'6A'!K24</f>
        <v>0</v>
      </c>
      <c r="J18" s="2383"/>
      <c r="K18" s="2384"/>
      <c r="L18" s="975"/>
    </row>
    <row r="19" spans="2:12" ht="15.75" thickBot="1" x14ac:dyDescent="0.3">
      <c r="B19" s="980"/>
      <c r="C19" s="966"/>
      <c r="D19" s="188" t="s">
        <v>240</v>
      </c>
      <c r="E19" s="188"/>
      <c r="F19" s="188"/>
      <c r="G19" s="188"/>
      <c r="H19" s="189"/>
      <c r="I19" s="1662">
        <f>'6A'!K25</f>
        <v>0</v>
      </c>
      <c r="J19" s="2385"/>
      <c r="K19" s="2386"/>
      <c r="L19" s="975"/>
    </row>
    <row r="20" spans="2:12" ht="3.75" customHeight="1" x14ac:dyDescent="0.25">
      <c r="B20" s="980"/>
      <c r="C20" s="54"/>
      <c r="D20" s="55"/>
      <c r="E20" s="55"/>
      <c r="F20" s="51"/>
      <c r="G20" s="51"/>
      <c r="H20" s="51"/>
      <c r="I20" s="1663"/>
      <c r="J20" s="47"/>
      <c r="K20" s="976"/>
      <c r="L20" s="975"/>
    </row>
    <row r="21" spans="2:12" ht="15.75" thickBot="1" x14ac:dyDescent="0.3">
      <c r="B21" s="980"/>
      <c r="C21" s="67" t="s">
        <v>168</v>
      </c>
      <c r="D21" s="68"/>
      <c r="E21" s="68"/>
      <c r="F21" s="69"/>
      <c r="G21" s="69"/>
      <c r="H21" s="69"/>
      <c r="I21" s="1664"/>
      <c r="J21" s="48"/>
      <c r="K21" s="966"/>
      <c r="L21" s="975"/>
    </row>
    <row r="22" spans="2:12" x14ac:dyDescent="0.25">
      <c r="B22" s="980"/>
      <c r="C22" s="966"/>
      <c r="D22" s="186" t="s">
        <v>169</v>
      </c>
      <c r="E22" s="186"/>
      <c r="F22" s="186"/>
      <c r="G22" s="186"/>
      <c r="H22" s="187"/>
      <c r="I22" s="1660">
        <f>'6A'!K29</f>
        <v>0</v>
      </c>
      <c r="J22" s="2387" t="s">
        <v>1356</v>
      </c>
      <c r="K22" s="2388"/>
      <c r="L22" s="975"/>
    </row>
    <row r="23" spans="2:12" x14ac:dyDescent="0.25">
      <c r="B23" s="980"/>
      <c r="C23" s="966"/>
      <c r="D23" s="188" t="s">
        <v>170</v>
      </c>
      <c r="E23" s="188"/>
      <c r="F23" s="188"/>
      <c r="G23" s="188"/>
      <c r="H23" s="189"/>
      <c r="I23" s="1661">
        <f>'6A'!K30</f>
        <v>0</v>
      </c>
      <c r="J23" s="2383" t="s">
        <v>1359</v>
      </c>
      <c r="K23" s="2384"/>
      <c r="L23" s="975"/>
    </row>
    <row r="24" spans="2:12" x14ac:dyDescent="0.25">
      <c r="B24" s="980"/>
      <c r="C24" s="966"/>
      <c r="D24" s="188" t="s">
        <v>171</v>
      </c>
      <c r="E24" s="188"/>
      <c r="F24" s="188"/>
      <c r="G24" s="188"/>
      <c r="H24" s="189"/>
      <c r="I24" s="1661">
        <f>'6A'!K31</f>
        <v>33196189</v>
      </c>
      <c r="J24" s="2383" t="s">
        <v>1356</v>
      </c>
      <c r="K24" s="2384"/>
      <c r="L24" s="975"/>
    </row>
    <row r="25" spans="2:12" x14ac:dyDescent="0.25">
      <c r="B25" s="980"/>
      <c r="C25" s="966"/>
      <c r="D25" s="188" t="s">
        <v>172</v>
      </c>
      <c r="E25" s="188"/>
      <c r="F25" s="188"/>
      <c r="G25" s="188"/>
      <c r="H25" s="189"/>
      <c r="I25" s="1661">
        <f>'6A'!K32</f>
        <v>625863</v>
      </c>
      <c r="J25" s="2383" t="s">
        <v>1357</v>
      </c>
      <c r="K25" s="2384"/>
      <c r="L25" s="975"/>
    </row>
    <row r="26" spans="2:12" x14ac:dyDescent="0.25">
      <c r="B26" s="980"/>
      <c r="C26" s="966"/>
      <c r="D26" s="188" t="s">
        <v>173</v>
      </c>
      <c r="E26" s="188"/>
      <c r="F26" s="188"/>
      <c r="G26" s="188"/>
      <c r="H26" s="189"/>
      <c r="I26" s="1661">
        <f>'6A'!K33</f>
        <v>625863</v>
      </c>
      <c r="J26" s="2383" t="s">
        <v>1537</v>
      </c>
      <c r="K26" s="2384"/>
      <c r="L26" s="975"/>
    </row>
    <row r="27" spans="2:12" x14ac:dyDescent="0.25">
      <c r="B27" s="980"/>
      <c r="C27" s="966"/>
      <c r="D27" s="188" t="s">
        <v>174</v>
      </c>
      <c r="E27" s="188"/>
      <c r="F27" s="188"/>
      <c r="G27" s="188"/>
      <c r="H27" s="189"/>
      <c r="I27" s="1661">
        <f>'6A'!K34</f>
        <v>0</v>
      </c>
      <c r="J27" s="2383" t="s">
        <v>1359</v>
      </c>
      <c r="K27" s="2384"/>
      <c r="L27" s="975"/>
    </row>
    <row r="28" spans="2:12" x14ac:dyDescent="0.25">
      <c r="B28" s="980"/>
      <c r="C28" s="966"/>
      <c r="D28" s="188" t="s">
        <v>175</v>
      </c>
      <c r="E28" s="188"/>
      <c r="F28" s="188"/>
      <c r="G28" s="188"/>
      <c r="H28" s="189"/>
      <c r="I28" s="1661">
        <f>'6A'!K35</f>
        <v>5584262</v>
      </c>
      <c r="J28" s="2383" t="s">
        <v>1358</v>
      </c>
      <c r="K28" s="2384"/>
      <c r="L28" s="975"/>
    </row>
    <row r="29" spans="2:12" x14ac:dyDescent="0.25">
      <c r="B29" s="980"/>
      <c r="C29" s="966"/>
      <c r="D29" s="188" t="s">
        <v>176</v>
      </c>
      <c r="E29" s="188"/>
      <c r="F29" s="188"/>
      <c r="G29" s="188"/>
      <c r="H29" s="189"/>
      <c r="I29" s="1661">
        <f>'6A'!K36</f>
        <v>0</v>
      </c>
      <c r="J29" s="2383" t="s">
        <v>1359</v>
      </c>
      <c r="K29" s="2384"/>
      <c r="L29" s="975"/>
    </row>
    <row r="30" spans="2:12" x14ac:dyDescent="0.25">
      <c r="B30" s="980"/>
      <c r="C30" s="966"/>
      <c r="D30" s="188" t="s">
        <v>177</v>
      </c>
      <c r="E30" s="188"/>
      <c r="F30" s="188"/>
      <c r="G30" s="188"/>
      <c r="H30" s="189"/>
      <c r="I30" s="1661">
        <f>'6A'!K37</f>
        <v>2096989</v>
      </c>
      <c r="J30" s="2383" t="s">
        <v>1356</v>
      </c>
      <c r="K30" s="2384"/>
      <c r="L30" s="975"/>
    </row>
    <row r="31" spans="2:12" x14ac:dyDescent="0.25">
      <c r="B31" s="980"/>
      <c r="C31" s="966"/>
      <c r="D31" s="188" t="s">
        <v>178</v>
      </c>
      <c r="E31" s="188"/>
      <c r="F31" s="188"/>
      <c r="G31" s="188"/>
      <c r="H31" s="189"/>
      <c r="I31" s="1661">
        <f>'6A'!K38</f>
        <v>0</v>
      </c>
      <c r="J31" s="2383" t="s">
        <v>1356</v>
      </c>
      <c r="K31" s="2384"/>
      <c r="L31" s="975"/>
    </row>
    <row r="32" spans="2:12" x14ac:dyDescent="0.25">
      <c r="B32" s="980"/>
      <c r="C32" s="966"/>
      <c r="D32" s="188" t="s">
        <v>179</v>
      </c>
      <c r="E32" s="188"/>
      <c r="F32" s="188"/>
      <c r="G32" s="188"/>
      <c r="H32" s="189"/>
      <c r="I32" s="1661">
        <f>'6A'!K39</f>
        <v>0</v>
      </c>
      <c r="J32" s="2383" t="s">
        <v>1356</v>
      </c>
      <c r="K32" s="2384"/>
      <c r="L32" s="975"/>
    </row>
    <row r="33" spans="2:12" x14ac:dyDescent="0.25">
      <c r="B33" s="980"/>
      <c r="C33" s="966"/>
      <c r="D33" s="188" t="s">
        <v>180</v>
      </c>
      <c r="E33" s="188"/>
      <c r="F33" s="188"/>
      <c r="G33" s="188"/>
      <c r="H33" s="189"/>
      <c r="I33" s="1661">
        <f>'6A'!K40</f>
        <v>0</v>
      </c>
      <c r="J33" s="2383" t="s">
        <v>1356</v>
      </c>
      <c r="K33" s="2384"/>
      <c r="L33" s="975"/>
    </row>
    <row r="34" spans="2:12" x14ac:dyDescent="0.25">
      <c r="B34" s="980"/>
      <c r="C34" s="966"/>
      <c r="D34" s="188" t="s">
        <v>181</v>
      </c>
      <c r="E34" s="188"/>
      <c r="F34" s="188"/>
      <c r="G34" s="188"/>
      <c r="H34" s="189"/>
      <c r="I34" s="1661">
        <f>'6A'!K41</f>
        <v>4110017</v>
      </c>
      <c r="J34" s="2383" t="s">
        <v>1360</v>
      </c>
      <c r="K34" s="2384"/>
      <c r="L34" s="975"/>
    </row>
    <row r="35" spans="2:12" x14ac:dyDescent="0.25">
      <c r="B35" s="980"/>
      <c r="C35" s="966"/>
      <c r="D35" s="188" t="s">
        <v>182</v>
      </c>
      <c r="E35" s="188"/>
      <c r="F35" s="188"/>
      <c r="G35" s="188"/>
      <c r="H35" s="189"/>
      <c r="I35" s="1661">
        <f>'6A'!K42</f>
        <v>683513</v>
      </c>
      <c r="J35" s="2383" t="s">
        <v>1356</v>
      </c>
      <c r="K35" s="2384"/>
      <c r="L35" s="975"/>
    </row>
    <row r="36" spans="2:12" x14ac:dyDescent="0.25">
      <c r="B36" s="980"/>
      <c r="C36" s="966"/>
      <c r="D36" s="188" t="s">
        <v>183</v>
      </c>
      <c r="E36" s="188"/>
      <c r="F36" s="188"/>
      <c r="G36" s="188"/>
      <c r="H36" s="189"/>
      <c r="I36" s="1661">
        <f>'6A'!K43</f>
        <v>125000</v>
      </c>
      <c r="J36" s="2383" t="s">
        <v>1361</v>
      </c>
      <c r="K36" s="2384"/>
      <c r="L36" s="975"/>
    </row>
    <row r="37" spans="2:12" ht="15.75" thickBot="1" x14ac:dyDescent="0.3">
      <c r="B37" s="980"/>
      <c r="C37" s="966"/>
      <c r="D37" s="188" t="s">
        <v>241</v>
      </c>
      <c r="E37" s="188"/>
      <c r="F37" s="188"/>
      <c r="G37" s="188"/>
      <c r="H37" s="189"/>
      <c r="I37" s="1662">
        <f>'6A'!K44</f>
        <v>0</v>
      </c>
      <c r="J37" s="2385"/>
      <c r="K37" s="2386"/>
      <c r="L37" s="975"/>
    </row>
    <row r="38" spans="2:12" ht="3.75" customHeight="1" x14ac:dyDescent="0.25">
      <c r="B38" s="980"/>
      <c r="C38" s="54"/>
      <c r="D38" s="55"/>
      <c r="E38" s="55"/>
      <c r="F38" s="51"/>
      <c r="G38" s="51"/>
      <c r="H38" s="51"/>
      <c r="I38" s="1663"/>
      <c r="J38" s="47"/>
      <c r="K38" s="976"/>
      <c r="L38" s="975"/>
    </row>
    <row r="39" spans="2:12" ht="15.75" thickBot="1" x14ac:dyDescent="0.3">
      <c r="B39" s="980"/>
      <c r="C39" s="67" t="s">
        <v>184</v>
      </c>
      <c r="D39" s="68"/>
      <c r="E39" s="68"/>
      <c r="F39" s="69"/>
      <c r="G39" s="69"/>
      <c r="H39" s="69"/>
      <c r="I39" s="1663"/>
      <c r="J39" s="47"/>
      <c r="K39" s="966"/>
      <c r="L39" s="975"/>
    </row>
    <row r="40" spans="2:12" x14ac:dyDescent="0.25">
      <c r="B40" s="980"/>
      <c r="C40" s="966"/>
      <c r="D40" s="186" t="s">
        <v>185</v>
      </c>
      <c r="E40" s="186"/>
      <c r="F40" s="186"/>
      <c r="G40" s="186"/>
      <c r="H40" s="187"/>
      <c r="I40" s="1660">
        <f>'6A'!K48</f>
        <v>15000</v>
      </c>
      <c r="J40" s="2387" t="s">
        <v>1359</v>
      </c>
      <c r="K40" s="2388"/>
      <c r="L40" s="975"/>
    </row>
    <row r="41" spans="2:12" x14ac:dyDescent="0.25">
      <c r="B41" s="980"/>
      <c r="C41" s="966"/>
      <c r="D41" s="188" t="s">
        <v>186</v>
      </c>
      <c r="E41" s="188"/>
      <c r="F41" s="188"/>
      <c r="G41" s="188"/>
      <c r="H41" s="189"/>
      <c r="I41" s="1661">
        <f>'6A'!K49</f>
        <v>15000</v>
      </c>
      <c r="J41" s="2383" t="s">
        <v>1364</v>
      </c>
      <c r="K41" s="2384"/>
      <c r="L41" s="975"/>
    </row>
    <row r="42" spans="2:12" x14ac:dyDescent="0.25">
      <c r="B42" s="980"/>
      <c r="C42" s="966"/>
      <c r="D42" s="188" t="s">
        <v>187</v>
      </c>
      <c r="E42" s="188"/>
      <c r="F42" s="188"/>
      <c r="G42" s="188"/>
      <c r="H42" s="189"/>
      <c r="I42" s="1661">
        <f>'6A'!K50</f>
        <v>2484903</v>
      </c>
      <c r="J42" s="2383" t="s">
        <v>1362</v>
      </c>
      <c r="K42" s="2384"/>
      <c r="L42" s="975"/>
    </row>
    <row r="43" spans="2:12" x14ac:dyDescent="0.25">
      <c r="B43" s="980"/>
      <c r="C43" s="966"/>
      <c r="D43" s="188" t="s">
        <v>188</v>
      </c>
      <c r="E43" s="188"/>
      <c r="F43" s="188"/>
      <c r="G43" s="188"/>
      <c r="H43" s="189"/>
      <c r="I43" s="1661">
        <f>'6A'!K51</f>
        <v>205000</v>
      </c>
      <c r="J43" s="2383" t="s">
        <v>1363</v>
      </c>
      <c r="K43" s="2384"/>
      <c r="L43" s="975"/>
    </row>
    <row r="44" spans="2:12" x14ac:dyDescent="0.25">
      <c r="B44" s="980"/>
      <c r="C44" s="966"/>
      <c r="D44" s="188" t="s">
        <v>189</v>
      </c>
      <c r="E44" s="188"/>
      <c r="F44" s="188"/>
      <c r="G44" s="188"/>
      <c r="H44" s="189"/>
      <c r="I44" s="1661">
        <f>'6A'!K52</f>
        <v>48500</v>
      </c>
      <c r="J44" s="2383" t="s">
        <v>1365</v>
      </c>
      <c r="K44" s="2384"/>
      <c r="L44" s="975"/>
    </row>
    <row r="45" spans="2:12" x14ac:dyDescent="0.25">
      <c r="B45" s="980"/>
      <c r="C45" s="966"/>
      <c r="D45" s="188" t="s">
        <v>190</v>
      </c>
      <c r="E45" s="188"/>
      <c r="F45" s="188"/>
      <c r="G45" s="188"/>
      <c r="H45" s="189"/>
      <c r="I45" s="1661">
        <f>'6A'!K53</f>
        <v>0</v>
      </c>
      <c r="J45" s="2383"/>
      <c r="K45" s="2384"/>
      <c r="L45" s="975"/>
    </row>
    <row r="46" spans="2:12" x14ac:dyDescent="0.25">
      <c r="B46" s="980"/>
      <c r="C46" s="966"/>
      <c r="D46" s="188" t="s">
        <v>191</v>
      </c>
      <c r="E46" s="188"/>
      <c r="F46" s="188"/>
      <c r="G46" s="188"/>
      <c r="H46" s="189"/>
      <c r="I46" s="1661">
        <f>'6A'!K54</f>
        <v>0</v>
      </c>
      <c r="J46" s="2383" t="s">
        <v>1366</v>
      </c>
      <c r="K46" s="2384"/>
      <c r="L46" s="975"/>
    </row>
    <row r="47" spans="2:12" x14ac:dyDescent="0.25">
      <c r="B47" s="980"/>
      <c r="C47" s="966"/>
      <c r="D47" s="188" t="s">
        <v>192</v>
      </c>
      <c r="E47" s="188"/>
      <c r="F47" s="188"/>
      <c r="G47" s="188"/>
      <c r="H47" s="189"/>
      <c r="I47" s="1661">
        <f>'6A'!K55</f>
        <v>45000</v>
      </c>
      <c r="J47" s="2383"/>
      <c r="K47" s="2384"/>
      <c r="L47" s="975"/>
    </row>
    <row r="48" spans="2:12" x14ac:dyDescent="0.25">
      <c r="B48" s="980"/>
      <c r="C48" s="966"/>
      <c r="D48" s="188" t="s">
        <v>193</v>
      </c>
      <c r="E48" s="188"/>
      <c r="F48" s="188"/>
      <c r="G48" s="188"/>
      <c r="H48" s="189"/>
      <c r="I48" s="1661">
        <f>'6A'!K56</f>
        <v>3708142</v>
      </c>
      <c r="J48" s="2383" t="s">
        <v>1367</v>
      </c>
      <c r="K48" s="2384"/>
      <c r="L48" s="975"/>
    </row>
    <row r="49" spans="2:12" x14ac:dyDescent="0.25">
      <c r="B49" s="980"/>
      <c r="C49" s="966"/>
      <c r="D49" s="188" t="s">
        <v>194</v>
      </c>
      <c r="E49" s="188"/>
      <c r="F49" s="188"/>
      <c r="G49" s="188"/>
      <c r="H49" s="189"/>
      <c r="I49" s="1661">
        <f>'6A'!K57</f>
        <v>500000</v>
      </c>
      <c r="J49" s="2383"/>
      <c r="K49" s="2384"/>
      <c r="L49" s="975"/>
    </row>
    <row r="50" spans="2:12" x14ac:dyDescent="0.25">
      <c r="B50" s="980"/>
      <c r="C50" s="966"/>
      <c r="D50" s="188" t="s">
        <v>195</v>
      </c>
      <c r="E50" s="188"/>
      <c r="F50" s="188"/>
      <c r="G50" s="188"/>
      <c r="H50" s="189"/>
      <c r="I50" s="1661">
        <f>'6A'!K58</f>
        <v>75000</v>
      </c>
      <c r="J50" s="2383" t="s">
        <v>1368</v>
      </c>
      <c r="K50" s="2384"/>
      <c r="L50" s="975"/>
    </row>
    <row r="51" spans="2:12" x14ac:dyDescent="0.25">
      <c r="B51" s="980"/>
      <c r="C51" s="982"/>
      <c r="D51" s="100" t="s">
        <v>196</v>
      </c>
      <c r="E51" s="100"/>
      <c r="F51" s="100"/>
      <c r="G51" s="100"/>
      <c r="H51" s="100"/>
      <c r="I51" s="1661">
        <f>'6A'!K59</f>
        <v>125000</v>
      </c>
      <c r="J51" s="2383" t="s">
        <v>1369</v>
      </c>
      <c r="K51" s="2384"/>
      <c r="L51" s="975"/>
    </row>
    <row r="52" spans="2:12" ht="15.75" thickBot="1" x14ac:dyDescent="0.3">
      <c r="B52" s="980"/>
      <c r="C52" s="966"/>
      <c r="D52" s="188" t="s">
        <v>240</v>
      </c>
      <c r="E52" s="188"/>
      <c r="F52" s="188"/>
      <c r="G52" s="188"/>
      <c r="H52" s="189"/>
      <c r="I52" s="1662">
        <f>'6A'!K60</f>
        <v>0</v>
      </c>
      <c r="J52" s="2385"/>
      <c r="K52" s="2386"/>
      <c r="L52" s="975"/>
    </row>
    <row r="53" spans="2:12" ht="3.75" customHeight="1" x14ac:dyDescent="0.25">
      <c r="B53" s="980"/>
      <c r="C53" s="54"/>
      <c r="D53" s="55"/>
      <c r="E53" s="55"/>
      <c r="F53" s="51"/>
      <c r="G53" s="51"/>
      <c r="H53" s="51"/>
      <c r="I53" s="1663"/>
      <c r="J53" s="47"/>
      <c r="K53" s="976"/>
      <c r="L53" s="975"/>
    </row>
    <row r="54" spans="2:12" ht="15.75" thickBot="1" x14ac:dyDescent="0.3">
      <c r="B54" s="980"/>
      <c r="C54" s="67" t="s">
        <v>197</v>
      </c>
      <c r="D54" s="68"/>
      <c r="E54" s="68"/>
      <c r="F54" s="69"/>
      <c r="G54" s="69"/>
      <c r="H54" s="69"/>
      <c r="I54" s="1663"/>
      <c r="J54" s="47"/>
      <c r="K54" s="966"/>
      <c r="L54" s="975"/>
    </row>
    <row r="55" spans="2:12" x14ac:dyDescent="0.25">
      <c r="B55" s="980"/>
      <c r="C55" s="966"/>
      <c r="D55" s="186" t="s">
        <v>198</v>
      </c>
      <c r="E55" s="186"/>
      <c r="F55" s="186"/>
      <c r="G55" s="186"/>
      <c r="H55" s="187"/>
      <c r="I55" s="1660">
        <f>'6A'!K64</f>
        <v>0</v>
      </c>
      <c r="J55" s="2387" t="s">
        <v>1369</v>
      </c>
      <c r="K55" s="2388"/>
      <c r="L55" s="975"/>
    </row>
    <row r="56" spans="2:12" ht="15.75" thickBot="1" x14ac:dyDescent="0.3">
      <c r="B56" s="980"/>
      <c r="C56" s="966"/>
      <c r="D56" s="188" t="s">
        <v>199</v>
      </c>
      <c r="E56" s="188"/>
      <c r="F56" s="188"/>
      <c r="G56" s="188"/>
      <c r="H56" s="189"/>
      <c r="I56" s="1662">
        <f>'6A'!K65</f>
        <v>0</v>
      </c>
      <c r="J56" s="2385" t="s">
        <v>1370</v>
      </c>
      <c r="K56" s="2386"/>
      <c r="L56" s="975"/>
    </row>
    <row r="57" spans="2:12" ht="9" customHeight="1" thickBot="1" x14ac:dyDescent="0.3">
      <c r="B57" s="983"/>
      <c r="C57" s="64"/>
      <c r="D57" s="65"/>
      <c r="E57" s="65"/>
      <c r="F57" s="64"/>
      <c r="G57" s="64"/>
      <c r="H57" s="64"/>
      <c r="I57" s="1665"/>
      <c r="J57" s="49"/>
      <c r="K57" s="984"/>
      <c r="L57" s="985"/>
    </row>
    <row r="58" spans="2:12" ht="15.75" thickBot="1" x14ac:dyDescent="0.3">
      <c r="B58" s="980"/>
      <c r="C58" s="67" t="s">
        <v>200</v>
      </c>
      <c r="D58" s="68"/>
      <c r="E58" s="68"/>
      <c r="F58" s="69"/>
      <c r="G58" s="69"/>
      <c r="H58" s="69"/>
      <c r="I58" s="1663"/>
      <c r="J58" s="47"/>
      <c r="K58" s="966"/>
      <c r="L58" s="975"/>
    </row>
    <row r="59" spans="2:12" x14ac:dyDescent="0.25">
      <c r="B59" s="980"/>
      <c r="C59" s="966"/>
      <c r="D59" s="186" t="s">
        <v>201</v>
      </c>
      <c r="E59" s="186"/>
      <c r="F59" s="186"/>
      <c r="G59" s="186"/>
      <c r="H59" s="187"/>
      <c r="I59" s="1660">
        <f>'6A'!K69</f>
        <v>278827</v>
      </c>
      <c r="J59" s="2387" t="s">
        <v>1371</v>
      </c>
      <c r="K59" s="2388"/>
      <c r="L59" s="986"/>
    </row>
    <row r="60" spans="2:12" x14ac:dyDescent="0.25">
      <c r="B60" s="980"/>
      <c r="C60" s="966"/>
      <c r="D60" s="188" t="s">
        <v>202</v>
      </c>
      <c r="E60" s="188"/>
      <c r="F60" s="188"/>
      <c r="G60" s="188"/>
      <c r="H60" s="189"/>
      <c r="I60" s="1661">
        <f>'6A'!K70</f>
        <v>60000</v>
      </c>
      <c r="J60" s="2383" t="s">
        <v>1371</v>
      </c>
      <c r="K60" s="2384"/>
      <c r="L60" s="975"/>
    </row>
    <row r="61" spans="2:12" x14ac:dyDescent="0.25">
      <c r="B61" s="980"/>
      <c r="C61" s="966"/>
      <c r="D61" s="188" t="s">
        <v>203</v>
      </c>
      <c r="E61" s="188"/>
      <c r="F61" s="188"/>
      <c r="G61" s="188"/>
      <c r="H61" s="189"/>
      <c r="I61" s="1661">
        <f>'6A'!K71</f>
        <v>100000</v>
      </c>
      <c r="J61" s="2383" t="s">
        <v>1371</v>
      </c>
      <c r="K61" s="2384"/>
      <c r="L61" s="975"/>
    </row>
    <row r="62" spans="2:12" x14ac:dyDescent="0.25">
      <c r="B62" s="980"/>
      <c r="C62" s="966"/>
      <c r="D62" s="188" t="s">
        <v>204</v>
      </c>
      <c r="E62" s="188"/>
      <c r="F62" s="188"/>
      <c r="G62" s="188"/>
      <c r="H62" s="189"/>
      <c r="I62" s="1661">
        <f>'6A'!K72</f>
        <v>376247</v>
      </c>
      <c r="J62" s="2383" t="s">
        <v>1372</v>
      </c>
      <c r="K62" s="2384"/>
      <c r="L62" s="975"/>
    </row>
    <row r="63" spans="2:12" ht="15.75" thickBot="1" x14ac:dyDescent="0.3">
      <c r="B63" s="980"/>
      <c r="C63" s="966"/>
      <c r="D63" s="188" t="s">
        <v>205</v>
      </c>
      <c r="E63" s="188"/>
      <c r="F63" s="188"/>
      <c r="G63" s="188"/>
      <c r="H63" s="189"/>
      <c r="I63" s="1662">
        <f>'6A'!K73</f>
        <v>538523</v>
      </c>
      <c r="J63" s="2385" t="s">
        <v>1372</v>
      </c>
      <c r="K63" s="2386"/>
      <c r="L63" s="975"/>
    </row>
    <row r="64" spans="2:12" ht="4.7" customHeight="1" x14ac:dyDescent="0.25">
      <c r="B64" s="980"/>
      <c r="C64" s="51"/>
      <c r="D64" s="55"/>
      <c r="E64" s="55"/>
      <c r="F64" s="51"/>
      <c r="G64" s="51"/>
      <c r="H64" s="51"/>
      <c r="I64" s="1663"/>
      <c r="J64" s="47"/>
      <c r="K64" s="976"/>
      <c r="L64" s="975"/>
    </row>
    <row r="65" spans="2:12" ht="15.75" thickBot="1" x14ac:dyDescent="0.3">
      <c r="B65" s="980"/>
      <c r="C65" s="67" t="s">
        <v>206</v>
      </c>
      <c r="D65" s="68"/>
      <c r="E65" s="68"/>
      <c r="F65" s="69"/>
      <c r="G65" s="69"/>
      <c r="H65" s="69"/>
      <c r="I65" s="1663"/>
      <c r="J65" s="47"/>
      <c r="K65" s="966"/>
      <c r="L65" s="975"/>
    </row>
    <row r="66" spans="2:12" x14ac:dyDescent="0.25">
      <c r="B66" s="980"/>
      <c r="C66" s="966"/>
      <c r="D66" s="186" t="s">
        <v>207</v>
      </c>
      <c r="E66" s="186"/>
      <c r="F66" s="186"/>
      <c r="G66" s="186"/>
      <c r="H66" s="187"/>
      <c r="I66" s="1660">
        <f>'6A'!K77</f>
        <v>60320</v>
      </c>
      <c r="J66" s="2387" t="s">
        <v>1373</v>
      </c>
      <c r="K66" s="2388"/>
      <c r="L66" s="975"/>
    </row>
    <row r="67" spans="2:12" x14ac:dyDescent="0.25">
      <c r="B67" s="980"/>
      <c r="C67" s="966"/>
      <c r="D67" s="188" t="s">
        <v>208</v>
      </c>
      <c r="E67" s="188"/>
      <c r="F67" s="188"/>
      <c r="G67" s="188"/>
      <c r="H67" s="189"/>
      <c r="I67" s="1661">
        <f>'6A'!K78</f>
        <v>0</v>
      </c>
      <c r="J67" s="2383" t="s">
        <v>1373</v>
      </c>
      <c r="K67" s="2384"/>
      <c r="L67" s="975"/>
    </row>
    <row r="68" spans="2:12" x14ac:dyDescent="0.25">
      <c r="B68" s="980"/>
      <c r="C68" s="966"/>
      <c r="D68" s="188" t="s">
        <v>209</v>
      </c>
      <c r="E68" s="188"/>
      <c r="F68" s="188"/>
      <c r="G68" s="188"/>
      <c r="H68" s="189"/>
      <c r="I68" s="1661">
        <f>'6A'!K79</f>
        <v>0</v>
      </c>
      <c r="J68" s="2383" t="s">
        <v>1373</v>
      </c>
      <c r="K68" s="2384"/>
      <c r="L68" s="975"/>
    </row>
    <row r="69" spans="2:12" x14ac:dyDescent="0.25">
      <c r="B69" s="980"/>
      <c r="C69" s="966"/>
      <c r="D69" s="188" t="s">
        <v>210</v>
      </c>
      <c r="E69" s="188"/>
      <c r="F69" s="188"/>
      <c r="G69" s="188"/>
      <c r="H69" s="189"/>
      <c r="I69" s="1661">
        <f>'6A'!K80</f>
        <v>141345</v>
      </c>
      <c r="J69" s="2383" t="s">
        <v>1374</v>
      </c>
      <c r="K69" s="2384"/>
      <c r="L69" s="975"/>
    </row>
    <row r="70" spans="2:12" x14ac:dyDescent="0.25">
      <c r="B70" s="980"/>
      <c r="C70" s="966"/>
      <c r="D70" s="188" t="s">
        <v>211</v>
      </c>
      <c r="E70" s="188"/>
      <c r="F70" s="188"/>
      <c r="G70" s="188"/>
      <c r="H70" s="189"/>
      <c r="I70" s="1661">
        <f>'6A'!K81</f>
        <v>87500</v>
      </c>
      <c r="J70" s="2383" t="s">
        <v>1375</v>
      </c>
      <c r="K70" s="2384"/>
      <c r="L70" s="975"/>
    </row>
    <row r="71" spans="2:12" x14ac:dyDescent="0.25">
      <c r="B71" s="980"/>
      <c r="C71" s="966"/>
      <c r="D71" s="188" t="s">
        <v>212</v>
      </c>
      <c r="E71" s="188"/>
      <c r="F71" s="188"/>
      <c r="G71" s="188"/>
      <c r="H71" s="189"/>
      <c r="I71" s="1661">
        <f>'6A'!K82</f>
        <v>0</v>
      </c>
      <c r="J71" s="2383" t="s">
        <v>1375</v>
      </c>
      <c r="K71" s="2384"/>
      <c r="L71" s="975"/>
    </row>
    <row r="72" spans="2:12" x14ac:dyDescent="0.25">
      <c r="B72" s="980"/>
      <c r="C72" s="966"/>
      <c r="D72" s="188" t="s">
        <v>213</v>
      </c>
      <c r="E72" s="188"/>
      <c r="F72" s="188"/>
      <c r="G72" s="188"/>
      <c r="H72" s="189"/>
      <c r="I72" s="1661">
        <f>'6A'!K83</f>
        <v>194000</v>
      </c>
      <c r="J72" s="2383" t="s">
        <v>1376</v>
      </c>
      <c r="K72" s="2384"/>
      <c r="L72" s="975"/>
    </row>
    <row r="73" spans="2:12" ht="15.75" thickBot="1" x14ac:dyDescent="0.3">
      <c r="B73" s="980"/>
      <c r="C73" s="966"/>
      <c r="D73" s="188" t="s">
        <v>240</v>
      </c>
      <c r="E73" s="188"/>
      <c r="F73" s="188"/>
      <c r="G73" s="188"/>
      <c r="H73" s="189"/>
      <c r="I73" s="1662">
        <f>'6A'!K84</f>
        <v>0</v>
      </c>
      <c r="J73" s="2385"/>
      <c r="K73" s="2386"/>
      <c r="L73" s="975"/>
    </row>
    <row r="74" spans="2:12" ht="3.75" customHeight="1" x14ac:dyDescent="0.25">
      <c r="B74" s="980"/>
      <c r="C74" s="54"/>
      <c r="D74" s="55"/>
      <c r="E74" s="55"/>
      <c r="F74" s="51"/>
      <c r="G74" s="51"/>
      <c r="H74" s="51"/>
      <c r="I74" s="1663"/>
      <c r="J74" s="47"/>
      <c r="K74" s="976"/>
      <c r="L74" s="975"/>
    </row>
    <row r="75" spans="2:12" ht="15.75" thickBot="1" x14ac:dyDescent="0.3">
      <c r="B75" s="980"/>
      <c r="C75" s="67" t="s">
        <v>214</v>
      </c>
      <c r="D75" s="68"/>
      <c r="E75" s="68"/>
      <c r="F75" s="69"/>
      <c r="G75" s="69"/>
      <c r="H75" s="69"/>
      <c r="I75" s="1666"/>
      <c r="J75" s="194"/>
      <c r="K75" s="786"/>
      <c r="L75" s="975"/>
    </row>
    <row r="76" spans="2:12" x14ac:dyDescent="0.25">
      <c r="B76" s="980"/>
      <c r="C76" s="966"/>
      <c r="D76" s="186" t="s">
        <v>215</v>
      </c>
      <c r="E76" s="186"/>
      <c r="F76" s="186"/>
      <c r="G76" s="186"/>
      <c r="H76" s="187"/>
      <c r="I76" s="1660">
        <f>'6A'!K88</f>
        <v>624022</v>
      </c>
      <c r="J76" s="2387" t="s">
        <v>1373</v>
      </c>
      <c r="K76" s="2388"/>
      <c r="L76" s="975"/>
    </row>
    <row r="77" spans="2:12" x14ac:dyDescent="0.25">
      <c r="B77" s="980"/>
      <c r="C77" s="966"/>
      <c r="D77" s="188" t="s">
        <v>216</v>
      </c>
      <c r="E77" s="188"/>
      <c r="F77" s="188"/>
      <c r="G77" s="188"/>
      <c r="H77" s="189"/>
      <c r="I77" s="1661">
        <f>'6A'!K89</f>
        <v>44800.4</v>
      </c>
      <c r="J77" s="2383" t="s">
        <v>1373</v>
      </c>
      <c r="K77" s="2384"/>
      <c r="L77" s="975"/>
    </row>
    <row r="78" spans="2:12" ht="15.75" thickBot="1" x14ac:dyDescent="0.3">
      <c r="B78" s="980"/>
      <c r="C78" s="966"/>
      <c r="D78" s="188" t="s">
        <v>242</v>
      </c>
      <c r="E78" s="188"/>
      <c r="F78" s="188"/>
      <c r="G78" s="188"/>
      <c r="H78" s="189"/>
      <c r="I78" s="1662">
        <f>'6A'!K90</f>
        <v>0</v>
      </c>
      <c r="J78" s="2385" t="s">
        <v>1359</v>
      </c>
      <c r="K78" s="2386"/>
      <c r="L78" s="975"/>
    </row>
    <row r="79" spans="2:12" ht="3.75" customHeight="1" x14ac:dyDescent="0.25">
      <c r="B79" s="980"/>
      <c r="C79" s="54"/>
      <c r="D79" s="55"/>
      <c r="E79" s="55"/>
      <c r="F79" s="51"/>
      <c r="G79" s="51"/>
      <c r="H79" s="51"/>
      <c r="I79" s="1663"/>
      <c r="J79" s="47"/>
      <c r="K79" s="976"/>
      <c r="L79" s="975"/>
    </row>
    <row r="80" spans="2:12" ht="15.75" thickBot="1" x14ac:dyDescent="0.3">
      <c r="B80" s="980"/>
      <c r="C80" s="67" t="s">
        <v>217</v>
      </c>
      <c r="D80" s="68"/>
      <c r="E80" s="68"/>
      <c r="F80" s="69"/>
      <c r="G80" s="69"/>
      <c r="H80" s="69"/>
      <c r="I80" s="1666"/>
      <c r="J80" s="194"/>
      <c r="K80" s="786"/>
      <c r="L80" s="975"/>
    </row>
    <row r="81" spans="2:12" x14ac:dyDescent="0.25">
      <c r="B81" s="980"/>
      <c r="C81" s="966"/>
      <c r="D81" s="186" t="s">
        <v>218</v>
      </c>
      <c r="E81" s="186"/>
      <c r="F81" s="186"/>
      <c r="G81" s="186"/>
      <c r="H81" s="187"/>
      <c r="I81" s="1660">
        <f>'6A'!K94</f>
        <v>6000</v>
      </c>
      <c r="J81" s="2387" t="s">
        <v>1375</v>
      </c>
      <c r="K81" s="2388"/>
      <c r="L81" s="975"/>
    </row>
    <row r="82" spans="2:12" x14ac:dyDescent="0.25">
      <c r="B82" s="980"/>
      <c r="C82" s="966"/>
      <c r="D82" s="188" t="s">
        <v>219</v>
      </c>
      <c r="E82" s="188"/>
      <c r="F82" s="188"/>
      <c r="G82" s="188"/>
      <c r="H82" s="189"/>
      <c r="I82" s="1661">
        <f>'6A'!K95</f>
        <v>121600</v>
      </c>
      <c r="J82" s="2383" t="s">
        <v>1377</v>
      </c>
      <c r="K82" s="2384"/>
      <c r="L82" s="975"/>
    </row>
    <row r="83" spans="2:12" x14ac:dyDescent="0.25">
      <c r="B83" s="980"/>
      <c r="C83" s="966"/>
      <c r="D83" s="188" t="s">
        <v>123</v>
      </c>
      <c r="E83" s="188"/>
      <c r="F83" s="188"/>
      <c r="G83" s="188"/>
      <c r="H83" s="189"/>
      <c r="I83" s="1661">
        <f>'6A'!K96</f>
        <v>0</v>
      </c>
      <c r="J83" s="2383" t="s">
        <v>1359</v>
      </c>
      <c r="K83" s="2384"/>
      <c r="L83" s="975"/>
    </row>
    <row r="84" spans="2:12" x14ac:dyDescent="0.25">
      <c r="B84" s="980"/>
      <c r="C84" s="966"/>
      <c r="D84" s="188" t="s">
        <v>220</v>
      </c>
      <c r="E84" s="188"/>
      <c r="F84" s="188"/>
      <c r="G84" s="188"/>
      <c r="H84" s="189"/>
      <c r="I84" s="1661">
        <f>'6A'!K97</f>
        <v>0</v>
      </c>
      <c r="J84" s="2383" t="s">
        <v>1359</v>
      </c>
      <c r="K84" s="2384"/>
      <c r="L84" s="975"/>
    </row>
    <row r="85" spans="2:12" x14ac:dyDescent="0.25">
      <c r="B85" s="980"/>
      <c r="C85" s="966"/>
      <c r="D85" s="188" t="s">
        <v>221</v>
      </c>
      <c r="E85" s="188"/>
      <c r="F85" s="188"/>
      <c r="G85" s="188"/>
      <c r="H85" s="189"/>
      <c r="I85" s="1661">
        <f>'6A'!K98</f>
        <v>880218.5</v>
      </c>
      <c r="J85" s="2383" t="s">
        <v>1613</v>
      </c>
      <c r="K85" s="2384"/>
      <c r="L85" s="975"/>
    </row>
    <row r="86" spans="2:12" x14ac:dyDescent="0.25">
      <c r="B86" s="980"/>
      <c r="C86" s="966"/>
      <c r="D86" s="188" t="s">
        <v>222</v>
      </c>
      <c r="E86" s="188"/>
      <c r="F86" s="188"/>
      <c r="G86" s="188"/>
      <c r="H86" s="189"/>
      <c r="I86" s="1661">
        <f>'6A'!K99</f>
        <v>645120</v>
      </c>
      <c r="J86" s="2383" t="s">
        <v>1614</v>
      </c>
      <c r="K86" s="2384"/>
      <c r="L86" s="975"/>
    </row>
    <row r="87" spans="2:12" x14ac:dyDescent="0.25">
      <c r="B87" s="980"/>
      <c r="C87" s="966"/>
      <c r="D87" s="188" t="s">
        <v>223</v>
      </c>
      <c r="E87" s="188"/>
      <c r="F87" s="188"/>
      <c r="G87" s="188"/>
      <c r="H87" s="189"/>
      <c r="I87" s="1661">
        <f>'6A'!K100</f>
        <v>0</v>
      </c>
      <c r="J87" s="2383" t="s">
        <v>1378</v>
      </c>
      <c r="K87" s="2384"/>
      <c r="L87" s="975"/>
    </row>
    <row r="88" spans="2:12" x14ac:dyDescent="0.25">
      <c r="B88" s="980"/>
      <c r="C88" s="966"/>
      <c r="D88" s="188" t="s">
        <v>224</v>
      </c>
      <c r="E88" s="188"/>
      <c r="F88" s="188"/>
      <c r="G88" s="188"/>
      <c r="H88" s="189"/>
      <c r="I88" s="1661">
        <f>'6A'!K101</f>
        <v>10000</v>
      </c>
      <c r="J88" s="2383" t="s">
        <v>1379</v>
      </c>
      <c r="K88" s="2384"/>
      <c r="L88" s="975"/>
    </row>
    <row r="89" spans="2:12" x14ac:dyDescent="0.25">
      <c r="B89" s="980"/>
      <c r="C89" s="966"/>
      <c r="D89" s="188" t="s">
        <v>225</v>
      </c>
      <c r="E89" s="188"/>
      <c r="F89" s="188"/>
      <c r="G89" s="188"/>
      <c r="H89" s="189"/>
      <c r="I89" s="1661">
        <f>'6A'!K102</f>
        <v>61540</v>
      </c>
      <c r="J89" s="2383" t="s">
        <v>1380</v>
      </c>
      <c r="K89" s="2384"/>
      <c r="L89" s="975"/>
    </row>
    <row r="90" spans="2:12" x14ac:dyDescent="0.25">
      <c r="B90" s="980"/>
      <c r="C90" s="966"/>
      <c r="D90" s="188" t="s">
        <v>226</v>
      </c>
      <c r="E90" s="188"/>
      <c r="F90" s="188"/>
      <c r="G90" s="188"/>
      <c r="H90" s="189"/>
      <c r="I90" s="1661">
        <f>'6A'!K103</f>
        <v>127999.5</v>
      </c>
      <c r="J90" s="2383" t="s">
        <v>1381</v>
      </c>
      <c r="K90" s="2384"/>
      <c r="L90" s="975"/>
    </row>
    <row r="91" spans="2:12" ht="15.75" thickBot="1" x14ac:dyDescent="0.3">
      <c r="B91" s="980"/>
      <c r="C91" s="966"/>
      <c r="D91" s="188" t="s">
        <v>227</v>
      </c>
      <c r="E91" s="188"/>
      <c r="F91" s="188"/>
      <c r="G91" s="188"/>
      <c r="H91" s="189"/>
      <c r="I91" s="1662">
        <f>'6A'!K104</f>
        <v>0</v>
      </c>
      <c r="J91" s="2385" t="s">
        <v>1381</v>
      </c>
      <c r="K91" s="2386"/>
      <c r="L91" s="975"/>
    </row>
    <row r="92" spans="2:12" ht="3.75" customHeight="1" x14ac:dyDescent="0.25">
      <c r="B92" s="980"/>
      <c r="C92" s="54"/>
      <c r="D92" s="55"/>
      <c r="E92" s="55"/>
      <c r="F92" s="51"/>
      <c r="G92" s="51"/>
      <c r="H92" s="51"/>
      <c r="I92" s="1663"/>
      <c r="J92" s="47"/>
      <c r="K92" s="786"/>
      <c r="L92" s="975"/>
    </row>
    <row r="93" spans="2:12" ht="15.75" thickBot="1" x14ac:dyDescent="0.3">
      <c r="B93" s="980"/>
      <c r="C93" s="67" t="s">
        <v>228</v>
      </c>
      <c r="D93" s="68"/>
      <c r="E93" s="68"/>
      <c r="F93" s="69"/>
      <c r="G93" s="69"/>
      <c r="H93" s="69"/>
      <c r="I93" s="1663"/>
      <c r="J93" s="47"/>
      <c r="K93" s="981"/>
      <c r="L93" s="987"/>
    </row>
    <row r="94" spans="2:12" x14ac:dyDescent="0.25">
      <c r="B94" s="980"/>
      <c r="C94" s="988"/>
      <c r="D94" s="186" t="s">
        <v>229</v>
      </c>
      <c r="E94" s="186"/>
      <c r="F94" s="186"/>
      <c r="G94" s="186"/>
      <c r="H94" s="187"/>
      <c r="I94" s="1660">
        <f>'6A'!K109</f>
        <v>174999.5</v>
      </c>
      <c r="J94" s="2387" t="s">
        <v>1382</v>
      </c>
      <c r="K94" s="2388"/>
      <c r="L94" s="987"/>
    </row>
    <row r="95" spans="2:12" x14ac:dyDescent="0.25">
      <c r="B95" s="980"/>
      <c r="C95" s="988"/>
      <c r="D95" s="188" t="s">
        <v>230</v>
      </c>
      <c r="E95" s="188"/>
      <c r="F95" s="188"/>
      <c r="G95" s="188"/>
      <c r="H95" s="189"/>
      <c r="I95" s="1661">
        <f>'6A'!K110</f>
        <v>50000.1</v>
      </c>
      <c r="J95" s="2383" t="s">
        <v>1379</v>
      </c>
      <c r="K95" s="2384"/>
      <c r="L95" s="987"/>
    </row>
    <row r="96" spans="2:12" x14ac:dyDescent="0.25">
      <c r="B96" s="980"/>
      <c r="C96" s="966"/>
      <c r="D96" s="188" t="s">
        <v>231</v>
      </c>
      <c r="E96" s="188"/>
      <c r="F96" s="188"/>
      <c r="G96" s="188"/>
      <c r="H96" s="189"/>
      <c r="I96" s="1661">
        <f>'6A'!K111</f>
        <v>0</v>
      </c>
      <c r="J96" s="2383" t="s">
        <v>1359</v>
      </c>
      <c r="K96" s="2384"/>
      <c r="L96" s="975"/>
    </row>
    <row r="97" spans="2:12" x14ac:dyDescent="0.25">
      <c r="B97" s="980"/>
      <c r="C97" s="966"/>
      <c r="D97" s="188" t="s">
        <v>232</v>
      </c>
      <c r="E97" s="188"/>
      <c r="F97" s="188"/>
      <c r="G97" s="188"/>
      <c r="H97" s="189"/>
      <c r="I97" s="1661">
        <f>'6A'!K112</f>
        <v>0</v>
      </c>
      <c r="J97" s="2383" t="s">
        <v>1359</v>
      </c>
      <c r="K97" s="2384"/>
      <c r="L97" s="975"/>
    </row>
    <row r="98" spans="2:12" x14ac:dyDescent="0.25">
      <c r="B98" s="980"/>
      <c r="C98" s="966"/>
      <c r="D98" s="188" t="s">
        <v>233</v>
      </c>
      <c r="E98" s="188"/>
      <c r="F98" s="188"/>
      <c r="G98" s="188"/>
      <c r="H98" s="189"/>
      <c r="I98" s="1661">
        <f>'6A'!K113</f>
        <v>0</v>
      </c>
      <c r="J98" s="2383" t="s">
        <v>1359</v>
      </c>
      <c r="K98" s="2384"/>
      <c r="L98" s="975"/>
    </row>
    <row r="99" spans="2:12" x14ac:dyDescent="0.25">
      <c r="B99" s="980"/>
      <c r="C99" s="966"/>
      <c r="D99" s="188" t="s">
        <v>234</v>
      </c>
      <c r="E99" s="188"/>
      <c r="F99" s="188"/>
      <c r="G99" s="188"/>
      <c r="H99" s="189"/>
      <c r="I99" s="1661">
        <f>'6A'!K114</f>
        <v>25000</v>
      </c>
      <c r="J99" s="2383" t="s">
        <v>1375</v>
      </c>
      <c r="K99" s="2384"/>
      <c r="L99" s="975"/>
    </row>
    <row r="100" spans="2:12" ht="15.75" thickBot="1" x14ac:dyDescent="0.3">
      <c r="B100" s="980"/>
      <c r="C100" s="966"/>
      <c r="D100" s="188" t="s">
        <v>235</v>
      </c>
      <c r="E100" s="188"/>
      <c r="F100" s="188"/>
      <c r="G100" s="188"/>
      <c r="H100" s="189"/>
      <c r="I100" s="1662">
        <f>'6A'!K115</f>
        <v>0</v>
      </c>
      <c r="J100" s="2385" t="s">
        <v>1359</v>
      </c>
      <c r="K100" s="2386"/>
      <c r="L100" s="975"/>
    </row>
    <row r="101" spans="2:12" ht="15.75" thickBot="1" x14ac:dyDescent="0.3">
      <c r="B101" s="983"/>
      <c r="C101" s="45"/>
      <c r="D101" s="989"/>
      <c r="E101" s="989"/>
      <c r="F101" s="45"/>
      <c r="G101" s="45"/>
      <c r="H101" s="45"/>
      <c r="I101" s="46"/>
      <c r="J101" s="46"/>
      <c r="K101" s="984"/>
      <c r="L101" s="985"/>
    </row>
    <row r="102" spans="2:12" x14ac:dyDescent="0.25">
      <c r="I102" s="970"/>
    </row>
  </sheetData>
  <sheetProtection algorithmName="SHA-512" hashValue="16oHn0CqnNEMFbRagCBlQApx7rXRunKMYFv0jtpOXXyVNZaYzS2ULJ8wK73Z/yinVaSfV3G2wj8q0WM04acypQ==" saltValue="hQh1xZAX1AjwjIgF9+it1Q==" spinCount="100000" sheet="1" objects="1" scenarios="1" formatCells="0" formatColumns="0" formatRows="0"/>
  <mergeCells count="74">
    <mergeCell ref="I11:K11"/>
    <mergeCell ref="J12:K12"/>
    <mergeCell ref="J14:K14"/>
    <mergeCell ref="J15:K15"/>
    <mergeCell ref="J16:K16"/>
    <mergeCell ref="J17:K17"/>
    <mergeCell ref="J18:K18"/>
    <mergeCell ref="J19:K19"/>
    <mergeCell ref="J22:K22"/>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J37:K37"/>
    <mergeCell ref="J40:K40"/>
    <mergeCell ref="J41:K41"/>
    <mergeCell ref="J42:K42"/>
    <mergeCell ref="J43:K43"/>
    <mergeCell ref="J44:K44"/>
    <mergeCell ref="J45:K45"/>
    <mergeCell ref="J46:K46"/>
    <mergeCell ref="J47:K47"/>
    <mergeCell ref="J48:K48"/>
    <mergeCell ref="J49:K49"/>
    <mergeCell ref="J50:K50"/>
    <mergeCell ref="J51:K51"/>
    <mergeCell ref="J52:K52"/>
    <mergeCell ref="J55:K55"/>
    <mergeCell ref="J56:K56"/>
    <mergeCell ref="J59:K59"/>
    <mergeCell ref="J60:K60"/>
    <mergeCell ref="J61:K61"/>
    <mergeCell ref="J62:K62"/>
    <mergeCell ref="J63:K63"/>
    <mergeCell ref="J66:K66"/>
    <mergeCell ref="J67:K67"/>
    <mergeCell ref="J68:K68"/>
    <mergeCell ref="J69:K69"/>
    <mergeCell ref="J70:K70"/>
    <mergeCell ref="J71:K71"/>
    <mergeCell ref="J72:K72"/>
    <mergeCell ref="J85:K85"/>
    <mergeCell ref="J86:K86"/>
    <mergeCell ref="J73:K73"/>
    <mergeCell ref="J76:K76"/>
    <mergeCell ref="J77:K77"/>
    <mergeCell ref="J78:K78"/>
    <mergeCell ref="J81:K81"/>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s>
  <pageMargins left="0.25" right="0.25" top="0.75" bottom="0.75" header="0.3" footer="0.3"/>
  <pageSetup scale="80" fitToHeight="2" orientation="portrait" r:id="rId1"/>
  <headerFooter>
    <oddFooter>&amp;LForm 6B
Development Budget Details&amp;CCFA Forms&amp;REdition: 2015
Version: 1.0</oddFooter>
  </headerFooter>
  <rowBreaks count="1" manualBreakCount="1">
    <brk id="57" min="1" max="11"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26"/>
  <sheetViews>
    <sheetView showGridLines="0" view="pageBreakPreview" topLeftCell="A10" zoomScale="80" zoomScaleNormal="90" zoomScaleSheetLayoutView="80" workbookViewId="0">
      <selection activeCell="I40" sqref="I40"/>
    </sheetView>
  </sheetViews>
  <sheetFormatPr defaultColWidth="9.140625" defaultRowHeight="15" x14ac:dyDescent="0.25"/>
  <cols>
    <col min="1" max="2" width="1.7109375" style="734" customWidth="1"/>
    <col min="3" max="3" width="2.85546875" style="734" customWidth="1"/>
    <col min="4" max="4" width="5.7109375" style="734" customWidth="1"/>
    <col min="5" max="5" width="8.5703125" style="734" customWidth="1"/>
    <col min="6" max="6" width="12.85546875" style="734" customWidth="1"/>
    <col min="7" max="7" width="10.7109375" style="734" customWidth="1"/>
    <col min="8" max="8" width="0.7109375" style="734" customWidth="1"/>
    <col min="9" max="9" width="17.7109375" style="1659" customWidth="1"/>
    <col min="10" max="11" width="11.85546875" style="734" customWidth="1"/>
    <col min="12" max="12" width="1.7109375" style="734" customWidth="1"/>
    <col min="13" max="13" width="1.7109375" style="1987" customWidth="1"/>
    <col min="14" max="14" width="1.7109375" style="734" customWidth="1"/>
    <col min="15" max="15" width="2.85546875" style="734" customWidth="1"/>
    <col min="16" max="16" width="5.7109375" style="734" customWidth="1"/>
    <col min="17" max="17" width="8.5703125" style="734" customWidth="1"/>
    <col min="18" max="18" width="12.85546875" style="734" customWidth="1"/>
    <col min="19" max="19" width="10.7109375" style="734" customWidth="1"/>
    <col min="20" max="20" width="0.7109375" style="734" customWidth="1"/>
    <col min="21" max="21" width="13.85546875" style="1659" customWidth="1"/>
    <col min="22" max="23" width="11.85546875" style="734" customWidth="1"/>
    <col min="24" max="24" width="1.7109375" style="734" customWidth="1"/>
    <col min="25" max="25" width="9.140625" style="734"/>
    <col min="26" max="26" width="13.28515625" style="734" bestFit="1" customWidth="1"/>
    <col min="27" max="27" width="14.5703125" style="734" customWidth="1"/>
    <col min="28" max="16384" width="9.140625" style="734"/>
  </cols>
  <sheetData>
    <row r="1" spans="2:24" x14ac:dyDescent="0.25">
      <c r="M1" s="734"/>
    </row>
    <row r="2" spans="2:24" x14ac:dyDescent="0.25">
      <c r="M2" s="734"/>
    </row>
    <row r="3" spans="2:24" x14ac:dyDescent="0.25">
      <c r="M3" s="734"/>
    </row>
    <row r="4" spans="2:24" x14ac:dyDescent="0.25">
      <c r="M4" s="734"/>
    </row>
    <row r="5" spans="2:24" x14ac:dyDescent="0.25">
      <c r="M5" s="734"/>
    </row>
    <row r="6" spans="2:24" x14ac:dyDescent="0.25">
      <c r="M6" s="734"/>
    </row>
    <row r="7" spans="2:24" x14ac:dyDescent="0.25">
      <c r="M7" s="734"/>
    </row>
    <row r="8" spans="2:24" x14ac:dyDescent="0.25">
      <c r="M8" s="734"/>
    </row>
    <row r="9" spans="2:24" ht="15.75" thickBot="1" x14ac:dyDescent="0.3"/>
    <row r="10" spans="2:24" x14ac:dyDescent="0.25">
      <c r="B10" s="990"/>
      <c r="C10" s="991"/>
      <c r="D10" s="991"/>
      <c r="E10" s="991"/>
      <c r="F10" s="991"/>
      <c r="G10" s="991"/>
      <c r="H10" s="991"/>
      <c r="I10" s="1938"/>
      <c r="J10" s="991"/>
      <c r="K10" s="991"/>
      <c r="L10" s="992"/>
      <c r="M10" s="786"/>
      <c r="N10" s="990"/>
      <c r="O10" s="991"/>
      <c r="P10" s="991"/>
      <c r="Q10" s="991"/>
      <c r="R10" s="991"/>
      <c r="S10" s="991"/>
      <c r="T10" s="991"/>
      <c r="U10" s="1938"/>
      <c r="V10" s="991"/>
      <c r="W10" s="991"/>
      <c r="X10" s="992"/>
    </row>
    <row r="11" spans="2:24" ht="18.75" x14ac:dyDescent="0.3">
      <c r="B11" s="993"/>
      <c r="C11" s="2229" t="s">
        <v>243</v>
      </c>
      <c r="D11" s="2229"/>
      <c r="E11" s="2229"/>
      <c r="F11" s="2229"/>
      <c r="G11" s="2229"/>
      <c r="H11" s="2229"/>
      <c r="I11" s="2229"/>
      <c r="J11" s="2229"/>
      <c r="K11" s="2229"/>
      <c r="L11" s="994"/>
      <c r="M11" s="786"/>
      <c r="N11" s="993"/>
      <c r="O11" s="2229" t="s">
        <v>243</v>
      </c>
      <c r="P11" s="2229"/>
      <c r="Q11" s="2229"/>
      <c r="R11" s="2229"/>
      <c r="S11" s="2229"/>
      <c r="T11" s="2229"/>
      <c r="U11" s="2229"/>
      <c r="V11" s="2229"/>
      <c r="W11" s="2229"/>
      <c r="X11" s="994"/>
    </row>
    <row r="12" spans="2:24" x14ac:dyDescent="0.25">
      <c r="B12" s="993"/>
      <c r="C12" s="786"/>
      <c r="D12" s="786"/>
      <c r="E12" s="786"/>
      <c r="F12" s="786"/>
      <c r="G12" s="786"/>
      <c r="H12" s="786"/>
      <c r="I12" s="1939"/>
      <c r="J12" s="786"/>
      <c r="K12" s="786"/>
      <c r="L12" s="994"/>
      <c r="M12" s="786"/>
      <c r="N12" s="993"/>
      <c r="O12" s="786"/>
      <c r="P12" s="786"/>
      <c r="Q12" s="786"/>
      <c r="R12" s="786"/>
      <c r="S12" s="786"/>
      <c r="T12" s="786"/>
      <c r="U12" s="1939"/>
      <c r="V12" s="786"/>
      <c r="W12" s="786"/>
      <c r="X12" s="994"/>
    </row>
    <row r="13" spans="2:24" x14ac:dyDescent="0.25">
      <c r="B13" s="993"/>
      <c r="C13" s="708"/>
      <c r="D13" s="185" t="s">
        <v>63</v>
      </c>
      <c r="E13" s="977"/>
      <c r="F13" s="2394" t="str">
        <f>IF('1A'!$G$5="","Enter Project Name on Form 1A",'1A'!$G$7)</f>
        <v>Building 9 South (4%)</v>
      </c>
      <c r="G13" s="2394"/>
      <c r="H13" s="2394"/>
      <c r="I13" s="2394"/>
      <c r="J13" s="2394"/>
      <c r="K13" s="2394"/>
      <c r="L13" s="994"/>
      <c r="M13" s="786"/>
      <c r="N13" s="993"/>
      <c r="O13" s="708"/>
      <c r="P13" s="185" t="s">
        <v>63</v>
      </c>
      <c r="Q13" s="977"/>
      <c r="R13" s="2394" t="str">
        <f>IF('1A'!$G$5="","Enter Project Name on Form 1A",'1A'!$G$9)</f>
        <v>Building 9 North (9%)</v>
      </c>
      <c r="S13" s="2394"/>
      <c r="T13" s="2394"/>
      <c r="U13" s="2394"/>
      <c r="V13" s="2394"/>
      <c r="W13" s="2394"/>
      <c r="X13" s="994"/>
    </row>
    <row r="14" spans="2:24" ht="15.75" thickBot="1" x14ac:dyDescent="0.3">
      <c r="B14" s="174"/>
      <c r="C14" s="786"/>
      <c r="D14" s="70"/>
      <c r="E14" s="70"/>
      <c r="F14" s="70"/>
      <c r="G14" s="70"/>
      <c r="H14" s="70"/>
      <c r="I14" s="1940"/>
      <c r="J14" s="70"/>
      <c r="K14" s="786"/>
      <c r="L14" s="994"/>
      <c r="M14" s="786"/>
      <c r="N14" s="174"/>
      <c r="O14" s="786"/>
      <c r="P14" s="70"/>
      <c r="Q14" s="70"/>
      <c r="R14" s="70"/>
      <c r="S14" s="70"/>
      <c r="T14" s="70"/>
      <c r="U14" s="1940"/>
      <c r="V14" s="70"/>
      <c r="W14" s="786"/>
      <c r="X14" s="994"/>
    </row>
    <row r="15" spans="2:24" x14ac:dyDescent="0.25">
      <c r="B15" s="174"/>
      <c r="C15" s="75"/>
      <c r="D15" s="75"/>
      <c r="E15" s="75"/>
      <c r="F15" s="75"/>
      <c r="G15" s="75"/>
      <c r="H15" s="75"/>
      <c r="I15" s="2395" t="s">
        <v>158</v>
      </c>
      <c r="J15" s="2396"/>
      <c r="K15" s="2397"/>
      <c r="L15" s="994"/>
      <c r="M15" s="786"/>
      <c r="N15" s="174"/>
      <c r="O15" s="75"/>
      <c r="P15" s="75"/>
      <c r="Q15" s="75"/>
      <c r="R15" s="75"/>
      <c r="S15" s="75"/>
      <c r="T15" s="75"/>
      <c r="U15" s="2395" t="s">
        <v>158</v>
      </c>
      <c r="V15" s="2396"/>
      <c r="W15" s="2397"/>
      <c r="X15" s="994"/>
    </row>
    <row r="16" spans="2:24" x14ac:dyDescent="0.25">
      <c r="B16" s="174"/>
      <c r="C16" s="75"/>
      <c r="D16" s="75"/>
      <c r="E16" s="75"/>
      <c r="F16" s="75"/>
      <c r="G16" s="75"/>
      <c r="H16" s="75"/>
      <c r="I16" s="2412" t="s">
        <v>244</v>
      </c>
      <c r="J16" s="2407" t="s">
        <v>245</v>
      </c>
      <c r="K16" s="2408"/>
      <c r="L16" s="994"/>
      <c r="M16" s="786"/>
      <c r="N16" s="174"/>
      <c r="O16" s="75"/>
      <c r="P16" s="75"/>
      <c r="Q16" s="75"/>
      <c r="R16" s="75"/>
      <c r="S16" s="75"/>
      <c r="T16" s="75"/>
      <c r="U16" s="2412" t="s">
        <v>244</v>
      </c>
      <c r="V16" s="2407" t="s">
        <v>245</v>
      </c>
      <c r="W16" s="2408"/>
      <c r="X16" s="994"/>
    </row>
    <row r="17" spans="2:27" x14ac:dyDescent="0.25">
      <c r="B17" s="174"/>
      <c r="C17" s="76"/>
      <c r="D17" s="52"/>
      <c r="E17" s="52"/>
      <c r="F17" s="77"/>
      <c r="G17" s="77"/>
      <c r="H17" s="77"/>
      <c r="I17" s="2412"/>
      <c r="J17" s="2409" t="s">
        <v>23</v>
      </c>
      <c r="K17" s="2409" t="s">
        <v>646</v>
      </c>
      <c r="L17" s="994"/>
      <c r="M17" s="786"/>
      <c r="N17" s="174"/>
      <c r="O17" s="76"/>
      <c r="P17" s="52"/>
      <c r="Q17" s="52"/>
      <c r="R17" s="77"/>
      <c r="S17" s="77"/>
      <c r="T17" s="77"/>
      <c r="U17" s="2412"/>
      <c r="V17" s="2409" t="s">
        <v>23</v>
      </c>
      <c r="W17" s="2409" t="s">
        <v>646</v>
      </c>
      <c r="X17" s="994"/>
    </row>
    <row r="18" spans="2:27" x14ac:dyDescent="0.25">
      <c r="B18" s="174"/>
      <c r="C18" s="52"/>
      <c r="D18" s="78"/>
      <c r="E18" s="78"/>
      <c r="F18" s="79"/>
      <c r="G18" s="79"/>
      <c r="H18" s="79"/>
      <c r="I18" s="2412"/>
      <c r="J18" s="2410"/>
      <c r="K18" s="2410"/>
      <c r="L18" s="994"/>
      <c r="M18" s="786"/>
      <c r="N18" s="174"/>
      <c r="O18" s="52"/>
      <c r="P18" s="78"/>
      <c r="Q18" s="78"/>
      <c r="R18" s="79"/>
      <c r="S18" s="79"/>
      <c r="T18" s="79"/>
      <c r="U18" s="2412"/>
      <c r="V18" s="2410"/>
      <c r="W18" s="2410"/>
      <c r="X18" s="994"/>
    </row>
    <row r="19" spans="2:27" ht="15.75" thickBot="1" x14ac:dyDescent="0.3">
      <c r="B19" s="174"/>
      <c r="C19" s="52"/>
      <c r="D19" s="78"/>
      <c r="E19" s="78"/>
      <c r="F19" s="79"/>
      <c r="G19" s="79"/>
      <c r="H19" s="79"/>
      <c r="I19" s="2413"/>
      <c r="J19" s="2411"/>
      <c r="K19" s="2411"/>
      <c r="L19" s="994"/>
      <c r="M19" s="786"/>
      <c r="N19" s="174"/>
      <c r="O19" s="52"/>
      <c r="P19" s="78"/>
      <c r="Q19" s="78"/>
      <c r="R19" s="79"/>
      <c r="S19" s="79"/>
      <c r="T19" s="79"/>
      <c r="U19" s="2413"/>
      <c r="V19" s="2411"/>
      <c r="W19" s="2411"/>
      <c r="X19" s="994"/>
    </row>
    <row r="20" spans="2:27" ht="15.75" thickBot="1" x14ac:dyDescent="0.3">
      <c r="B20" s="174"/>
      <c r="C20" s="67" t="s">
        <v>161</v>
      </c>
      <c r="D20" s="68"/>
      <c r="E20" s="68"/>
      <c r="F20" s="69"/>
      <c r="G20" s="69"/>
      <c r="H20" s="69"/>
      <c r="I20" s="1941"/>
      <c r="J20" s="71"/>
      <c r="K20" s="786"/>
      <c r="L20" s="994"/>
      <c r="M20" s="786"/>
      <c r="N20" s="174"/>
      <c r="O20" s="67" t="s">
        <v>161</v>
      </c>
      <c r="P20" s="68"/>
      <c r="Q20" s="68"/>
      <c r="R20" s="69"/>
      <c r="S20" s="69"/>
      <c r="T20" s="69"/>
      <c r="U20" s="1941"/>
      <c r="V20" s="71"/>
      <c r="W20" s="786"/>
      <c r="X20" s="994"/>
    </row>
    <row r="21" spans="2:27" ht="15" customHeight="1" x14ac:dyDescent="0.25">
      <c r="B21" s="174"/>
      <c r="C21" s="786"/>
      <c r="D21" s="100" t="s">
        <v>162</v>
      </c>
      <c r="E21" s="51"/>
      <c r="F21" s="52"/>
      <c r="G21" s="52"/>
      <c r="H21" s="52"/>
      <c r="I21" s="103">
        <f>'6B (2)'!P13</f>
        <v>0</v>
      </c>
      <c r="J21" s="1667"/>
      <c r="K21" s="1649"/>
      <c r="L21" s="994"/>
      <c r="M21" s="786"/>
      <c r="N21" s="174"/>
      <c r="O21" s="786"/>
      <c r="P21" s="100" t="s">
        <v>162</v>
      </c>
      <c r="Q21" s="51"/>
      <c r="R21" s="52"/>
      <c r="S21" s="52"/>
      <c r="T21" s="52"/>
      <c r="U21" s="103">
        <f>'6B (2)'!T13</f>
        <v>0</v>
      </c>
      <c r="V21" s="1667"/>
      <c r="W21" s="1649"/>
      <c r="X21" s="994"/>
      <c r="Z21"/>
      <c r="AA21"/>
    </row>
    <row r="22" spans="2:27" x14ac:dyDescent="0.25">
      <c r="B22" s="174"/>
      <c r="C22" s="786"/>
      <c r="D22" s="100" t="s">
        <v>163</v>
      </c>
      <c r="E22" s="51"/>
      <c r="F22" s="52"/>
      <c r="G22" s="52"/>
      <c r="H22" s="52"/>
      <c r="I22" s="105">
        <f>'6B'!I15</f>
        <v>0</v>
      </c>
      <c r="J22" s="97"/>
      <c r="K22" s="122"/>
      <c r="L22" s="994"/>
      <c r="M22" s="786"/>
      <c r="N22" s="174"/>
      <c r="O22" s="786"/>
      <c r="P22" s="100" t="s">
        <v>163</v>
      </c>
      <c r="Q22" s="51"/>
      <c r="R22" s="52"/>
      <c r="S22" s="52"/>
      <c r="T22" s="52"/>
      <c r="U22" s="105">
        <f>'6B (2)'!T14</f>
        <v>0</v>
      </c>
      <c r="V22" s="97"/>
      <c r="W22" s="122"/>
      <c r="X22" s="994"/>
      <c r="Z22"/>
      <c r="AA22"/>
    </row>
    <row r="23" spans="2:27" x14ac:dyDescent="0.25">
      <c r="B23" s="174"/>
      <c r="C23" s="786"/>
      <c r="D23" s="99" t="s">
        <v>164</v>
      </c>
      <c r="E23" s="51"/>
      <c r="F23" s="53"/>
      <c r="G23" s="53"/>
      <c r="H23" s="53"/>
      <c r="I23" s="105">
        <f>'6B (2)'!P15</f>
        <v>0</v>
      </c>
      <c r="J23" s="97"/>
      <c r="K23" s="122"/>
      <c r="L23" s="994"/>
      <c r="M23" s="786"/>
      <c r="N23" s="174"/>
      <c r="O23" s="786"/>
      <c r="P23" s="99" t="s">
        <v>164</v>
      </c>
      <c r="Q23" s="51"/>
      <c r="R23" s="53"/>
      <c r="S23" s="53"/>
      <c r="T23" s="53"/>
      <c r="U23" s="105">
        <f>'6B (2)'!T15</f>
        <v>0</v>
      </c>
      <c r="V23" s="97"/>
      <c r="W23" s="122"/>
      <c r="X23" s="994"/>
      <c r="Z23"/>
      <c r="AA23"/>
    </row>
    <row r="24" spans="2:27" x14ac:dyDescent="0.25">
      <c r="B24" s="174"/>
      <c r="C24" s="786"/>
      <c r="D24" s="99" t="s">
        <v>165</v>
      </c>
      <c r="E24" s="51"/>
      <c r="F24" s="53"/>
      <c r="G24" s="53"/>
      <c r="H24" s="53"/>
      <c r="I24" s="105">
        <f>'6B (2)'!P16</f>
        <v>28992</v>
      </c>
      <c r="J24" s="97">
        <v>0</v>
      </c>
      <c r="K24" s="122"/>
      <c r="L24" s="994"/>
      <c r="M24" s="786"/>
      <c r="N24" s="174"/>
      <c r="O24" s="786"/>
      <c r="P24" s="99" t="s">
        <v>165</v>
      </c>
      <c r="Q24" s="51"/>
      <c r="R24" s="53"/>
      <c r="S24" s="53"/>
      <c r="T24" s="53"/>
      <c r="U24" s="105">
        <f>'6B (2)'!T16</f>
        <v>16008</v>
      </c>
      <c r="V24" s="97">
        <v>0</v>
      </c>
      <c r="W24" s="122"/>
      <c r="X24" s="994"/>
      <c r="Z24"/>
      <c r="AA24"/>
    </row>
    <row r="25" spans="2:27" x14ac:dyDescent="0.25">
      <c r="B25" s="174"/>
      <c r="C25" s="786"/>
      <c r="D25" s="90" t="s">
        <v>166</v>
      </c>
      <c r="E25" s="51"/>
      <c r="F25" s="53"/>
      <c r="G25" s="53"/>
      <c r="H25" s="53"/>
      <c r="I25" s="105">
        <f>'6B (2)'!P17</f>
        <v>0</v>
      </c>
      <c r="J25" s="97"/>
      <c r="K25" s="122"/>
      <c r="L25" s="994"/>
      <c r="M25" s="786"/>
      <c r="N25" s="174"/>
      <c r="O25" s="786"/>
      <c r="P25" s="90" t="s">
        <v>166</v>
      </c>
      <c r="Q25" s="51"/>
      <c r="R25" s="53"/>
      <c r="S25" s="53"/>
      <c r="T25" s="53"/>
      <c r="U25" s="105">
        <f>'6B (2)'!T17</f>
        <v>0</v>
      </c>
      <c r="V25" s="97"/>
      <c r="W25" s="122"/>
      <c r="X25" s="994"/>
      <c r="Z25"/>
      <c r="AA25"/>
    </row>
    <row r="26" spans="2:27" x14ac:dyDescent="0.25">
      <c r="B26" s="174"/>
      <c r="C26" s="786"/>
      <c r="D26" s="57" t="s">
        <v>473</v>
      </c>
      <c r="E26" s="2414">
        <f>(IF(AND(I26&lt;&gt;0,'6A'!$E$25=""),"Enter Item on Form 6A",'6A'!$E$25))</f>
        <v>0</v>
      </c>
      <c r="F26" s="2415"/>
      <c r="G26" s="2416"/>
      <c r="H26" s="995"/>
      <c r="I26" s="126">
        <f>'6B (2)'!P18</f>
        <v>0</v>
      </c>
      <c r="J26" s="1668"/>
      <c r="K26" s="131"/>
      <c r="L26" s="994"/>
      <c r="M26" s="786"/>
      <c r="N26" s="174"/>
      <c r="O26" s="786"/>
      <c r="P26" s="57" t="s">
        <v>473</v>
      </c>
      <c r="Q26" s="2414">
        <f>(IF(AND(U26&lt;&gt;0,'6A'!$E$25=""),"Enter Item on Form 6A",'6A'!$E$25))</f>
        <v>0</v>
      </c>
      <c r="R26" s="2415"/>
      <c r="S26" s="2416"/>
      <c r="T26" s="995"/>
      <c r="U26" s="126">
        <f>'6B (2)'!T18</f>
        <v>0</v>
      </c>
      <c r="V26" s="1668"/>
      <c r="W26" s="131"/>
      <c r="X26" s="994"/>
      <c r="Z26"/>
      <c r="AA26"/>
    </row>
    <row r="27" spans="2:27" ht="15.75" thickBot="1" x14ac:dyDescent="0.3">
      <c r="B27" s="174"/>
      <c r="C27" s="52"/>
      <c r="D27" s="51"/>
      <c r="E27" s="51"/>
      <c r="F27" s="786"/>
      <c r="G27" s="55" t="s">
        <v>167</v>
      </c>
      <c r="H27" s="98"/>
      <c r="I27" s="125">
        <f>SUM(I21:I26)</f>
        <v>28992</v>
      </c>
      <c r="J27" s="102">
        <f>SUM(J22:J26)</f>
        <v>0</v>
      </c>
      <c r="K27" s="107">
        <v>0</v>
      </c>
      <c r="L27" s="994"/>
      <c r="M27" s="786"/>
      <c r="N27" s="174"/>
      <c r="O27" s="52"/>
      <c r="P27" s="51"/>
      <c r="Q27" s="51"/>
      <c r="R27" s="786"/>
      <c r="S27" s="55" t="s">
        <v>167</v>
      </c>
      <c r="T27" s="98"/>
      <c r="U27" s="125">
        <f>SUM(U21:U26)</f>
        <v>16008</v>
      </c>
      <c r="V27" s="102">
        <f>SUM(V22:V26)</f>
        <v>0</v>
      </c>
      <c r="W27" s="107">
        <v>0</v>
      </c>
      <c r="X27" s="994"/>
      <c r="Z27"/>
      <c r="AA27"/>
    </row>
    <row r="28" spans="2:27" ht="3.75" customHeight="1" x14ac:dyDescent="0.25">
      <c r="B28" s="174"/>
      <c r="C28" s="54"/>
      <c r="D28" s="55"/>
      <c r="E28" s="55"/>
      <c r="F28" s="51"/>
      <c r="G28" s="51"/>
      <c r="H28" s="51"/>
      <c r="I28" s="80"/>
      <c r="J28" s="80"/>
      <c r="K28" s="80"/>
      <c r="L28" s="994"/>
      <c r="M28" s="786"/>
      <c r="N28" s="174"/>
      <c r="O28" s="54"/>
      <c r="P28" s="55"/>
      <c r="Q28" s="55"/>
      <c r="R28" s="51"/>
      <c r="S28" s="51"/>
      <c r="T28" s="51"/>
      <c r="U28" s="80"/>
      <c r="V28" s="80"/>
      <c r="W28" s="80"/>
      <c r="X28" s="994"/>
      <c r="AA28" s="1537"/>
    </row>
    <row r="29" spans="2:27" ht="15.75" thickBot="1" x14ac:dyDescent="0.3">
      <c r="B29" s="174"/>
      <c r="C29" s="85" t="s">
        <v>168</v>
      </c>
      <c r="D29" s="86"/>
      <c r="E29" s="86"/>
      <c r="F29" s="87"/>
      <c r="G29" s="87"/>
      <c r="H29" s="87"/>
      <c r="I29" s="81"/>
      <c r="J29" s="80"/>
      <c r="K29" s="80"/>
      <c r="L29" s="994"/>
      <c r="M29" s="786"/>
      <c r="N29" s="174"/>
      <c r="O29" s="85" t="s">
        <v>168</v>
      </c>
      <c r="P29" s="86"/>
      <c r="Q29" s="86"/>
      <c r="R29" s="87"/>
      <c r="S29" s="87"/>
      <c r="T29" s="87"/>
      <c r="U29" s="81"/>
      <c r="V29" s="80"/>
      <c r="W29" s="80"/>
      <c r="X29" s="994"/>
      <c r="AA29"/>
    </row>
    <row r="30" spans="2:27" x14ac:dyDescent="0.25">
      <c r="B30" s="174"/>
      <c r="C30" s="786"/>
      <c r="D30" s="99" t="s">
        <v>169</v>
      </c>
      <c r="E30" s="51"/>
      <c r="F30" s="53"/>
      <c r="G30" s="53"/>
      <c r="H30" s="53"/>
      <c r="I30" s="103">
        <f>'6B (2)'!P22</f>
        <v>0</v>
      </c>
      <c r="J30" s="104"/>
      <c r="K30" s="108"/>
      <c r="L30" s="994"/>
      <c r="M30" s="786"/>
      <c r="N30" s="174"/>
      <c r="O30" s="786"/>
      <c r="P30" s="99" t="s">
        <v>169</v>
      </c>
      <c r="Q30" s="51"/>
      <c r="R30" s="53"/>
      <c r="S30" s="53"/>
      <c r="T30" s="53"/>
      <c r="U30" s="103">
        <f>'6B (2)'!T22</f>
        <v>0</v>
      </c>
      <c r="V30" s="104"/>
      <c r="W30" s="108"/>
      <c r="X30" s="994"/>
      <c r="Z30" s="1659"/>
      <c r="AA30" s="1537"/>
    </row>
    <row r="31" spans="2:27" x14ac:dyDescent="0.25">
      <c r="B31" s="174"/>
      <c r="C31" s="786"/>
      <c r="D31" s="99" t="s">
        <v>170</v>
      </c>
      <c r="E31" s="51"/>
      <c r="F31" s="56"/>
      <c r="G31" s="56"/>
      <c r="H31" s="56"/>
      <c r="I31" s="105">
        <f>'6B (2)'!P23</f>
        <v>0</v>
      </c>
      <c r="J31" s="97"/>
      <c r="K31" s="109"/>
      <c r="L31" s="994"/>
      <c r="M31" s="786"/>
      <c r="N31" s="174"/>
      <c r="O31" s="786"/>
      <c r="P31" s="99" t="s">
        <v>170</v>
      </c>
      <c r="Q31" s="51"/>
      <c r="R31" s="56"/>
      <c r="S31" s="56"/>
      <c r="T31" s="56"/>
      <c r="U31" s="105">
        <f>'6B (2)'!T23</f>
        <v>0</v>
      </c>
      <c r="V31" s="97"/>
      <c r="W31" s="109"/>
      <c r="X31" s="994"/>
      <c r="Z31"/>
      <c r="AA31"/>
    </row>
    <row r="32" spans="2:27" x14ac:dyDescent="0.25">
      <c r="B32" s="174"/>
      <c r="C32" s="786"/>
      <c r="D32" s="99" t="s">
        <v>171</v>
      </c>
      <c r="E32" s="51"/>
      <c r="F32" s="56"/>
      <c r="G32" s="56"/>
      <c r="H32" s="56"/>
      <c r="I32" s="105">
        <f>'6B (2)'!P24</f>
        <v>20833424</v>
      </c>
      <c r="J32" s="97"/>
      <c r="K32" s="109">
        <v>20833424</v>
      </c>
      <c r="L32" s="994"/>
      <c r="M32" s="786"/>
      <c r="N32" s="174"/>
      <c r="O32" s="786"/>
      <c r="P32" s="99" t="s">
        <v>171</v>
      </c>
      <c r="Q32" s="51"/>
      <c r="R32" s="56"/>
      <c r="S32" s="56"/>
      <c r="T32" s="56"/>
      <c r="U32" s="105">
        <f>'6B (2)'!T24</f>
        <v>12362765</v>
      </c>
      <c r="V32" s="97"/>
      <c r="W32" s="109">
        <v>12362765</v>
      </c>
      <c r="X32" s="994"/>
      <c r="Z32" s="1659"/>
      <c r="AA32" s="1537"/>
    </row>
    <row r="33" spans="2:27" x14ac:dyDescent="0.25">
      <c r="B33" s="174"/>
      <c r="C33" s="786"/>
      <c r="D33" s="99" t="s">
        <v>172</v>
      </c>
      <c r="E33" s="51"/>
      <c r="F33" s="56"/>
      <c r="G33" s="56"/>
      <c r="H33" s="56"/>
      <c r="I33" s="105">
        <f>'6B (2)'!P25</f>
        <v>393403</v>
      </c>
      <c r="J33" s="97"/>
      <c r="K33" s="109">
        <v>393403</v>
      </c>
      <c r="L33" s="994"/>
      <c r="M33" s="786"/>
      <c r="N33" s="174"/>
      <c r="O33" s="786"/>
      <c r="P33" s="99" t="s">
        <v>172</v>
      </c>
      <c r="Q33" s="51"/>
      <c r="R33" s="56"/>
      <c r="S33" s="56"/>
      <c r="T33" s="56"/>
      <c r="U33" s="105">
        <f>'6B (2)'!T25</f>
        <v>232460</v>
      </c>
      <c r="V33" s="97"/>
      <c r="W33" s="109">
        <v>232460</v>
      </c>
      <c r="X33" s="994"/>
      <c r="Z33" s="1659"/>
      <c r="AA33" s="1537"/>
    </row>
    <row r="34" spans="2:27" x14ac:dyDescent="0.25">
      <c r="B34" s="174"/>
      <c r="C34" s="786"/>
      <c r="D34" s="99" t="s">
        <v>173</v>
      </c>
      <c r="E34" s="51"/>
      <c r="F34" s="56"/>
      <c r="G34" s="56"/>
      <c r="H34" s="56"/>
      <c r="I34" s="105">
        <f>'6B (2)'!P26</f>
        <v>393403</v>
      </c>
      <c r="J34" s="97"/>
      <c r="K34" s="109">
        <v>393403</v>
      </c>
      <c r="L34" s="994"/>
      <c r="M34" s="786"/>
      <c r="N34" s="174"/>
      <c r="O34" s="786"/>
      <c r="P34" s="99" t="s">
        <v>173</v>
      </c>
      <c r="Q34" s="51"/>
      <c r="R34" s="56"/>
      <c r="S34" s="56"/>
      <c r="T34" s="56"/>
      <c r="U34" s="105">
        <f>'6B (2)'!T26</f>
        <v>232460</v>
      </c>
      <c r="V34" s="97"/>
      <c r="W34" s="109">
        <v>232460</v>
      </c>
      <c r="X34" s="994"/>
      <c r="Z34"/>
      <c r="AA34"/>
    </row>
    <row r="35" spans="2:27" x14ac:dyDescent="0.25">
      <c r="B35" s="174"/>
      <c r="C35" s="786"/>
      <c r="D35" s="99" t="s">
        <v>174</v>
      </c>
      <c r="E35" s="51"/>
      <c r="F35" s="57"/>
      <c r="G35" s="57"/>
      <c r="H35" s="57"/>
      <c r="I35" s="105">
        <f>'6B (2)'!P27</f>
        <v>0</v>
      </c>
      <c r="J35" s="97"/>
      <c r="K35" s="109"/>
      <c r="L35" s="994"/>
      <c r="M35" s="786"/>
      <c r="N35" s="174"/>
      <c r="O35" s="786"/>
      <c r="P35" s="99" t="s">
        <v>174</v>
      </c>
      <c r="Q35" s="51"/>
      <c r="R35" s="57"/>
      <c r="S35" s="57"/>
      <c r="T35" s="57"/>
      <c r="U35" s="105">
        <f>'6B (2)'!T27</f>
        <v>0</v>
      </c>
      <c r="V35" s="97"/>
      <c r="W35" s="109"/>
      <c r="X35" s="994"/>
      <c r="Z35"/>
      <c r="AA35"/>
    </row>
    <row r="36" spans="2:27" x14ac:dyDescent="0.25">
      <c r="B36" s="174"/>
      <c r="C36" s="786"/>
      <c r="D36" s="99" t="s">
        <v>175</v>
      </c>
      <c r="E36" s="51"/>
      <c r="F36" s="57"/>
      <c r="G36" s="57"/>
      <c r="H36" s="57"/>
      <c r="I36" s="105">
        <f>'6B (2)'!P28</f>
        <v>3510136</v>
      </c>
      <c r="J36" s="97"/>
      <c r="K36" s="109">
        <v>3510136</v>
      </c>
      <c r="L36" s="994"/>
      <c r="M36" s="786"/>
      <c r="N36" s="174"/>
      <c r="O36" s="786"/>
      <c r="P36" s="99" t="s">
        <v>175</v>
      </c>
      <c r="Q36" s="51"/>
      <c r="R36" s="57"/>
      <c r="S36" s="57"/>
      <c r="T36" s="57"/>
      <c r="U36" s="105">
        <f>'6B (2)'!T28</f>
        <v>2074126</v>
      </c>
      <c r="V36" s="97"/>
      <c r="W36" s="109">
        <v>2074126</v>
      </c>
      <c r="X36" s="994"/>
      <c r="Z36" s="1659"/>
      <c r="AA36" s="1537"/>
    </row>
    <row r="37" spans="2:27" x14ac:dyDescent="0.25">
      <c r="B37" s="174"/>
      <c r="C37" s="786"/>
      <c r="D37" s="99" t="s">
        <v>176</v>
      </c>
      <c r="E37" s="51"/>
      <c r="F37" s="58"/>
      <c r="G37" s="58"/>
      <c r="H37" s="58"/>
      <c r="I37" s="105">
        <f>'6B (2)'!P29</f>
        <v>0</v>
      </c>
      <c r="J37" s="97"/>
      <c r="K37" s="109"/>
      <c r="L37" s="994"/>
      <c r="M37" s="786"/>
      <c r="N37" s="174"/>
      <c r="O37" s="786"/>
      <c r="P37" s="99" t="s">
        <v>176</v>
      </c>
      <c r="Q37" s="51"/>
      <c r="R37" s="58"/>
      <c r="S37" s="58"/>
      <c r="T37" s="58"/>
      <c r="U37" s="105">
        <f>'6B (2)'!T29</f>
        <v>0</v>
      </c>
      <c r="V37" s="97"/>
      <c r="W37" s="109"/>
      <c r="X37" s="994"/>
      <c r="Z37"/>
      <c r="AA37"/>
    </row>
    <row r="38" spans="2:27" x14ac:dyDescent="0.25">
      <c r="B38" s="174"/>
      <c r="C38" s="786"/>
      <c r="D38" s="99" t="s">
        <v>177</v>
      </c>
      <c r="E38" s="51"/>
      <c r="F38" s="58"/>
      <c r="G38" s="58"/>
      <c r="H38" s="58"/>
      <c r="I38" s="105">
        <f>'6B (2)'!P30</f>
        <v>1351039</v>
      </c>
      <c r="J38" s="97"/>
      <c r="K38" s="109">
        <v>1351039</v>
      </c>
      <c r="L38" s="994"/>
      <c r="M38" s="786"/>
      <c r="N38" s="174"/>
      <c r="O38" s="786"/>
      <c r="P38" s="99" t="s">
        <v>177</v>
      </c>
      <c r="Q38" s="51"/>
      <c r="R38" s="58"/>
      <c r="S38" s="58"/>
      <c r="T38" s="58"/>
      <c r="U38" s="105">
        <f>'6B (2)'!T30</f>
        <v>745950</v>
      </c>
      <c r="V38" s="97"/>
      <c r="W38" s="109">
        <v>745950</v>
      </c>
      <c r="X38" s="994"/>
      <c r="Z38" s="1659"/>
      <c r="AA38" s="1537"/>
    </row>
    <row r="39" spans="2:27" x14ac:dyDescent="0.25">
      <c r="B39" s="174"/>
      <c r="C39" s="786"/>
      <c r="D39" s="99" t="s">
        <v>178</v>
      </c>
      <c r="E39" s="51"/>
      <c r="F39" s="59"/>
      <c r="G39" s="59"/>
      <c r="H39" s="59"/>
      <c r="I39" s="105">
        <f>'6B (2)'!P31</f>
        <v>0</v>
      </c>
      <c r="J39" s="143"/>
      <c r="K39" s="116"/>
      <c r="L39" s="994"/>
      <c r="M39" s="786"/>
      <c r="N39" s="174"/>
      <c r="O39" s="786"/>
      <c r="P39" s="99" t="s">
        <v>178</v>
      </c>
      <c r="Q39" s="51"/>
      <c r="R39" s="59"/>
      <c r="S39" s="59"/>
      <c r="T39" s="59"/>
      <c r="U39" s="105">
        <f>'6B (2)'!T31</f>
        <v>0</v>
      </c>
      <c r="V39" s="143"/>
      <c r="W39" s="116"/>
      <c r="X39" s="994"/>
      <c r="Z39"/>
      <c r="AA39"/>
    </row>
    <row r="40" spans="2:27" x14ac:dyDescent="0.25">
      <c r="B40" s="174"/>
      <c r="C40" s="786"/>
      <c r="D40" s="99" t="s">
        <v>246</v>
      </c>
      <c r="E40" s="51"/>
      <c r="F40" s="59"/>
      <c r="G40" s="59"/>
      <c r="H40" s="59"/>
      <c r="I40" s="105">
        <f>'6B (2)'!P32</f>
        <v>0</v>
      </c>
      <c r="J40" s="97"/>
      <c r="K40" s="109"/>
      <c r="L40" s="994"/>
      <c r="M40" s="786"/>
      <c r="N40" s="174"/>
      <c r="O40" s="786"/>
      <c r="P40" s="99" t="s">
        <v>246</v>
      </c>
      <c r="Q40" s="51"/>
      <c r="R40" s="59"/>
      <c r="S40" s="59"/>
      <c r="T40" s="59"/>
      <c r="U40" s="105">
        <f>'6B (2)'!T32</f>
        <v>0</v>
      </c>
      <c r="V40" s="97"/>
      <c r="W40" s="109"/>
      <c r="X40" s="994"/>
      <c r="Z40" s="1659"/>
      <c r="AA40" s="1537"/>
    </row>
    <row r="41" spans="2:27" x14ac:dyDescent="0.25">
      <c r="B41" s="174"/>
      <c r="C41" s="786"/>
      <c r="D41" s="99" t="s">
        <v>247</v>
      </c>
      <c r="E41" s="51"/>
      <c r="F41" s="59"/>
      <c r="G41" s="59"/>
      <c r="H41" s="59"/>
      <c r="I41" s="105">
        <f>'6B (2)'!P33</f>
        <v>0</v>
      </c>
      <c r="J41" s="97"/>
      <c r="K41" s="109"/>
      <c r="L41" s="994"/>
      <c r="M41" s="786"/>
      <c r="N41" s="174"/>
      <c r="O41" s="786"/>
      <c r="P41" s="99" t="s">
        <v>247</v>
      </c>
      <c r="Q41" s="51"/>
      <c r="R41" s="59"/>
      <c r="S41" s="59"/>
      <c r="T41" s="59"/>
      <c r="U41" s="105">
        <f>'6B (2)'!T33</f>
        <v>0</v>
      </c>
      <c r="V41" s="97"/>
      <c r="W41" s="109"/>
      <c r="X41" s="994"/>
      <c r="Z41"/>
      <c r="AA41"/>
    </row>
    <row r="42" spans="2:27" x14ac:dyDescent="0.25">
      <c r="B42" s="174"/>
      <c r="C42" s="786"/>
      <c r="D42" s="99" t="s">
        <v>181</v>
      </c>
      <c r="E42" s="59"/>
      <c r="F42" s="60"/>
      <c r="G42" s="60"/>
      <c r="H42" s="60"/>
      <c r="I42" s="105">
        <f>'6B (2)'!P34</f>
        <v>2583460</v>
      </c>
      <c r="J42" s="97"/>
      <c r="K42" s="109">
        <v>2583460</v>
      </c>
      <c r="L42" s="994"/>
      <c r="M42" s="786"/>
      <c r="N42" s="174"/>
      <c r="O42" s="786"/>
      <c r="P42" s="99" t="s">
        <v>181</v>
      </c>
      <c r="Q42" s="59"/>
      <c r="R42" s="60"/>
      <c r="S42" s="60"/>
      <c r="T42" s="60"/>
      <c r="U42" s="105">
        <f>'6B (2)'!T34</f>
        <v>1526557</v>
      </c>
      <c r="V42" s="97"/>
      <c r="W42" s="109">
        <v>1526557</v>
      </c>
      <c r="X42" s="994"/>
      <c r="Z42" s="1659"/>
      <c r="AA42" s="1537"/>
    </row>
    <row r="43" spans="2:27" x14ac:dyDescent="0.25">
      <c r="B43" s="174"/>
      <c r="C43" s="786"/>
      <c r="D43" s="99" t="s">
        <v>182</v>
      </c>
      <c r="E43" s="51"/>
      <c r="F43" s="58"/>
      <c r="G43" s="58"/>
      <c r="H43" s="58"/>
      <c r="I43" s="105">
        <f>'6B (2)'!P35</f>
        <v>429640</v>
      </c>
      <c r="J43" s="97"/>
      <c r="K43" s="109">
        <v>429640</v>
      </c>
      <c r="L43" s="994"/>
      <c r="M43" s="786"/>
      <c r="N43" s="174"/>
      <c r="O43" s="786"/>
      <c r="P43" s="99" t="s">
        <v>182</v>
      </c>
      <c r="Q43" s="51"/>
      <c r="R43" s="58"/>
      <c r="S43" s="58"/>
      <c r="T43" s="58"/>
      <c r="U43" s="105">
        <f>'6B (2)'!T35</f>
        <v>253873</v>
      </c>
      <c r="V43" s="97"/>
      <c r="W43" s="109">
        <v>253873</v>
      </c>
      <c r="X43" s="994"/>
      <c r="Z43" s="1659"/>
      <c r="AA43" s="1537"/>
    </row>
    <row r="44" spans="2:27" x14ac:dyDescent="0.25">
      <c r="B44" s="174"/>
      <c r="C44" s="786"/>
      <c r="D44" s="99" t="s">
        <v>183</v>
      </c>
      <c r="E44" s="51"/>
      <c r="F44" s="59"/>
      <c r="G44" s="59"/>
      <c r="H44" s="59"/>
      <c r="I44" s="105">
        <f>'6B (2)'!P36</f>
        <v>80533</v>
      </c>
      <c r="J44" s="97"/>
      <c r="K44" s="109">
        <v>80533</v>
      </c>
      <c r="L44" s="994"/>
      <c r="M44" s="786"/>
      <c r="N44" s="174"/>
      <c r="O44" s="786"/>
      <c r="P44" s="99" t="s">
        <v>183</v>
      </c>
      <c r="Q44" s="51"/>
      <c r="R44" s="59"/>
      <c r="S44" s="59"/>
      <c r="T44" s="59"/>
      <c r="U44" s="105">
        <f>'6B (2)'!T36</f>
        <v>44467</v>
      </c>
      <c r="V44" s="97"/>
      <c r="W44" s="109">
        <v>44467</v>
      </c>
      <c r="X44" s="994"/>
      <c r="Z44" s="1659"/>
      <c r="AA44" s="1537"/>
    </row>
    <row r="45" spans="2:27" x14ac:dyDescent="0.25">
      <c r="B45" s="174"/>
      <c r="C45" s="786"/>
      <c r="D45" s="57" t="s">
        <v>473</v>
      </c>
      <c r="E45" s="2417">
        <f>(IF(AND(I45&lt;&gt;0,'6A'!$E$44=""),"Enter Item on Form 6A",'6A'!$E$44))</f>
        <v>0</v>
      </c>
      <c r="F45" s="2418"/>
      <c r="G45" s="2419"/>
      <c r="H45" s="995"/>
      <c r="I45" s="126">
        <f>'6B (2)'!P37</f>
        <v>0</v>
      </c>
      <c r="J45" s="127"/>
      <c r="K45" s="128"/>
      <c r="L45" s="994"/>
      <c r="M45" s="786"/>
      <c r="N45" s="174"/>
      <c r="O45" s="786"/>
      <c r="P45" s="57" t="s">
        <v>473</v>
      </c>
      <c r="Q45" s="2414">
        <f>(IF(AND(U45&lt;&gt;0,'6A'!$E$44=""),"Enter Item on Form 6A",'6A'!$E$44))</f>
        <v>0</v>
      </c>
      <c r="R45" s="2415"/>
      <c r="S45" s="2416"/>
      <c r="T45" s="995"/>
      <c r="U45" s="126">
        <f>'6B (2)'!T37</f>
        <v>0</v>
      </c>
      <c r="V45" s="127"/>
      <c r="W45" s="128"/>
      <c r="X45" s="994"/>
      <c r="Z45" s="1659"/>
      <c r="AA45" s="1537"/>
    </row>
    <row r="46" spans="2:27" ht="15.75" thickBot="1" x14ac:dyDescent="0.3">
      <c r="B46" s="174"/>
      <c r="C46" s="52"/>
      <c r="D46" s="51"/>
      <c r="E46" s="51"/>
      <c r="F46" s="786"/>
      <c r="G46" s="55" t="s">
        <v>167</v>
      </c>
      <c r="H46" s="98"/>
      <c r="I46" s="125">
        <f>SUM(I30:I45)</f>
        <v>29575038</v>
      </c>
      <c r="J46" s="102">
        <f>(SUM(J30:J38))+(SUM(J40:J45))</f>
        <v>0</v>
      </c>
      <c r="K46" s="111">
        <f>(SUM(K30:K38))+(SUM(K40:K45))</f>
        <v>29575038</v>
      </c>
      <c r="L46" s="994"/>
      <c r="M46" s="786"/>
      <c r="N46" s="174"/>
      <c r="O46" s="52"/>
      <c r="P46" s="51"/>
      <c r="Q46" s="51"/>
      <c r="R46" s="786"/>
      <c r="S46" s="55" t="s">
        <v>167</v>
      </c>
      <c r="T46" s="98"/>
      <c r="U46" s="125">
        <f>SUM(U30:U45)</f>
        <v>17472658</v>
      </c>
      <c r="V46" s="102">
        <f>(SUM(V30:V38))+(SUM(V40:V45))</f>
        <v>0</v>
      </c>
      <c r="W46" s="111">
        <f>(SUM(W30:W38))+(SUM(W40:W45))</f>
        <v>17472658</v>
      </c>
      <c r="X46" s="994"/>
      <c r="Z46" s="1659"/>
      <c r="AA46" s="1537"/>
    </row>
    <row r="47" spans="2:27" ht="3.75" customHeight="1" x14ac:dyDescent="0.25">
      <c r="B47" s="174"/>
      <c r="C47" s="54"/>
      <c r="D47" s="55"/>
      <c r="E47" s="55"/>
      <c r="F47" s="51"/>
      <c r="G47" s="51"/>
      <c r="H47" s="51"/>
      <c r="I47" s="80"/>
      <c r="J47" s="80"/>
      <c r="K47" s="80"/>
      <c r="L47" s="994"/>
      <c r="M47" s="786"/>
      <c r="N47" s="174"/>
      <c r="O47" s="54"/>
      <c r="P47" s="55"/>
      <c r="Q47" s="55"/>
      <c r="R47" s="51"/>
      <c r="S47" s="51"/>
      <c r="T47" s="51"/>
      <c r="U47" s="80"/>
      <c r="V47" s="80"/>
      <c r="W47" s="80"/>
      <c r="X47" s="994"/>
      <c r="AA47"/>
    </row>
    <row r="48" spans="2:27" ht="15.75" thickBot="1" x14ac:dyDescent="0.3">
      <c r="B48" s="174"/>
      <c r="C48" s="88" t="s">
        <v>184</v>
      </c>
      <c r="D48" s="88"/>
      <c r="E48" s="88"/>
      <c r="F48" s="88"/>
      <c r="G48" s="88"/>
      <c r="H48" s="88"/>
      <c r="I48" s="80"/>
      <c r="J48" s="82"/>
      <c r="K48" s="82"/>
      <c r="L48" s="994"/>
      <c r="M48" s="786"/>
      <c r="N48" s="174"/>
      <c r="O48" s="88" t="s">
        <v>184</v>
      </c>
      <c r="P48" s="88"/>
      <c r="Q48" s="88"/>
      <c r="R48" s="88"/>
      <c r="S48" s="88"/>
      <c r="T48" s="88"/>
      <c r="U48" s="80"/>
      <c r="V48" s="82"/>
      <c r="W48" s="82"/>
      <c r="X48" s="994"/>
      <c r="AA48"/>
    </row>
    <row r="49" spans="2:27" x14ac:dyDescent="0.25">
      <c r="B49" s="174"/>
      <c r="C49" s="786"/>
      <c r="D49" s="99" t="s">
        <v>185</v>
      </c>
      <c r="E49" s="51"/>
      <c r="F49" s="53"/>
      <c r="G49" s="53"/>
      <c r="H49" s="53"/>
      <c r="I49" s="103">
        <f>'6B (2)'!P41</f>
        <v>7500</v>
      </c>
      <c r="J49" s="117"/>
      <c r="K49" s="118"/>
      <c r="L49" s="994"/>
      <c r="M49" s="786"/>
      <c r="N49" s="174"/>
      <c r="O49" s="786"/>
      <c r="P49" s="99" t="s">
        <v>185</v>
      </c>
      <c r="Q49" s="51"/>
      <c r="R49" s="53"/>
      <c r="S49" s="53"/>
      <c r="T49" s="53"/>
      <c r="U49" s="103">
        <f>'6B (2)'!T41</f>
        <v>7500</v>
      </c>
      <c r="V49" s="117"/>
      <c r="W49" s="118"/>
      <c r="X49" s="994"/>
      <c r="AA49"/>
    </row>
    <row r="50" spans="2:27" x14ac:dyDescent="0.25">
      <c r="B50" s="174"/>
      <c r="C50" s="786"/>
      <c r="D50" s="99" t="s">
        <v>186</v>
      </c>
      <c r="E50" s="51"/>
      <c r="F50" s="53"/>
      <c r="G50" s="53"/>
      <c r="H50" s="53"/>
      <c r="I50" s="105">
        <f>'6B (2)'!P42</f>
        <v>7500</v>
      </c>
      <c r="J50" s="97"/>
      <c r="K50" s="109">
        <v>7500</v>
      </c>
      <c r="L50" s="994"/>
      <c r="M50" s="786"/>
      <c r="N50" s="174"/>
      <c r="O50" s="786"/>
      <c r="P50" s="99" t="s">
        <v>186</v>
      </c>
      <c r="Q50" s="51"/>
      <c r="R50" s="53"/>
      <c r="S50" s="53"/>
      <c r="T50" s="53"/>
      <c r="U50" s="105">
        <f>'6B (2)'!T42</f>
        <v>7500</v>
      </c>
      <c r="V50" s="97"/>
      <c r="W50" s="109">
        <v>7500</v>
      </c>
      <c r="X50" s="994"/>
      <c r="Z50" s="1659"/>
      <c r="AA50" s="1537"/>
    </row>
    <row r="51" spans="2:27" x14ac:dyDescent="0.25">
      <c r="B51" s="174"/>
      <c r="C51" s="786"/>
      <c r="D51" s="99" t="s">
        <v>187</v>
      </c>
      <c r="E51" s="51"/>
      <c r="F51" s="53"/>
      <c r="G51" s="53"/>
      <c r="H51" s="53"/>
      <c r="I51" s="105">
        <f>'6B (2)'!P43</f>
        <v>1600929</v>
      </c>
      <c r="J51" s="97"/>
      <c r="K51" s="109">
        <v>1600929</v>
      </c>
      <c r="L51" s="994"/>
      <c r="M51" s="786"/>
      <c r="N51" s="174"/>
      <c r="O51" s="786"/>
      <c r="P51" s="99" t="s">
        <v>187</v>
      </c>
      <c r="Q51" s="51"/>
      <c r="R51" s="53"/>
      <c r="S51" s="53"/>
      <c r="T51" s="53"/>
      <c r="U51" s="105">
        <f>'6B (2)'!T43</f>
        <v>883974</v>
      </c>
      <c r="V51" s="97"/>
      <c r="W51" s="109">
        <v>883974</v>
      </c>
      <c r="X51" s="994"/>
      <c r="Z51" s="1659"/>
      <c r="AA51" s="1537"/>
    </row>
    <row r="52" spans="2:27" x14ac:dyDescent="0.25">
      <c r="B52" s="174"/>
      <c r="C52" s="786"/>
      <c r="D52" s="99" t="s">
        <v>188</v>
      </c>
      <c r="E52" s="51"/>
      <c r="F52" s="53"/>
      <c r="G52" s="53"/>
      <c r="H52" s="53"/>
      <c r="I52" s="105">
        <f>'6B (2)'!P44</f>
        <v>132074</v>
      </c>
      <c r="J52" s="97"/>
      <c r="K52" s="109">
        <v>132074</v>
      </c>
      <c r="L52" s="994"/>
      <c r="M52" s="786"/>
      <c r="N52" s="174"/>
      <c r="O52" s="786"/>
      <c r="P52" s="99" t="s">
        <v>188</v>
      </c>
      <c r="Q52" s="51"/>
      <c r="R52" s="53"/>
      <c r="S52" s="53"/>
      <c r="T52" s="53"/>
      <c r="U52" s="105">
        <f>'6B (2)'!T44</f>
        <v>72926</v>
      </c>
      <c r="V52" s="97"/>
      <c r="W52" s="109">
        <v>72926</v>
      </c>
      <c r="X52" s="994"/>
      <c r="Z52" s="1659"/>
      <c r="AA52" s="1537"/>
    </row>
    <row r="53" spans="2:27" x14ac:dyDescent="0.25">
      <c r="B53" s="174"/>
      <c r="C53" s="786"/>
      <c r="D53" s="90" t="s">
        <v>189</v>
      </c>
      <c r="E53" s="61"/>
      <c r="F53" s="53"/>
      <c r="G53" s="53"/>
      <c r="H53" s="53"/>
      <c r="I53" s="105">
        <f>'6B (2)'!P45</f>
        <v>31247</v>
      </c>
      <c r="J53" s="97"/>
      <c r="K53" s="109">
        <v>31247</v>
      </c>
      <c r="L53" s="994"/>
      <c r="M53" s="786"/>
      <c r="N53" s="174"/>
      <c r="O53" s="786"/>
      <c r="P53" s="90" t="s">
        <v>189</v>
      </c>
      <c r="Q53" s="61"/>
      <c r="R53" s="53"/>
      <c r="S53" s="53"/>
      <c r="T53" s="53"/>
      <c r="U53" s="105">
        <f>'6B (2)'!T45</f>
        <v>17253</v>
      </c>
      <c r="V53" s="97"/>
      <c r="W53" s="109">
        <v>17253</v>
      </c>
      <c r="X53" s="994"/>
      <c r="Z53" s="1659"/>
      <c r="AA53" s="1537"/>
    </row>
    <row r="54" spans="2:27" x14ac:dyDescent="0.25">
      <c r="B54" s="174"/>
      <c r="C54" s="786"/>
      <c r="D54" s="99" t="s">
        <v>190</v>
      </c>
      <c r="E54" s="62"/>
      <c r="F54" s="53"/>
      <c r="G54" s="53"/>
      <c r="H54" s="53"/>
      <c r="I54" s="105">
        <f>'6B (2)'!P46</f>
        <v>0</v>
      </c>
      <c r="J54" s="97"/>
      <c r="K54" s="109"/>
      <c r="L54" s="994"/>
      <c r="M54" s="786"/>
      <c r="N54" s="174"/>
      <c r="O54" s="786"/>
      <c r="P54" s="99" t="s">
        <v>190</v>
      </c>
      <c r="Q54" s="62"/>
      <c r="R54" s="53"/>
      <c r="S54" s="53"/>
      <c r="T54" s="53"/>
      <c r="U54" s="105">
        <f>'6B (2)'!T46</f>
        <v>0</v>
      </c>
      <c r="V54" s="97"/>
      <c r="W54" s="109"/>
      <c r="X54" s="994"/>
      <c r="AA54"/>
    </row>
    <row r="55" spans="2:27" x14ac:dyDescent="0.25">
      <c r="B55" s="174"/>
      <c r="C55" s="786"/>
      <c r="D55" s="99" t="s">
        <v>191</v>
      </c>
      <c r="E55" s="63"/>
      <c r="F55" s="53"/>
      <c r="G55" s="53"/>
      <c r="H55" s="53"/>
      <c r="I55" s="105">
        <f>'6B (2)'!P47</f>
        <v>0</v>
      </c>
      <c r="J55" s="97"/>
      <c r="K55" s="109"/>
      <c r="L55" s="994"/>
      <c r="M55" s="786"/>
      <c r="N55" s="174"/>
      <c r="O55" s="786"/>
      <c r="P55" s="99" t="s">
        <v>191</v>
      </c>
      <c r="Q55" s="63"/>
      <c r="R55" s="53"/>
      <c r="S55" s="53"/>
      <c r="T55" s="53"/>
      <c r="U55" s="105">
        <f>'6B (2)'!T47</f>
        <v>0</v>
      </c>
      <c r="V55" s="97"/>
      <c r="W55" s="109"/>
      <c r="X55" s="994"/>
      <c r="Z55" s="1659"/>
      <c r="AA55"/>
    </row>
    <row r="56" spans="2:27" x14ac:dyDescent="0.25">
      <c r="B56" s="174"/>
      <c r="C56" s="786"/>
      <c r="D56" s="99" t="s">
        <v>192</v>
      </c>
      <c r="E56" s="51"/>
      <c r="F56" s="57"/>
      <c r="G56" s="57"/>
      <c r="H56" s="57"/>
      <c r="I56" s="105">
        <f>'6B (2)'!P48</f>
        <v>10000</v>
      </c>
      <c r="J56" s="97"/>
      <c r="K56" s="109">
        <v>10000</v>
      </c>
      <c r="L56" s="994"/>
      <c r="M56" s="786"/>
      <c r="N56" s="174"/>
      <c r="O56" s="786"/>
      <c r="P56" s="99" t="s">
        <v>192</v>
      </c>
      <c r="Q56" s="51"/>
      <c r="R56" s="57"/>
      <c r="S56" s="57"/>
      <c r="T56" s="57"/>
      <c r="U56" s="105">
        <f>'6B (2)'!T48</f>
        <v>35000</v>
      </c>
      <c r="V56" s="97"/>
      <c r="W56" s="109">
        <v>35000</v>
      </c>
      <c r="X56" s="994"/>
      <c r="Z56" s="1659"/>
      <c r="AA56" s="1537"/>
    </row>
    <row r="57" spans="2:27" x14ac:dyDescent="0.25">
      <c r="B57" s="174"/>
      <c r="C57" s="786"/>
      <c r="D57" s="90" t="s">
        <v>193</v>
      </c>
      <c r="E57" s="51"/>
      <c r="F57" s="53"/>
      <c r="G57" s="53"/>
      <c r="H57" s="53"/>
      <c r="I57" s="105">
        <f>'6B (2)'!P49</f>
        <v>1837982</v>
      </c>
      <c r="J57" s="97"/>
      <c r="K57" s="109">
        <v>1837982</v>
      </c>
      <c r="L57" s="994"/>
      <c r="M57" s="786"/>
      <c r="N57" s="174"/>
      <c r="O57" s="786"/>
      <c r="P57" s="90" t="s">
        <v>193</v>
      </c>
      <c r="Q57" s="51"/>
      <c r="R57" s="53"/>
      <c r="S57" s="53"/>
      <c r="T57" s="53"/>
      <c r="U57" s="105">
        <f>'6B (2)'!T49</f>
        <v>1870160</v>
      </c>
      <c r="V57" s="97"/>
      <c r="W57" s="109">
        <v>1243616</v>
      </c>
      <c r="X57" s="994"/>
      <c r="Z57" s="1659"/>
      <c r="AA57" s="1537"/>
    </row>
    <row r="58" spans="2:27" x14ac:dyDescent="0.25">
      <c r="B58" s="174"/>
      <c r="C58" s="786"/>
      <c r="D58" s="90" t="s">
        <v>248</v>
      </c>
      <c r="E58" s="51"/>
      <c r="F58" s="53"/>
      <c r="G58" s="53"/>
      <c r="H58" s="53"/>
      <c r="I58" s="105">
        <f>'6B (2)'!P50</f>
        <v>322131</v>
      </c>
      <c r="J58" s="97"/>
      <c r="K58" s="109">
        <v>322131</v>
      </c>
      <c r="L58" s="994"/>
      <c r="M58" s="786"/>
      <c r="N58" s="174"/>
      <c r="O58" s="786"/>
      <c r="P58" s="90" t="s">
        <v>248</v>
      </c>
      <c r="Q58" s="51"/>
      <c r="R58" s="53"/>
      <c r="S58" s="53"/>
      <c r="T58" s="53"/>
      <c r="U58" s="105">
        <f>'6B (2)'!T50</f>
        <v>177869</v>
      </c>
      <c r="V58" s="97"/>
      <c r="W58" s="109">
        <v>177869</v>
      </c>
      <c r="X58" s="994"/>
      <c r="Z58" s="1659"/>
      <c r="AA58" s="1537"/>
    </row>
    <row r="59" spans="2:27" x14ac:dyDescent="0.25">
      <c r="B59" s="174"/>
      <c r="C59" s="786"/>
      <c r="D59" s="90" t="s">
        <v>195</v>
      </c>
      <c r="E59" s="57"/>
      <c r="F59" s="786"/>
      <c r="G59" s="996"/>
      <c r="H59" s="996"/>
      <c r="I59" s="105">
        <f>'6B (2)'!P51</f>
        <v>45000</v>
      </c>
      <c r="J59" s="97"/>
      <c r="K59" s="110">
        <v>0</v>
      </c>
      <c r="L59" s="994"/>
      <c r="M59" s="786"/>
      <c r="N59" s="174"/>
      <c r="O59" s="786"/>
      <c r="P59" s="90" t="s">
        <v>195</v>
      </c>
      <c r="Q59" s="57"/>
      <c r="R59" s="786"/>
      <c r="S59" s="996"/>
      <c r="T59" s="996"/>
      <c r="U59" s="105">
        <f>'6B (2)'!T51</f>
        <v>30000</v>
      </c>
      <c r="V59" s="97"/>
      <c r="W59" s="110">
        <v>0</v>
      </c>
      <c r="X59" s="994"/>
      <c r="Z59" s="1659"/>
      <c r="AA59" s="1537"/>
    </row>
    <row r="60" spans="2:27" x14ac:dyDescent="0.25">
      <c r="B60" s="174"/>
      <c r="C60" s="786"/>
      <c r="D60" s="90" t="s">
        <v>196</v>
      </c>
      <c r="E60" s="57"/>
      <c r="F60" s="786"/>
      <c r="G60" s="996"/>
      <c r="H60" s="996"/>
      <c r="I60" s="105">
        <f>'6B (2)'!P52</f>
        <v>81700</v>
      </c>
      <c r="J60" s="97"/>
      <c r="K60" s="110">
        <v>81700</v>
      </c>
      <c r="L60" s="994"/>
      <c r="M60" s="786"/>
      <c r="N60" s="174"/>
      <c r="O60" s="786"/>
      <c r="P60" s="90" t="s">
        <v>196</v>
      </c>
      <c r="Q60" s="57"/>
      <c r="R60" s="786"/>
      <c r="S60" s="996"/>
      <c r="T60" s="996"/>
      <c r="U60" s="105">
        <f>'6B (2)'!T52</f>
        <v>43300</v>
      </c>
      <c r="V60" s="97"/>
      <c r="W60" s="110">
        <v>43300</v>
      </c>
      <c r="X60" s="994"/>
      <c r="Z60" s="1659"/>
      <c r="AA60" s="1537"/>
    </row>
    <row r="61" spans="2:27" x14ac:dyDescent="0.25">
      <c r="B61" s="174"/>
      <c r="C61" s="786"/>
      <c r="D61" s="57" t="s">
        <v>473</v>
      </c>
      <c r="E61" s="2414" t="s">
        <v>125</v>
      </c>
      <c r="F61" s="2415"/>
      <c r="G61" s="2416"/>
      <c r="H61" s="995"/>
      <c r="I61" s="126">
        <f>'6B (2)'!P53</f>
        <v>0</v>
      </c>
      <c r="J61" s="127"/>
      <c r="K61" s="129">
        <v>7500</v>
      </c>
      <c r="L61" s="994"/>
      <c r="M61" s="786"/>
      <c r="N61" s="174"/>
      <c r="O61" s="786"/>
      <c r="P61" s="57" t="s">
        <v>473</v>
      </c>
      <c r="Q61" s="2414" t="s">
        <v>125</v>
      </c>
      <c r="R61" s="2415"/>
      <c r="S61" s="2416"/>
      <c r="T61" s="995"/>
      <c r="U61" s="126">
        <f>'6B (2)'!T53</f>
        <v>0</v>
      </c>
      <c r="V61" s="127"/>
      <c r="W61" s="129">
        <v>7500</v>
      </c>
      <c r="X61" s="994"/>
      <c r="Z61" s="1659"/>
      <c r="AA61" s="1537"/>
    </row>
    <row r="62" spans="2:27" ht="15.75" thickBot="1" x14ac:dyDescent="0.3">
      <c r="B62" s="174"/>
      <c r="C62" s="52"/>
      <c r="D62" s="51"/>
      <c r="E62" s="51"/>
      <c r="F62" s="786"/>
      <c r="G62" s="55" t="s">
        <v>167</v>
      </c>
      <c r="H62" s="98"/>
      <c r="I62" s="125">
        <f>SUM(I49:I61)</f>
        <v>4076063</v>
      </c>
      <c r="J62" s="102">
        <f>SUM(J50:J61)</f>
        <v>0</v>
      </c>
      <c r="K62" s="111">
        <f>SUM(K50:K61)</f>
        <v>4031063</v>
      </c>
      <c r="L62" s="994"/>
      <c r="M62" s="786"/>
      <c r="N62" s="174"/>
      <c r="O62" s="52"/>
      <c r="P62" s="51"/>
      <c r="Q62" s="51"/>
      <c r="R62" s="786"/>
      <c r="S62" s="55" t="s">
        <v>167</v>
      </c>
      <c r="T62" s="98"/>
      <c r="U62" s="125">
        <f>SUM(U49:U61)</f>
        <v>3145482</v>
      </c>
      <c r="V62" s="102">
        <f>SUM(V50:V61)</f>
        <v>0</v>
      </c>
      <c r="W62" s="111">
        <f>SUM(W50:W61)</f>
        <v>2488938</v>
      </c>
      <c r="X62" s="994"/>
      <c r="Z62" s="1659"/>
      <c r="AA62" s="1537"/>
    </row>
    <row r="63" spans="2:27" ht="9" customHeight="1" thickBot="1" x14ac:dyDescent="0.3">
      <c r="B63" s="997"/>
      <c r="C63" s="138"/>
      <c r="D63" s="138"/>
      <c r="E63" s="138"/>
      <c r="F63" s="139"/>
      <c r="G63" s="139"/>
      <c r="H63" s="139"/>
      <c r="I63" s="140"/>
      <c r="J63" s="141"/>
      <c r="K63" s="141"/>
      <c r="L63" s="998"/>
      <c r="M63" s="786"/>
      <c r="N63" s="997"/>
      <c r="O63" s="138"/>
      <c r="P63" s="138"/>
      <c r="Q63" s="138"/>
      <c r="R63" s="139"/>
      <c r="S63" s="139"/>
      <c r="T63" s="139"/>
      <c r="U63" s="140"/>
      <c r="V63" s="141"/>
      <c r="W63" s="141"/>
      <c r="X63" s="998"/>
      <c r="AA63"/>
    </row>
    <row r="64" spans="2:27" ht="15.75" thickBot="1" x14ac:dyDescent="0.3">
      <c r="B64" s="174"/>
      <c r="C64" s="134" t="s">
        <v>197</v>
      </c>
      <c r="D64" s="135"/>
      <c r="E64" s="135"/>
      <c r="F64" s="136"/>
      <c r="G64" s="136"/>
      <c r="H64" s="136"/>
      <c r="I64" s="137"/>
      <c r="J64" s="80"/>
      <c r="K64" s="80"/>
      <c r="L64" s="994"/>
      <c r="M64" s="786"/>
      <c r="N64" s="174"/>
      <c r="O64" s="134" t="s">
        <v>197</v>
      </c>
      <c r="P64" s="135"/>
      <c r="Q64" s="135"/>
      <c r="R64" s="136"/>
      <c r="S64" s="136"/>
      <c r="T64" s="136"/>
      <c r="U64" s="137"/>
      <c r="V64" s="80"/>
      <c r="W64" s="80"/>
      <c r="X64" s="994"/>
      <c r="AA64"/>
    </row>
    <row r="65" spans="2:27" x14ac:dyDescent="0.25">
      <c r="B65" s="174"/>
      <c r="C65" s="786"/>
      <c r="D65" s="93" t="s">
        <v>198</v>
      </c>
      <c r="E65" s="55"/>
      <c r="F65" s="51"/>
      <c r="G65" s="51"/>
      <c r="H65" s="51"/>
      <c r="I65" s="103">
        <f>'6B (2)'!P57</f>
        <v>0</v>
      </c>
      <c r="J65" s="119"/>
      <c r="K65" s="120"/>
      <c r="L65" s="994"/>
      <c r="M65" s="786"/>
      <c r="N65" s="174"/>
      <c r="O65" s="786"/>
      <c r="P65" s="93" t="s">
        <v>198</v>
      </c>
      <c r="Q65" s="55"/>
      <c r="R65" s="51"/>
      <c r="S65" s="51"/>
      <c r="T65" s="51"/>
      <c r="U65" s="103">
        <f>'6B (2)'!T57</f>
        <v>0</v>
      </c>
      <c r="V65" s="119"/>
      <c r="W65" s="120"/>
      <c r="X65" s="994"/>
      <c r="AA65"/>
    </row>
    <row r="66" spans="2:27" x14ac:dyDescent="0.25">
      <c r="B66" s="174"/>
      <c r="C66" s="786"/>
      <c r="D66" s="93" t="s">
        <v>199</v>
      </c>
      <c r="E66" s="55"/>
      <c r="F66" s="51"/>
      <c r="G66" s="51"/>
      <c r="H66" s="51"/>
      <c r="I66" s="126">
        <f>'6B (2)'!P58</f>
        <v>0</v>
      </c>
      <c r="J66" s="130"/>
      <c r="K66" s="131"/>
      <c r="L66" s="994"/>
      <c r="M66" s="786"/>
      <c r="N66" s="174"/>
      <c r="O66" s="786"/>
      <c r="P66" s="93" t="s">
        <v>199</v>
      </c>
      <c r="Q66" s="55"/>
      <c r="R66" s="51"/>
      <c r="S66" s="51"/>
      <c r="T66" s="51"/>
      <c r="U66" s="126">
        <f>'6B (2)'!T58</f>
        <v>0</v>
      </c>
      <c r="V66" s="130"/>
      <c r="W66" s="131"/>
      <c r="X66" s="994"/>
      <c r="AA66"/>
    </row>
    <row r="67" spans="2:27" ht="15.75" thickBot="1" x14ac:dyDescent="0.3">
      <c r="B67" s="174"/>
      <c r="C67" s="786"/>
      <c r="D67" s="55"/>
      <c r="E67" s="786"/>
      <c r="F67" s="51"/>
      <c r="G67" s="55" t="s">
        <v>167</v>
      </c>
      <c r="H67" s="51"/>
      <c r="I67" s="125">
        <f>SUM(I65:I66)</f>
        <v>0</v>
      </c>
      <c r="J67" s="102">
        <v>0</v>
      </c>
      <c r="K67" s="111">
        <v>0</v>
      </c>
      <c r="L67" s="994"/>
      <c r="M67" s="786"/>
      <c r="N67" s="174"/>
      <c r="O67" s="786"/>
      <c r="P67" s="55"/>
      <c r="Q67" s="786"/>
      <c r="R67" s="51"/>
      <c r="S67" s="55" t="s">
        <v>167</v>
      </c>
      <c r="T67" s="51"/>
      <c r="U67" s="125">
        <f>SUM(U65:U66)</f>
        <v>0</v>
      </c>
      <c r="V67" s="102">
        <v>0</v>
      </c>
      <c r="W67" s="111">
        <v>0</v>
      </c>
      <c r="X67" s="994"/>
      <c r="AA67"/>
    </row>
    <row r="68" spans="2:27" ht="3.75" customHeight="1" x14ac:dyDescent="0.25">
      <c r="B68" s="174"/>
      <c r="C68" s="786"/>
      <c r="D68" s="55"/>
      <c r="E68" s="786"/>
      <c r="F68" s="51"/>
      <c r="G68" s="51"/>
      <c r="H68" s="51"/>
      <c r="I68" s="80"/>
      <c r="J68" s="80"/>
      <c r="K68" s="80"/>
      <c r="L68" s="994"/>
      <c r="M68" s="786"/>
      <c r="N68" s="174"/>
      <c r="O68" s="786"/>
      <c r="P68" s="55"/>
      <c r="Q68" s="786"/>
      <c r="R68" s="51"/>
      <c r="S68" s="51"/>
      <c r="T68" s="51"/>
      <c r="U68" s="80"/>
      <c r="V68" s="80"/>
      <c r="W68" s="80"/>
      <c r="X68" s="994"/>
      <c r="AA68"/>
    </row>
    <row r="69" spans="2:27" ht="15.75" thickBot="1" x14ac:dyDescent="0.3">
      <c r="B69" s="174"/>
      <c r="C69" s="85" t="s">
        <v>200</v>
      </c>
      <c r="D69" s="86"/>
      <c r="E69" s="86"/>
      <c r="F69" s="87"/>
      <c r="G69" s="87"/>
      <c r="H69" s="87"/>
      <c r="I69" s="80"/>
      <c r="J69" s="80"/>
      <c r="K69" s="80"/>
      <c r="L69" s="994"/>
      <c r="M69" s="786"/>
      <c r="N69" s="174"/>
      <c r="O69" s="85" t="s">
        <v>200</v>
      </c>
      <c r="P69" s="86"/>
      <c r="Q69" s="86"/>
      <c r="R69" s="87"/>
      <c r="S69" s="87"/>
      <c r="T69" s="87"/>
      <c r="U69" s="80"/>
      <c r="V69" s="80"/>
      <c r="W69" s="80"/>
      <c r="X69" s="994"/>
      <c r="AA69"/>
    </row>
    <row r="70" spans="2:27" x14ac:dyDescent="0.25">
      <c r="B70" s="174"/>
      <c r="C70" s="786"/>
      <c r="D70" s="99" t="s">
        <v>201</v>
      </c>
      <c r="E70" s="55"/>
      <c r="F70" s="51"/>
      <c r="G70" s="51"/>
      <c r="H70" s="51"/>
      <c r="I70" s="103">
        <f>'6B (2)'!P62</f>
        <v>195000</v>
      </c>
      <c r="J70" s="104"/>
      <c r="K70" s="112">
        <v>23277</v>
      </c>
      <c r="L70" s="994"/>
      <c r="M70" s="786"/>
      <c r="N70" s="174"/>
      <c r="O70" s="786"/>
      <c r="P70" s="99" t="s">
        <v>201</v>
      </c>
      <c r="Q70" s="55"/>
      <c r="R70" s="51"/>
      <c r="S70" s="51"/>
      <c r="T70" s="51"/>
      <c r="U70" s="103">
        <f>'6B (2)'!T62</f>
        <v>83827</v>
      </c>
      <c r="V70" s="104"/>
      <c r="W70" s="112">
        <v>85706</v>
      </c>
      <c r="X70" s="994"/>
      <c r="Z70" s="1659"/>
      <c r="AA70" s="1537"/>
    </row>
    <row r="71" spans="2:27" x14ac:dyDescent="0.25">
      <c r="B71" s="174"/>
      <c r="C71" s="786"/>
      <c r="D71" s="99" t="s">
        <v>202</v>
      </c>
      <c r="E71" s="55"/>
      <c r="F71" s="51"/>
      <c r="G71" s="51"/>
      <c r="H71" s="51"/>
      <c r="I71" s="105">
        <f>'6B (2)'!P63</f>
        <v>30000</v>
      </c>
      <c r="J71" s="97"/>
      <c r="K71" s="109">
        <v>56667</v>
      </c>
      <c r="L71" s="994"/>
      <c r="M71" s="786"/>
      <c r="N71" s="174"/>
      <c r="O71" s="786"/>
      <c r="P71" s="99" t="s">
        <v>202</v>
      </c>
      <c r="Q71" s="55"/>
      <c r="R71" s="51"/>
      <c r="S71" s="51"/>
      <c r="T71" s="51"/>
      <c r="U71" s="105">
        <f>'6B (2)'!T63</f>
        <v>30000</v>
      </c>
      <c r="V71" s="97"/>
      <c r="W71" s="109">
        <v>30000</v>
      </c>
      <c r="X71" s="994"/>
      <c r="Z71" s="1659"/>
      <c r="AA71" s="1537"/>
    </row>
    <row r="72" spans="2:27" x14ac:dyDescent="0.25">
      <c r="B72" s="174"/>
      <c r="C72" s="786"/>
      <c r="D72" s="99" t="s">
        <v>203</v>
      </c>
      <c r="E72" s="55"/>
      <c r="F72" s="51"/>
      <c r="G72" s="51"/>
      <c r="H72" s="51"/>
      <c r="I72" s="105">
        <f>'6B (2)'!P64</f>
        <v>41144</v>
      </c>
      <c r="J72" s="97"/>
      <c r="K72" s="109">
        <v>0</v>
      </c>
      <c r="L72" s="994"/>
      <c r="M72" s="786"/>
      <c r="N72" s="174"/>
      <c r="O72" s="786"/>
      <c r="P72" s="99" t="s">
        <v>203</v>
      </c>
      <c r="Q72" s="55"/>
      <c r="R72" s="51"/>
      <c r="S72" s="51"/>
      <c r="T72" s="51"/>
      <c r="U72" s="105">
        <f>'6B (2)'!T64</f>
        <v>58856</v>
      </c>
      <c r="V72" s="97"/>
      <c r="W72" s="109">
        <f>30000+13856</f>
        <v>43856</v>
      </c>
      <c r="X72" s="994"/>
      <c r="Z72" s="1659"/>
      <c r="AA72" s="1537"/>
    </row>
    <row r="73" spans="2:27" x14ac:dyDescent="0.25">
      <c r="B73" s="174"/>
      <c r="C73" s="786"/>
      <c r="D73" s="99" t="s">
        <v>204</v>
      </c>
      <c r="E73" s="55"/>
      <c r="F73" s="51"/>
      <c r="G73" s="51"/>
      <c r="H73" s="51"/>
      <c r="I73" s="105">
        <f>'6B (2)'!P65</f>
        <v>277748</v>
      </c>
      <c r="J73" s="97"/>
      <c r="K73" s="109">
        <v>222284</v>
      </c>
      <c r="L73" s="994"/>
      <c r="M73" s="786"/>
      <c r="N73" s="174"/>
      <c r="O73" s="786"/>
      <c r="P73" s="99" t="s">
        <v>204</v>
      </c>
      <c r="Q73" s="55"/>
      <c r="R73" s="51"/>
      <c r="S73" s="51"/>
      <c r="T73" s="51"/>
      <c r="U73" s="105">
        <f>'6B (2)'!T65</f>
        <v>98499</v>
      </c>
      <c r="V73" s="97"/>
      <c r="W73" s="109">
        <v>99595</v>
      </c>
      <c r="X73" s="994"/>
      <c r="Z73" s="1659"/>
      <c r="AA73" s="1537"/>
    </row>
    <row r="74" spans="2:27" x14ac:dyDescent="0.25">
      <c r="B74" s="174"/>
      <c r="C74" s="786"/>
      <c r="D74" s="99" t="s">
        <v>205</v>
      </c>
      <c r="E74" s="55"/>
      <c r="F74" s="51"/>
      <c r="G74" s="51"/>
      <c r="H74" s="51"/>
      <c r="I74" s="126">
        <f>'6B (2)'!P66</f>
        <v>370869</v>
      </c>
      <c r="J74" s="132"/>
      <c r="K74" s="133"/>
      <c r="L74" s="994"/>
      <c r="M74" s="786"/>
      <c r="N74" s="174"/>
      <c r="O74" s="786"/>
      <c r="P74" s="99" t="s">
        <v>205</v>
      </c>
      <c r="Q74" s="55"/>
      <c r="R74" s="51"/>
      <c r="S74" s="51"/>
      <c r="T74" s="51"/>
      <c r="U74" s="126">
        <f>'6B (2)'!T66</f>
        <v>167654</v>
      </c>
      <c r="V74" s="132"/>
      <c r="W74" s="133"/>
      <c r="X74" s="994"/>
      <c r="AA74"/>
    </row>
    <row r="75" spans="2:27" ht="15.75" thickBot="1" x14ac:dyDescent="0.3">
      <c r="B75" s="174"/>
      <c r="C75" s="52"/>
      <c r="D75" s="51"/>
      <c r="E75" s="51"/>
      <c r="F75" s="786"/>
      <c r="G75" s="55" t="s">
        <v>167</v>
      </c>
      <c r="H75" s="98"/>
      <c r="I75" s="125">
        <f>SUM(I70:I74)</f>
        <v>914761</v>
      </c>
      <c r="J75" s="102">
        <f>SUM(J70:J73)</f>
        <v>0</v>
      </c>
      <c r="K75" s="111">
        <f>SUM(K70:K73)</f>
        <v>302228</v>
      </c>
      <c r="L75" s="994"/>
      <c r="M75" s="786"/>
      <c r="N75" s="174"/>
      <c r="O75" s="52"/>
      <c r="P75" s="51"/>
      <c r="Q75" s="51"/>
      <c r="R75" s="786"/>
      <c r="S75" s="55" t="s">
        <v>167</v>
      </c>
      <c r="T75" s="98"/>
      <c r="U75" s="125">
        <f>SUM(U70:U74)</f>
        <v>438836</v>
      </c>
      <c r="V75" s="102">
        <f>SUM(V70:V73)</f>
        <v>0</v>
      </c>
      <c r="W75" s="111">
        <f>SUM(W70:W73)</f>
        <v>259157</v>
      </c>
      <c r="X75" s="994"/>
      <c r="Z75" s="1659"/>
      <c r="AA75" s="1537"/>
    </row>
    <row r="76" spans="2:27" ht="3.75" customHeight="1" x14ac:dyDescent="0.25">
      <c r="B76" s="174"/>
      <c r="C76" s="54"/>
      <c r="D76" s="55"/>
      <c r="E76" s="55"/>
      <c r="F76" s="51"/>
      <c r="G76" s="51"/>
      <c r="H76" s="51"/>
      <c r="I76" s="80"/>
      <c r="J76" s="80"/>
      <c r="K76" s="80"/>
      <c r="L76" s="994"/>
      <c r="M76" s="786"/>
      <c r="N76" s="174"/>
      <c r="O76" s="54"/>
      <c r="P76" s="55"/>
      <c r="Q76" s="55"/>
      <c r="R76" s="51"/>
      <c r="S76" s="51"/>
      <c r="T76" s="51"/>
      <c r="U76" s="80"/>
      <c r="V76" s="80"/>
      <c r="W76" s="80"/>
      <c r="X76" s="994"/>
      <c r="AA76" s="1537"/>
    </row>
    <row r="77" spans="2:27" ht="15.75" thickBot="1" x14ac:dyDescent="0.3">
      <c r="B77" s="174"/>
      <c r="C77" s="85" t="s">
        <v>206</v>
      </c>
      <c r="D77" s="86"/>
      <c r="E77" s="86"/>
      <c r="F77" s="87"/>
      <c r="G77" s="87"/>
      <c r="H77" s="87"/>
      <c r="I77" s="80"/>
      <c r="J77" s="80"/>
      <c r="K77" s="80"/>
      <c r="L77" s="994"/>
      <c r="M77" s="786"/>
      <c r="N77" s="174"/>
      <c r="O77" s="85" t="s">
        <v>206</v>
      </c>
      <c r="P77" s="86"/>
      <c r="Q77" s="86"/>
      <c r="R77" s="87"/>
      <c r="S77" s="87"/>
      <c r="T77" s="87"/>
      <c r="U77" s="80"/>
      <c r="V77" s="80"/>
      <c r="W77" s="80"/>
      <c r="X77" s="994"/>
      <c r="AA77"/>
    </row>
    <row r="78" spans="2:27" x14ac:dyDescent="0.25">
      <c r="B78" s="174"/>
      <c r="C78" s="786"/>
      <c r="D78" s="99" t="s">
        <v>207</v>
      </c>
      <c r="E78" s="55"/>
      <c r="F78" s="51"/>
      <c r="G78" s="51"/>
      <c r="H78" s="51"/>
      <c r="I78" s="103">
        <f>'6B (2)'!P70</f>
        <v>60320</v>
      </c>
      <c r="J78" s="119"/>
      <c r="K78" s="120"/>
      <c r="L78" s="994"/>
      <c r="M78" s="786"/>
      <c r="N78" s="174"/>
      <c r="O78" s="786"/>
      <c r="P78" s="99" t="s">
        <v>207</v>
      </c>
      <c r="Q78" s="55"/>
      <c r="R78" s="51"/>
      <c r="S78" s="51"/>
      <c r="T78" s="51"/>
      <c r="U78" s="103">
        <f>'6B (2)'!T70</f>
        <v>0</v>
      </c>
      <c r="V78" s="119"/>
      <c r="W78" s="120"/>
      <c r="X78" s="994"/>
      <c r="AA78"/>
    </row>
    <row r="79" spans="2:27" x14ac:dyDescent="0.25">
      <c r="B79" s="174"/>
      <c r="C79" s="786"/>
      <c r="D79" s="99" t="s">
        <v>208</v>
      </c>
      <c r="E79" s="55"/>
      <c r="F79" s="51"/>
      <c r="G79" s="51"/>
      <c r="H79" s="51"/>
      <c r="I79" s="105">
        <f>'6B (2)'!P71</f>
        <v>0</v>
      </c>
      <c r="J79" s="121"/>
      <c r="K79" s="122"/>
      <c r="L79" s="994"/>
      <c r="M79" s="786"/>
      <c r="N79" s="174"/>
      <c r="O79" s="786"/>
      <c r="P79" s="99" t="s">
        <v>208</v>
      </c>
      <c r="Q79" s="55"/>
      <c r="R79" s="51"/>
      <c r="S79" s="51"/>
      <c r="T79" s="51"/>
      <c r="U79" s="105">
        <f>'6B (2)'!T71</f>
        <v>0</v>
      </c>
      <c r="V79" s="121"/>
      <c r="W79" s="122"/>
      <c r="X79" s="994"/>
      <c r="AA79"/>
    </row>
    <row r="80" spans="2:27" x14ac:dyDescent="0.25">
      <c r="B80" s="174"/>
      <c r="C80" s="786"/>
      <c r="D80" s="99" t="s">
        <v>209</v>
      </c>
      <c r="E80" s="55"/>
      <c r="F80" s="51"/>
      <c r="G80" s="51"/>
      <c r="H80" s="51"/>
      <c r="I80" s="105">
        <f>'6B (2)'!P72</f>
        <v>0</v>
      </c>
      <c r="J80" s="121"/>
      <c r="K80" s="122"/>
      <c r="L80" s="994"/>
      <c r="M80" s="786"/>
      <c r="N80" s="174"/>
      <c r="O80" s="786"/>
      <c r="P80" s="99" t="s">
        <v>209</v>
      </c>
      <c r="Q80" s="55"/>
      <c r="R80" s="51"/>
      <c r="S80" s="51"/>
      <c r="T80" s="51"/>
      <c r="U80" s="105">
        <f>'6B (2)'!T72</f>
        <v>0</v>
      </c>
      <c r="V80" s="121"/>
      <c r="W80" s="122"/>
      <c r="X80" s="994"/>
      <c r="AA80"/>
    </row>
    <row r="81" spans="2:27" x14ac:dyDescent="0.25">
      <c r="B81" s="174"/>
      <c r="C81" s="786"/>
      <c r="D81" s="89" t="s">
        <v>210</v>
      </c>
      <c r="E81" s="51"/>
      <c r="F81" s="51"/>
      <c r="G81" s="51"/>
      <c r="H81" s="51"/>
      <c r="I81" s="105">
        <f>'6B (2)'!P73</f>
        <v>60342</v>
      </c>
      <c r="J81" s="121"/>
      <c r="K81" s="122"/>
      <c r="L81" s="994"/>
      <c r="M81" s="786"/>
      <c r="N81" s="174"/>
      <c r="O81" s="786"/>
      <c r="P81" s="89" t="s">
        <v>210</v>
      </c>
      <c r="Q81" s="51"/>
      <c r="R81" s="51"/>
      <c r="S81" s="51"/>
      <c r="T81" s="51"/>
      <c r="U81" s="105">
        <f>'6B (2)'!T73</f>
        <v>81003</v>
      </c>
      <c r="V81" s="121"/>
      <c r="W81" s="122"/>
      <c r="X81" s="994"/>
      <c r="AA81"/>
    </row>
    <row r="82" spans="2:27" x14ac:dyDescent="0.25">
      <c r="B82" s="174"/>
      <c r="C82" s="786"/>
      <c r="D82" s="94" t="s">
        <v>211</v>
      </c>
      <c r="E82" s="51"/>
      <c r="F82" s="51"/>
      <c r="G82" s="51"/>
      <c r="H82" s="51"/>
      <c r="I82" s="105">
        <f>'6B (2)'!P74</f>
        <v>45000</v>
      </c>
      <c r="J82" s="121"/>
      <c r="K82" s="122"/>
      <c r="L82" s="994"/>
      <c r="M82" s="786"/>
      <c r="N82" s="174"/>
      <c r="O82" s="786"/>
      <c r="P82" s="94" t="s">
        <v>211</v>
      </c>
      <c r="Q82" s="51"/>
      <c r="R82" s="51"/>
      <c r="S82" s="51"/>
      <c r="T82" s="51"/>
      <c r="U82" s="105">
        <f>'6B (2)'!T74</f>
        <v>42500</v>
      </c>
      <c r="V82" s="121"/>
      <c r="W82" s="122"/>
      <c r="X82" s="994"/>
      <c r="AA82"/>
    </row>
    <row r="83" spans="2:27" x14ac:dyDescent="0.25">
      <c r="B83" s="174"/>
      <c r="C83" s="786"/>
      <c r="D83" s="94" t="s">
        <v>212</v>
      </c>
      <c r="E83" s="51"/>
      <c r="F83" s="51"/>
      <c r="G83" s="51"/>
      <c r="H83" s="51"/>
      <c r="I83" s="105">
        <f>'6B (2)'!P75</f>
        <v>0</v>
      </c>
      <c r="J83" s="121"/>
      <c r="K83" s="122"/>
      <c r="L83" s="994"/>
      <c r="M83" s="786"/>
      <c r="N83" s="174"/>
      <c r="O83" s="786"/>
      <c r="P83" s="94" t="s">
        <v>212</v>
      </c>
      <c r="Q83" s="51"/>
      <c r="R83" s="51"/>
      <c r="S83" s="51"/>
      <c r="T83" s="51"/>
      <c r="U83" s="105">
        <f>'6B (2)'!T75</f>
        <v>0</v>
      </c>
      <c r="V83" s="121"/>
      <c r="W83" s="122"/>
      <c r="X83" s="994"/>
      <c r="AA83"/>
    </row>
    <row r="84" spans="2:27" x14ac:dyDescent="0.25">
      <c r="B84" s="174"/>
      <c r="C84" s="786"/>
      <c r="D84" s="90" t="s">
        <v>213</v>
      </c>
      <c r="E84" s="55"/>
      <c r="F84" s="51"/>
      <c r="G84" s="51"/>
      <c r="H84" s="51"/>
      <c r="I84" s="105">
        <f>'6B (2)'!P76</f>
        <v>115000</v>
      </c>
      <c r="J84" s="121"/>
      <c r="K84" s="122"/>
      <c r="L84" s="994"/>
      <c r="M84" s="786"/>
      <c r="N84" s="174"/>
      <c r="O84" s="786"/>
      <c r="P84" s="90" t="s">
        <v>213</v>
      </c>
      <c r="Q84" s="55"/>
      <c r="R84" s="51"/>
      <c r="S84" s="51"/>
      <c r="T84" s="51"/>
      <c r="U84" s="105">
        <f>'6B (2)'!T76</f>
        <v>79000</v>
      </c>
      <c r="V84" s="121"/>
      <c r="W84" s="122"/>
      <c r="X84" s="994"/>
      <c r="AA84"/>
    </row>
    <row r="85" spans="2:27" x14ac:dyDescent="0.25">
      <c r="B85" s="174"/>
      <c r="C85" s="786"/>
      <c r="D85" s="57" t="s">
        <v>473</v>
      </c>
      <c r="E85" s="2414">
        <f>(IF(AND(I85&lt;&gt;0,'6A'!$E$84=""),"Enter Item on Form 6A",'6A'!$E$84))</f>
        <v>0</v>
      </c>
      <c r="F85" s="2415"/>
      <c r="G85" s="2416"/>
      <c r="H85" s="995"/>
      <c r="I85" s="126">
        <f>'6B (2)'!P77</f>
        <v>0</v>
      </c>
      <c r="J85" s="130"/>
      <c r="K85" s="131"/>
      <c r="L85" s="994"/>
      <c r="M85" s="786"/>
      <c r="N85" s="174"/>
      <c r="O85" s="786"/>
      <c r="P85" s="57" t="s">
        <v>473</v>
      </c>
      <c r="Q85" s="2414">
        <f>(IF(AND(U85&lt;&gt;0,'6A'!$E$84=""),"Enter Item on Form 6A",'6A'!$E$84))</f>
        <v>0</v>
      </c>
      <c r="R85" s="2415"/>
      <c r="S85" s="2416"/>
      <c r="T85" s="995"/>
      <c r="U85" s="126">
        <f>'6B (2)'!T77</f>
        <v>0</v>
      </c>
      <c r="V85" s="130"/>
      <c r="W85" s="131"/>
      <c r="X85" s="994"/>
      <c r="AA85"/>
    </row>
    <row r="86" spans="2:27" ht="15.75" thickBot="1" x14ac:dyDescent="0.3">
      <c r="B86" s="174"/>
      <c r="C86" s="52"/>
      <c r="D86" s="51"/>
      <c r="E86" s="51"/>
      <c r="F86" s="786"/>
      <c r="G86" s="55" t="s">
        <v>167</v>
      </c>
      <c r="H86" s="98"/>
      <c r="I86" s="125">
        <f>SUM(I78:I85)</f>
        <v>280662</v>
      </c>
      <c r="J86" s="102">
        <v>0</v>
      </c>
      <c r="K86" s="111">
        <v>0</v>
      </c>
      <c r="L86" s="994"/>
      <c r="M86" s="786"/>
      <c r="N86" s="174"/>
      <c r="O86" s="52"/>
      <c r="P86" s="51"/>
      <c r="Q86" s="51"/>
      <c r="R86" s="786"/>
      <c r="S86" s="55" t="s">
        <v>167</v>
      </c>
      <c r="T86" s="98"/>
      <c r="U86" s="125">
        <f>SUM(U78:U85)</f>
        <v>202503</v>
      </c>
      <c r="V86" s="102">
        <v>0</v>
      </c>
      <c r="W86" s="111">
        <v>0</v>
      </c>
      <c r="X86" s="994"/>
      <c r="AA86"/>
    </row>
    <row r="87" spans="2:27" ht="3.75" customHeight="1" x14ac:dyDescent="0.25">
      <c r="B87" s="174"/>
      <c r="C87" s="54"/>
      <c r="D87" s="55"/>
      <c r="E87" s="55"/>
      <c r="F87" s="51"/>
      <c r="G87" s="51"/>
      <c r="H87" s="51"/>
      <c r="I87" s="80"/>
      <c r="J87" s="80"/>
      <c r="K87" s="80"/>
      <c r="L87" s="994"/>
      <c r="M87" s="786"/>
      <c r="N87" s="174"/>
      <c r="O87" s="54"/>
      <c r="P87" s="55"/>
      <c r="Q87" s="55"/>
      <c r="R87" s="51"/>
      <c r="S87" s="51"/>
      <c r="T87" s="51"/>
      <c r="U87" s="80"/>
      <c r="V87" s="80"/>
      <c r="W87" s="80"/>
      <c r="X87" s="994"/>
      <c r="AA87"/>
    </row>
    <row r="88" spans="2:27" ht="15.75" thickBot="1" x14ac:dyDescent="0.3">
      <c r="B88" s="174"/>
      <c r="C88" s="85" t="s">
        <v>214</v>
      </c>
      <c r="D88" s="86"/>
      <c r="E88" s="86"/>
      <c r="F88" s="87"/>
      <c r="G88" s="87"/>
      <c r="H88" s="87"/>
      <c r="I88" s="83"/>
      <c r="J88" s="83"/>
      <c r="K88" s="91"/>
      <c r="L88" s="994"/>
      <c r="M88" s="786"/>
      <c r="N88" s="174"/>
      <c r="O88" s="85" t="s">
        <v>214</v>
      </c>
      <c r="P88" s="86"/>
      <c r="Q88" s="86"/>
      <c r="R88" s="87"/>
      <c r="S88" s="87"/>
      <c r="T88" s="87"/>
      <c r="U88" s="83"/>
      <c r="V88" s="83"/>
      <c r="W88" s="91"/>
      <c r="X88" s="994"/>
      <c r="AA88"/>
    </row>
    <row r="89" spans="2:27" x14ac:dyDescent="0.25">
      <c r="B89" s="174"/>
      <c r="C89" s="786"/>
      <c r="D89" s="95" t="s">
        <v>215</v>
      </c>
      <c r="E89" s="51"/>
      <c r="F89" s="58"/>
      <c r="G89" s="58"/>
      <c r="H89" s="58"/>
      <c r="I89" s="103">
        <f>'6B (2)'!P81</f>
        <v>495526</v>
      </c>
      <c r="J89" s="119"/>
      <c r="K89" s="120"/>
      <c r="L89" s="994"/>
      <c r="M89" s="786"/>
      <c r="N89" s="174"/>
      <c r="O89" s="786"/>
      <c r="P89" s="95" t="s">
        <v>215</v>
      </c>
      <c r="Q89" s="51"/>
      <c r="R89" s="58"/>
      <c r="S89" s="58"/>
      <c r="T89" s="58"/>
      <c r="U89" s="103">
        <f>'6B (2)'!T81</f>
        <v>128496</v>
      </c>
      <c r="V89" s="119"/>
      <c r="W89" s="120"/>
      <c r="X89" s="994"/>
      <c r="AA89"/>
    </row>
    <row r="90" spans="2:27" x14ac:dyDescent="0.25">
      <c r="B90" s="174"/>
      <c r="C90" s="786"/>
      <c r="D90" s="95" t="s">
        <v>216</v>
      </c>
      <c r="E90" s="51"/>
      <c r="F90" s="59"/>
      <c r="G90" s="59"/>
      <c r="H90" s="59"/>
      <c r="I90" s="105">
        <f>'6B (2)'!P82</f>
        <v>30800</v>
      </c>
      <c r="J90" s="121"/>
      <c r="K90" s="122"/>
      <c r="L90" s="994"/>
      <c r="M90" s="786"/>
      <c r="N90" s="174"/>
      <c r="O90" s="786"/>
      <c r="P90" s="95" t="s">
        <v>216</v>
      </c>
      <c r="Q90" s="51"/>
      <c r="R90" s="59"/>
      <c r="S90" s="59"/>
      <c r="T90" s="59"/>
      <c r="U90" s="105">
        <f>'6B (2)'!T82</f>
        <v>14000.4</v>
      </c>
      <c r="V90" s="121"/>
      <c r="W90" s="122"/>
      <c r="X90" s="994"/>
      <c r="AA90"/>
    </row>
    <row r="91" spans="2:27" x14ac:dyDescent="0.25">
      <c r="B91" s="174"/>
      <c r="C91" s="786"/>
      <c r="D91" s="57" t="s">
        <v>473</v>
      </c>
      <c r="E91" s="2414">
        <f>(IF(AND(I91&lt;&gt;0,'6A'!$E$90=""),"Enter Item on Form 6A",'6A'!$E$90))</f>
        <v>0</v>
      </c>
      <c r="F91" s="2415"/>
      <c r="G91" s="2416"/>
      <c r="H91" s="995"/>
      <c r="I91" s="126">
        <f>'6B (2)'!P83</f>
        <v>0</v>
      </c>
      <c r="J91" s="130"/>
      <c r="K91" s="131"/>
      <c r="L91" s="994"/>
      <c r="M91" s="786"/>
      <c r="N91" s="174"/>
      <c r="O91" s="786"/>
      <c r="P91" s="57" t="s">
        <v>473</v>
      </c>
      <c r="Q91" s="2414">
        <f>(IF(AND(U91&lt;&gt;0,'6A'!$E$90=""),"Enter Item on Form 6A",'6A'!$E$90))</f>
        <v>0</v>
      </c>
      <c r="R91" s="2415"/>
      <c r="S91" s="2416"/>
      <c r="T91" s="995"/>
      <c r="U91" s="126">
        <f>'6B (2)'!T83</f>
        <v>0</v>
      </c>
      <c r="V91" s="130"/>
      <c r="W91" s="131"/>
      <c r="X91" s="994"/>
      <c r="AA91"/>
    </row>
    <row r="92" spans="2:27" ht="15.75" thickBot="1" x14ac:dyDescent="0.3">
      <c r="B92" s="174"/>
      <c r="C92" s="52"/>
      <c r="D92" s="51"/>
      <c r="E92" s="51"/>
      <c r="F92" s="786"/>
      <c r="G92" s="55" t="s">
        <v>167</v>
      </c>
      <c r="H92" s="98"/>
      <c r="I92" s="125">
        <f>SUM(I89:I91)</f>
        <v>526326</v>
      </c>
      <c r="J92" s="102">
        <v>0</v>
      </c>
      <c r="K92" s="111">
        <v>0</v>
      </c>
      <c r="L92" s="994"/>
      <c r="M92" s="786"/>
      <c r="N92" s="174"/>
      <c r="O92" s="52"/>
      <c r="P92" s="51"/>
      <c r="Q92" s="51"/>
      <c r="R92" s="786"/>
      <c r="S92" s="55" t="s">
        <v>167</v>
      </c>
      <c r="T92" s="98"/>
      <c r="U92" s="125">
        <f>SUM(U89:U91)</f>
        <v>142496.4</v>
      </c>
      <c r="V92" s="102">
        <v>0</v>
      </c>
      <c r="W92" s="111">
        <v>0</v>
      </c>
      <c r="X92" s="994"/>
      <c r="AA92"/>
    </row>
    <row r="93" spans="2:27" ht="3.75" customHeight="1" x14ac:dyDescent="0.25">
      <c r="B93" s="174"/>
      <c r="C93" s="54"/>
      <c r="D93" s="55"/>
      <c r="E93" s="55"/>
      <c r="F93" s="51"/>
      <c r="G93" s="51"/>
      <c r="H93" s="51"/>
      <c r="I93" s="80"/>
      <c r="J93" s="80"/>
      <c r="K93" s="80"/>
      <c r="L93" s="994"/>
      <c r="M93" s="786"/>
      <c r="N93" s="174"/>
      <c r="O93" s="54"/>
      <c r="P93" s="55"/>
      <c r="Q93" s="55"/>
      <c r="R93" s="51"/>
      <c r="S93" s="51"/>
      <c r="T93" s="51"/>
      <c r="U93" s="80"/>
      <c r="V93" s="80"/>
      <c r="W93" s="80"/>
      <c r="X93" s="994"/>
      <c r="AA93"/>
    </row>
    <row r="94" spans="2:27" ht="15.75" thickBot="1" x14ac:dyDescent="0.3">
      <c r="B94" s="174"/>
      <c r="C94" s="85" t="s">
        <v>217</v>
      </c>
      <c r="D94" s="86"/>
      <c r="E94" s="86"/>
      <c r="F94" s="87"/>
      <c r="G94" s="87"/>
      <c r="H94" s="87"/>
      <c r="I94" s="92"/>
      <c r="J94" s="83"/>
      <c r="K94" s="91"/>
      <c r="L94" s="994"/>
      <c r="M94" s="786"/>
      <c r="N94" s="174"/>
      <c r="O94" s="85" t="s">
        <v>217</v>
      </c>
      <c r="P94" s="86"/>
      <c r="Q94" s="86"/>
      <c r="R94" s="87"/>
      <c r="S94" s="87"/>
      <c r="T94" s="87"/>
      <c r="U94" s="92"/>
      <c r="V94" s="83"/>
      <c r="W94" s="91"/>
      <c r="X94" s="994"/>
      <c r="AA94"/>
    </row>
    <row r="95" spans="2:27" x14ac:dyDescent="0.25">
      <c r="B95" s="174"/>
      <c r="C95" s="786"/>
      <c r="D95" s="90" t="s">
        <v>218</v>
      </c>
      <c r="E95" s="51"/>
      <c r="F95" s="58"/>
      <c r="G95" s="58"/>
      <c r="H95" s="58"/>
      <c r="I95" s="103">
        <f>'6B (2)'!P87</f>
        <v>3000</v>
      </c>
      <c r="J95" s="104"/>
      <c r="K95" s="112">
        <v>3000</v>
      </c>
      <c r="L95" s="994"/>
      <c r="M95" s="786"/>
      <c r="N95" s="174"/>
      <c r="O95" s="786"/>
      <c r="P95" s="90" t="s">
        <v>218</v>
      </c>
      <c r="Q95" s="51"/>
      <c r="R95" s="58"/>
      <c r="S95" s="58"/>
      <c r="T95" s="58"/>
      <c r="U95" s="103">
        <f>'6B (2)'!T87</f>
        <v>3000</v>
      </c>
      <c r="V95" s="104"/>
      <c r="W95" s="112">
        <v>3000</v>
      </c>
      <c r="X95" s="994"/>
      <c r="Z95" s="1659"/>
      <c r="AA95" s="1537"/>
    </row>
    <row r="96" spans="2:27" x14ac:dyDescent="0.25">
      <c r="B96" s="174"/>
      <c r="C96" s="786"/>
      <c r="D96" s="90" t="s">
        <v>219</v>
      </c>
      <c r="E96" s="51"/>
      <c r="F96" s="59"/>
      <c r="G96" s="59"/>
      <c r="H96" s="59"/>
      <c r="I96" s="105">
        <f>'6B (2)'!P88</f>
        <v>78342</v>
      </c>
      <c r="J96" s="97"/>
      <c r="K96" s="109">
        <v>78342</v>
      </c>
      <c r="L96" s="994"/>
      <c r="M96" s="786"/>
      <c r="N96" s="174"/>
      <c r="O96" s="786"/>
      <c r="P96" s="90" t="s">
        <v>219</v>
      </c>
      <c r="Q96" s="51"/>
      <c r="R96" s="59"/>
      <c r="S96" s="59"/>
      <c r="T96" s="59"/>
      <c r="U96" s="105">
        <f>'6B (2)'!T88</f>
        <v>43258</v>
      </c>
      <c r="V96" s="97"/>
      <c r="W96" s="109">
        <v>43258</v>
      </c>
      <c r="X96" s="994"/>
      <c r="Z96" s="1659"/>
      <c r="AA96" s="1537"/>
    </row>
    <row r="97" spans="2:27" x14ac:dyDescent="0.25">
      <c r="B97" s="174"/>
      <c r="C97" s="786"/>
      <c r="D97" s="90" t="s">
        <v>123</v>
      </c>
      <c r="E97" s="51"/>
      <c r="F97" s="51"/>
      <c r="G97" s="51"/>
      <c r="H97" s="51"/>
      <c r="I97" s="105">
        <f>'6B (2)'!P89</f>
        <v>0</v>
      </c>
      <c r="J97" s="97"/>
      <c r="K97" s="109"/>
      <c r="L97" s="994"/>
      <c r="M97" s="786"/>
      <c r="N97" s="174"/>
      <c r="O97" s="786"/>
      <c r="P97" s="90" t="s">
        <v>123</v>
      </c>
      <c r="Q97" s="51"/>
      <c r="R97" s="51"/>
      <c r="S97" s="51"/>
      <c r="T97" s="51"/>
      <c r="U97" s="105">
        <f>'6B (2)'!T89</f>
        <v>0</v>
      </c>
      <c r="V97" s="97"/>
      <c r="W97" s="109"/>
      <c r="X97" s="994"/>
      <c r="AA97"/>
    </row>
    <row r="98" spans="2:27" x14ac:dyDescent="0.25">
      <c r="B98" s="174"/>
      <c r="C98" s="786"/>
      <c r="D98" s="90" t="s">
        <v>220</v>
      </c>
      <c r="E98" s="51"/>
      <c r="F98" s="51"/>
      <c r="G98" s="51"/>
      <c r="H98" s="51"/>
      <c r="I98" s="105">
        <f>'6B (2)'!P90</f>
        <v>0</v>
      </c>
      <c r="J98" s="97"/>
      <c r="K98" s="109"/>
      <c r="L98" s="994"/>
      <c r="M98" s="786"/>
      <c r="N98" s="174"/>
      <c r="O98" s="786"/>
      <c r="P98" s="90" t="s">
        <v>220</v>
      </c>
      <c r="Q98" s="51"/>
      <c r="R98" s="51"/>
      <c r="S98" s="51"/>
      <c r="T98" s="51"/>
      <c r="U98" s="105">
        <f>'6B (2)'!T90</f>
        <v>0</v>
      </c>
      <c r="V98" s="97"/>
      <c r="W98" s="109"/>
      <c r="X98" s="994"/>
      <c r="AA98"/>
    </row>
    <row r="99" spans="2:27" x14ac:dyDescent="0.25">
      <c r="B99" s="174"/>
      <c r="C99" s="786"/>
      <c r="D99" s="90" t="s">
        <v>221</v>
      </c>
      <c r="E99" s="51"/>
      <c r="F99" s="51"/>
      <c r="G99" s="51"/>
      <c r="H99" s="51"/>
      <c r="I99" s="105">
        <f>'6B (2)'!P91</f>
        <v>567092</v>
      </c>
      <c r="J99" s="97"/>
      <c r="K99" s="109">
        <v>567092</v>
      </c>
      <c r="L99" s="994"/>
      <c r="M99" s="786"/>
      <c r="N99" s="174"/>
      <c r="O99" s="786"/>
      <c r="P99" s="90" t="s">
        <v>221</v>
      </c>
      <c r="Q99" s="51"/>
      <c r="R99" s="51"/>
      <c r="S99" s="51"/>
      <c r="T99" s="51"/>
      <c r="U99" s="105">
        <f>'6B (2)'!T91</f>
        <v>313126.5</v>
      </c>
      <c r="V99" s="97"/>
      <c r="W99" s="109">
        <v>313127</v>
      </c>
      <c r="X99" s="994"/>
      <c r="Z99" s="1659"/>
      <c r="AA99" s="1537"/>
    </row>
    <row r="100" spans="2:27" x14ac:dyDescent="0.25">
      <c r="B100" s="174"/>
      <c r="C100" s="786"/>
      <c r="D100" s="89" t="s">
        <v>222</v>
      </c>
      <c r="E100" s="51"/>
      <c r="F100" s="51"/>
      <c r="G100" s="51"/>
      <c r="H100" s="51"/>
      <c r="I100" s="105">
        <f>'6B (2)'!P92</f>
        <v>443520</v>
      </c>
      <c r="J100" s="97"/>
      <c r="K100" s="109">
        <v>443520</v>
      </c>
      <c r="L100" s="994"/>
      <c r="M100" s="786"/>
      <c r="N100" s="174"/>
      <c r="O100" s="786"/>
      <c r="P100" s="89" t="s">
        <v>222</v>
      </c>
      <c r="Q100" s="51"/>
      <c r="R100" s="51"/>
      <c r="S100" s="51"/>
      <c r="T100" s="51"/>
      <c r="U100" s="105">
        <f>'6B (2)'!T92</f>
        <v>201600</v>
      </c>
      <c r="V100" s="97"/>
      <c r="W100" s="109">
        <v>201600</v>
      </c>
      <c r="X100" s="994"/>
      <c r="Z100" s="1659"/>
      <c r="AA100" s="1537"/>
    </row>
    <row r="101" spans="2:27" x14ac:dyDescent="0.25">
      <c r="B101" s="174"/>
      <c r="C101" s="786"/>
      <c r="D101" s="89" t="s">
        <v>223</v>
      </c>
      <c r="E101" s="51"/>
      <c r="F101" s="51"/>
      <c r="G101" s="51"/>
      <c r="H101" s="51"/>
      <c r="I101" s="105">
        <f>'6B (2)'!P93</f>
        <v>0</v>
      </c>
      <c r="J101" s="97"/>
      <c r="K101" s="109">
        <v>0</v>
      </c>
      <c r="L101" s="994"/>
      <c r="M101" s="786"/>
      <c r="N101" s="174"/>
      <c r="O101" s="786"/>
      <c r="P101" s="89" t="s">
        <v>223</v>
      </c>
      <c r="Q101" s="51"/>
      <c r="R101" s="51"/>
      <c r="S101" s="51"/>
      <c r="T101" s="51"/>
      <c r="U101" s="105">
        <f>'6B (2)'!T93</f>
        <v>0</v>
      </c>
      <c r="V101" s="97"/>
      <c r="W101" s="109"/>
      <c r="X101" s="994"/>
      <c r="AA101"/>
    </row>
    <row r="102" spans="2:27" x14ac:dyDescent="0.25">
      <c r="B102" s="174"/>
      <c r="C102" s="786"/>
      <c r="D102" s="94" t="s">
        <v>224</v>
      </c>
      <c r="E102" s="51"/>
      <c r="F102" s="51"/>
      <c r="G102" s="51"/>
      <c r="H102" s="51"/>
      <c r="I102" s="105">
        <f>'6B (2)'!P94</f>
        <v>0</v>
      </c>
      <c r="J102" s="143"/>
      <c r="K102" s="116"/>
      <c r="L102" s="994"/>
      <c r="M102" s="786"/>
      <c r="N102" s="174"/>
      <c r="O102" s="786"/>
      <c r="P102" s="94" t="s">
        <v>224</v>
      </c>
      <c r="Q102" s="51"/>
      <c r="R102" s="51"/>
      <c r="S102" s="51"/>
      <c r="T102" s="51"/>
      <c r="U102" s="105">
        <f>'6B (2)'!T94</f>
        <v>10000</v>
      </c>
      <c r="V102" s="143"/>
      <c r="W102" s="116"/>
      <c r="X102" s="994"/>
      <c r="AA102"/>
    </row>
    <row r="103" spans="2:27" x14ac:dyDescent="0.25">
      <c r="B103" s="174"/>
      <c r="C103" s="786"/>
      <c r="D103" s="90" t="s">
        <v>225</v>
      </c>
      <c r="E103" s="51"/>
      <c r="F103" s="51"/>
      <c r="G103" s="51"/>
      <c r="H103" s="51"/>
      <c r="I103" s="105">
        <f>'6B (2)'!P95</f>
        <v>30770</v>
      </c>
      <c r="J103" s="97"/>
      <c r="K103" s="109">
        <v>12600</v>
      </c>
      <c r="L103" s="994"/>
      <c r="M103" s="786"/>
      <c r="N103" s="174"/>
      <c r="O103" s="786"/>
      <c r="P103" s="90" t="s">
        <v>225</v>
      </c>
      <c r="Q103" s="51"/>
      <c r="R103" s="51"/>
      <c r="S103" s="51"/>
      <c r="T103" s="51"/>
      <c r="U103" s="105">
        <f>'6B (2)'!T95</f>
        <v>30770</v>
      </c>
      <c r="V103" s="97"/>
      <c r="W103" s="109">
        <v>12600</v>
      </c>
      <c r="X103" s="994"/>
      <c r="Z103" s="1659"/>
      <c r="AA103" s="1537"/>
    </row>
    <row r="104" spans="2:27" x14ac:dyDescent="0.25">
      <c r="B104" s="174"/>
      <c r="C104" s="786"/>
      <c r="D104" s="89" t="s">
        <v>226</v>
      </c>
      <c r="E104" s="51"/>
      <c r="F104" s="51"/>
      <c r="G104" s="51"/>
      <c r="H104" s="51"/>
      <c r="I104" s="105">
        <f>'6B (2)'!P96</f>
        <v>83660.5</v>
      </c>
      <c r="J104" s="123"/>
      <c r="K104" s="124"/>
      <c r="L104" s="994"/>
      <c r="M104" s="786"/>
      <c r="N104" s="174"/>
      <c r="O104" s="786"/>
      <c r="P104" s="89" t="s">
        <v>226</v>
      </c>
      <c r="Q104" s="51"/>
      <c r="R104" s="51"/>
      <c r="S104" s="51"/>
      <c r="T104" s="51"/>
      <c r="U104" s="105">
        <f>'6B (2)'!T96</f>
        <v>44339</v>
      </c>
      <c r="V104" s="123"/>
      <c r="W104" s="124"/>
      <c r="X104" s="994"/>
      <c r="AA104"/>
    </row>
    <row r="105" spans="2:27" x14ac:dyDescent="0.25">
      <c r="B105" s="174"/>
      <c r="C105" s="786"/>
      <c r="D105" s="95" t="s">
        <v>227</v>
      </c>
      <c r="E105" s="66"/>
      <c r="F105" s="59"/>
      <c r="G105" s="59"/>
      <c r="H105" s="59"/>
      <c r="I105" s="126">
        <f>'6B (2)'!P97</f>
        <v>0</v>
      </c>
      <c r="J105" s="130"/>
      <c r="K105" s="131"/>
      <c r="L105" s="994"/>
      <c r="M105" s="786"/>
      <c r="N105" s="174"/>
      <c r="O105" s="786"/>
      <c r="P105" s="95" t="s">
        <v>227</v>
      </c>
      <c r="Q105" s="66"/>
      <c r="R105" s="59"/>
      <c r="S105" s="59"/>
      <c r="T105" s="59"/>
      <c r="U105" s="126">
        <f>'6B (2)'!T97</f>
        <v>0</v>
      </c>
      <c r="V105" s="130"/>
      <c r="W105" s="131"/>
      <c r="X105" s="994"/>
      <c r="AA105"/>
    </row>
    <row r="106" spans="2:27" ht="15.75" thickBot="1" x14ac:dyDescent="0.3">
      <c r="B106" s="174"/>
      <c r="C106" s="52"/>
      <c r="D106" s="51"/>
      <c r="E106" s="51"/>
      <c r="F106" s="786"/>
      <c r="G106" s="55" t="s">
        <v>167</v>
      </c>
      <c r="H106" s="98"/>
      <c r="I106" s="125">
        <f>SUM(I95:I105)</f>
        <v>1206384.5</v>
      </c>
      <c r="J106" s="102">
        <f>SUM(J95:J101)+J103</f>
        <v>0</v>
      </c>
      <c r="K106" s="111">
        <f>SUM(K95:K101)+K103</f>
        <v>1104554</v>
      </c>
      <c r="L106" s="994"/>
      <c r="M106" s="786"/>
      <c r="N106" s="174"/>
      <c r="O106" s="52"/>
      <c r="P106" s="51"/>
      <c r="Q106" s="51"/>
      <c r="R106" s="786"/>
      <c r="S106" s="55" t="s">
        <v>167</v>
      </c>
      <c r="T106" s="98"/>
      <c r="U106" s="125">
        <f>SUM(U95:U105)</f>
        <v>646093.5</v>
      </c>
      <c r="V106" s="102">
        <f>SUM(V95:V101)+V103</f>
        <v>0</v>
      </c>
      <c r="W106" s="111">
        <f>SUM(W95:W101)+W103</f>
        <v>573585</v>
      </c>
      <c r="X106" s="994"/>
      <c r="Z106" s="1659"/>
      <c r="AA106" s="1537"/>
    </row>
    <row r="107" spans="2:27" ht="9" customHeight="1" thickBot="1" x14ac:dyDescent="0.3">
      <c r="B107" s="997"/>
      <c r="C107" s="142"/>
      <c r="D107" s="65"/>
      <c r="E107" s="65"/>
      <c r="F107" s="64"/>
      <c r="G107" s="64"/>
      <c r="H107" s="64"/>
      <c r="I107" s="96"/>
      <c r="J107" s="96"/>
      <c r="K107" s="96"/>
      <c r="L107" s="998"/>
      <c r="M107" s="786"/>
      <c r="N107" s="997"/>
      <c r="O107" s="142"/>
      <c r="P107" s="65"/>
      <c r="Q107" s="65"/>
      <c r="R107" s="64"/>
      <c r="S107" s="64"/>
      <c r="T107" s="64"/>
      <c r="U107" s="96"/>
      <c r="V107" s="96"/>
      <c r="W107" s="96"/>
      <c r="X107" s="998"/>
      <c r="AA107"/>
    </row>
    <row r="108" spans="2:27" ht="15.75" thickBot="1" x14ac:dyDescent="0.3">
      <c r="B108" s="174"/>
      <c r="C108" s="85" t="s">
        <v>228</v>
      </c>
      <c r="D108" s="86"/>
      <c r="E108" s="86"/>
      <c r="F108" s="87"/>
      <c r="G108" s="87"/>
      <c r="H108" s="87"/>
      <c r="I108" s="80"/>
      <c r="J108" s="80"/>
      <c r="K108" s="80"/>
      <c r="L108" s="176"/>
      <c r="M108" s="175"/>
      <c r="N108" s="174"/>
      <c r="O108" s="85" t="s">
        <v>228</v>
      </c>
      <c r="P108" s="86"/>
      <c r="Q108" s="86"/>
      <c r="R108" s="87"/>
      <c r="S108" s="87"/>
      <c r="T108" s="87"/>
      <c r="U108" s="80"/>
      <c r="V108" s="80"/>
      <c r="W108" s="80"/>
      <c r="X108" s="176"/>
      <c r="AA108"/>
    </row>
    <row r="109" spans="2:27" x14ac:dyDescent="0.25">
      <c r="B109" s="174"/>
      <c r="C109" s="175"/>
      <c r="D109" s="99" t="s">
        <v>229</v>
      </c>
      <c r="E109" s="55"/>
      <c r="F109" s="51"/>
      <c r="G109" s="51"/>
      <c r="H109" s="51"/>
      <c r="I109" s="103">
        <f>'6B (2)'!P102</f>
        <v>174999.5</v>
      </c>
      <c r="J109" s="119"/>
      <c r="K109" s="120"/>
      <c r="L109" s="176"/>
      <c r="M109" s="175"/>
      <c r="N109" s="174"/>
      <c r="O109" s="175"/>
      <c r="P109" s="99" t="s">
        <v>229</v>
      </c>
      <c r="Q109" s="55"/>
      <c r="R109" s="51"/>
      <c r="S109" s="51"/>
      <c r="T109" s="51"/>
      <c r="U109" s="103">
        <f>'6B (2)'!T102</f>
        <v>0</v>
      </c>
      <c r="V109" s="119"/>
      <c r="W109" s="120"/>
      <c r="X109" s="176"/>
      <c r="AA109"/>
    </row>
    <row r="110" spans="2:27" x14ac:dyDescent="0.25">
      <c r="B110" s="174"/>
      <c r="C110" s="175"/>
      <c r="D110" s="99" t="s">
        <v>230</v>
      </c>
      <c r="E110" s="55"/>
      <c r="F110" s="51"/>
      <c r="G110" s="51"/>
      <c r="H110" s="51"/>
      <c r="I110" s="105">
        <f>'6B (2)'!P103</f>
        <v>50000.1</v>
      </c>
      <c r="J110" s="121"/>
      <c r="K110" s="122"/>
      <c r="L110" s="176"/>
      <c r="M110" s="175"/>
      <c r="N110" s="174"/>
      <c r="O110" s="175"/>
      <c r="P110" s="99" t="s">
        <v>230</v>
      </c>
      <c r="Q110" s="55"/>
      <c r="R110" s="51"/>
      <c r="S110" s="51"/>
      <c r="T110" s="51"/>
      <c r="U110" s="105">
        <f>'6B (2)'!T103</f>
        <v>0</v>
      </c>
      <c r="V110" s="121"/>
      <c r="W110" s="122"/>
      <c r="X110" s="176"/>
      <c r="AA110"/>
    </row>
    <row r="111" spans="2:27" x14ac:dyDescent="0.25">
      <c r="B111" s="174"/>
      <c r="C111" s="786"/>
      <c r="D111" s="99" t="s">
        <v>231</v>
      </c>
      <c r="E111" s="55"/>
      <c r="F111" s="51"/>
      <c r="G111" s="51"/>
      <c r="H111" s="51"/>
      <c r="I111" s="105">
        <f>'6B (2)'!P104</f>
        <v>0</v>
      </c>
      <c r="J111" s="121"/>
      <c r="K111" s="122"/>
      <c r="L111" s="994"/>
      <c r="M111" s="786"/>
      <c r="N111" s="174"/>
      <c r="O111" s="786"/>
      <c r="P111" s="99" t="s">
        <v>231</v>
      </c>
      <c r="Q111" s="55"/>
      <c r="R111" s="51"/>
      <c r="S111" s="51"/>
      <c r="T111" s="51"/>
      <c r="U111" s="105">
        <f>'6B (2)'!T104</f>
        <v>0</v>
      </c>
      <c r="V111" s="121"/>
      <c r="W111" s="122"/>
      <c r="X111" s="994"/>
      <c r="AA111"/>
    </row>
    <row r="112" spans="2:27" x14ac:dyDescent="0.25">
      <c r="B112" s="174"/>
      <c r="C112" s="786"/>
      <c r="D112" s="99" t="s">
        <v>232</v>
      </c>
      <c r="E112" s="55"/>
      <c r="F112" s="51"/>
      <c r="G112" s="51"/>
      <c r="H112" s="51"/>
      <c r="I112" s="105">
        <f>'6B (2)'!P105</f>
        <v>0</v>
      </c>
      <c r="J112" s="121"/>
      <c r="K112" s="122"/>
      <c r="L112" s="994"/>
      <c r="M112" s="786"/>
      <c r="N112" s="174"/>
      <c r="O112" s="786"/>
      <c r="P112" s="99" t="s">
        <v>232</v>
      </c>
      <c r="Q112" s="55"/>
      <c r="R112" s="51"/>
      <c r="S112" s="51"/>
      <c r="T112" s="51"/>
      <c r="U112" s="105">
        <f>'6B (2)'!T105</f>
        <v>0</v>
      </c>
      <c r="V112" s="121"/>
      <c r="W112" s="122"/>
      <c r="X112" s="994"/>
      <c r="AA112"/>
    </row>
    <row r="113" spans="2:27" x14ac:dyDescent="0.25">
      <c r="B113" s="174"/>
      <c r="C113" s="786"/>
      <c r="D113" s="99" t="s">
        <v>233</v>
      </c>
      <c r="E113" s="55"/>
      <c r="F113" s="51"/>
      <c r="G113" s="51"/>
      <c r="H113" s="51"/>
      <c r="I113" s="105">
        <f>'6B (2)'!P106</f>
        <v>0</v>
      </c>
      <c r="J113" s="121"/>
      <c r="K113" s="122"/>
      <c r="L113" s="994"/>
      <c r="M113" s="786"/>
      <c r="N113" s="174"/>
      <c r="O113" s="786"/>
      <c r="P113" s="99" t="s">
        <v>233</v>
      </c>
      <c r="Q113" s="55"/>
      <c r="R113" s="51"/>
      <c r="S113" s="51"/>
      <c r="T113" s="51"/>
      <c r="U113" s="105">
        <f>'6B (2)'!T106</f>
        <v>0</v>
      </c>
      <c r="V113" s="121"/>
      <c r="W113" s="122"/>
      <c r="X113" s="994"/>
      <c r="AA113"/>
    </row>
    <row r="114" spans="2:27" x14ac:dyDescent="0.25">
      <c r="B114" s="174"/>
      <c r="C114" s="786"/>
      <c r="D114" s="99" t="s">
        <v>234</v>
      </c>
      <c r="E114" s="55"/>
      <c r="F114" s="51"/>
      <c r="G114" s="51"/>
      <c r="H114" s="51"/>
      <c r="I114" s="105">
        <f>'6B (2)'!P107</f>
        <v>25000</v>
      </c>
      <c r="J114" s="121"/>
      <c r="K114" s="122"/>
      <c r="L114" s="994"/>
      <c r="M114" s="786"/>
      <c r="N114" s="174"/>
      <c r="O114" s="786"/>
      <c r="P114" s="99" t="s">
        <v>234</v>
      </c>
      <c r="Q114" s="55"/>
      <c r="R114" s="51"/>
      <c r="S114" s="51"/>
      <c r="T114" s="51"/>
      <c r="U114" s="105">
        <f>'6B (2)'!T107</f>
        <v>0</v>
      </c>
      <c r="V114" s="121"/>
      <c r="W114" s="122"/>
      <c r="X114" s="994"/>
      <c r="AA114"/>
    </row>
    <row r="115" spans="2:27" x14ac:dyDescent="0.25">
      <c r="B115" s="174"/>
      <c r="C115" s="786"/>
      <c r="D115" s="99" t="s">
        <v>235</v>
      </c>
      <c r="E115" s="55"/>
      <c r="F115" s="51"/>
      <c r="G115" s="51"/>
      <c r="H115" s="51"/>
      <c r="I115" s="126">
        <f>'6B (2)'!P108</f>
        <v>0</v>
      </c>
      <c r="J115" s="130"/>
      <c r="K115" s="131"/>
      <c r="L115" s="994"/>
      <c r="M115" s="786"/>
      <c r="N115" s="174"/>
      <c r="O115" s="786"/>
      <c r="P115" s="99" t="s">
        <v>235</v>
      </c>
      <c r="Q115" s="55"/>
      <c r="R115" s="51"/>
      <c r="S115" s="51"/>
      <c r="T115" s="51"/>
      <c r="U115" s="126">
        <f>'6B (2)'!T108</f>
        <v>0</v>
      </c>
      <c r="V115" s="130"/>
      <c r="W115" s="131"/>
      <c r="X115" s="994"/>
      <c r="Z115" s="1659"/>
      <c r="AA115"/>
    </row>
    <row r="116" spans="2:27" ht="15.75" thickBot="1" x14ac:dyDescent="0.3">
      <c r="B116" s="174"/>
      <c r="C116" s="52"/>
      <c r="D116" s="786"/>
      <c r="E116" s="51"/>
      <c r="F116" s="786"/>
      <c r="G116" s="55" t="s">
        <v>167</v>
      </c>
      <c r="H116" s="98"/>
      <c r="I116" s="125">
        <f>SUM(I109:I115)</f>
        <v>249999.6</v>
      </c>
      <c r="J116" s="102">
        <v>0</v>
      </c>
      <c r="K116" s="111">
        <v>0</v>
      </c>
      <c r="L116" s="994"/>
      <c r="M116" s="786"/>
      <c r="N116" s="174"/>
      <c r="O116" s="52"/>
      <c r="P116" s="786"/>
      <c r="Q116" s="51"/>
      <c r="R116" s="786"/>
      <c r="S116" s="55" t="s">
        <v>167</v>
      </c>
      <c r="T116" s="98"/>
      <c r="U116" s="125">
        <f>SUM(U109:U115)</f>
        <v>0</v>
      </c>
      <c r="V116" s="102">
        <v>0</v>
      </c>
      <c r="W116" s="111">
        <v>0</v>
      </c>
      <c r="X116" s="994"/>
      <c r="Z116" s="1659"/>
      <c r="AA116"/>
    </row>
    <row r="117" spans="2:27" ht="7.5" customHeight="1" thickBot="1" x14ac:dyDescent="0.3">
      <c r="B117" s="174"/>
      <c r="C117" s="73"/>
      <c r="D117" s="72"/>
      <c r="E117" s="72"/>
      <c r="F117" s="74"/>
      <c r="G117" s="74"/>
      <c r="H117" s="74"/>
      <c r="I117" s="84"/>
      <c r="J117" s="84"/>
      <c r="K117" s="84"/>
      <c r="L117" s="994"/>
      <c r="M117" s="786"/>
      <c r="N117" s="174"/>
      <c r="O117" s="73"/>
      <c r="P117" s="72"/>
      <c r="Q117" s="72"/>
      <c r="R117" s="74"/>
      <c r="S117" s="74"/>
      <c r="T117" s="74"/>
      <c r="U117" s="84"/>
      <c r="V117" s="84"/>
      <c r="W117" s="84"/>
      <c r="X117" s="994"/>
      <c r="AA117"/>
    </row>
    <row r="118" spans="2:27" ht="15.75" thickBot="1" x14ac:dyDescent="0.3">
      <c r="B118" s="174"/>
      <c r="C118" s="114" t="s">
        <v>249</v>
      </c>
      <c r="D118" s="115"/>
      <c r="E118" s="115"/>
      <c r="F118" s="115"/>
      <c r="G118" s="115"/>
      <c r="H118" s="115"/>
      <c r="I118" s="106">
        <f>I27+I46+I62+I67+I75+I86+I92+I106+I116</f>
        <v>36858226.100000001</v>
      </c>
      <c r="J118" s="101">
        <f>J27+J46+J62+J67+J75+J86+J92+J106+J116</f>
        <v>0</v>
      </c>
      <c r="K118" s="113">
        <f>K27+K46+K62+K67+K75+K86+K92+K106+K116</f>
        <v>35012883</v>
      </c>
      <c r="L118" s="994"/>
      <c r="M118" s="786"/>
      <c r="N118" s="174"/>
      <c r="O118" s="114" t="s">
        <v>249</v>
      </c>
      <c r="P118" s="115"/>
      <c r="Q118" s="115"/>
      <c r="R118" s="115"/>
      <c r="S118" s="115"/>
      <c r="T118" s="115"/>
      <c r="U118" s="106">
        <f>U27+U46+U62+U67+U75+U86+U92+U106+U116</f>
        <v>22064076.899999999</v>
      </c>
      <c r="V118" s="101">
        <f>V27+V46+V62+V67+V75+V86+V92+V106+V116</f>
        <v>0</v>
      </c>
      <c r="W118" s="113">
        <f>W27+W46+W62+W67+W75+W86+W92+W106+W116</f>
        <v>20794338</v>
      </c>
      <c r="X118" s="994"/>
      <c r="Z118" s="1659"/>
      <c r="AA118" s="1537"/>
    </row>
    <row r="119" spans="2:27" ht="7.5" customHeight="1" x14ac:dyDescent="0.25">
      <c r="B119" s="174"/>
      <c r="C119" s="175"/>
      <c r="D119" s="175"/>
      <c r="E119" s="175"/>
      <c r="F119" s="175"/>
      <c r="G119" s="175"/>
      <c r="H119" s="175"/>
      <c r="I119" s="1939"/>
      <c r="J119" s="786"/>
      <c r="K119" s="786"/>
      <c r="L119" s="994"/>
      <c r="M119" s="786"/>
      <c r="N119" s="174"/>
      <c r="O119" s="175"/>
      <c r="P119" s="175"/>
      <c r="Q119" s="175"/>
      <c r="R119" s="175"/>
      <c r="S119" s="175"/>
      <c r="T119" s="175"/>
      <c r="U119" s="1939"/>
      <c r="V119" s="786"/>
      <c r="W119" s="786"/>
      <c r="X119" s="994"/>
    </row>
    <row r="120" spans="2:27" x14ac:dyDescent="0.25">
      <c r="B120" s="174"/>
      <c r="C120" s="2398" t="s">
        <v>250</v>
      </c>
      <c r="D120" s="2399"/>
      <c r="E120" s="2399"/>
      <c r="F120" s="2399"/>
      <c r="G120" s="2399"/>
      <c r="H120" s="2399"/>
      <c r="I120" s="2399"/>
      <c r="J120" s="2399"/>
      <c r="K120" s="2400"/>
      <c r="L120" s="994"/>
      <c r="M120" s="786"/>
      <c r="N120" s="174"/>
      <c r="O120" s="2398" t="s">
        <v>250</v>
      </c>
      <c r="P120" s="2399"/>
      <c r="Q120" s="2399"/>
      <c r="R120" s="2399"/>
      <c r="S120" s="2399"/>
      <c r="T120" s="2399"/>
      <c r="U120" s="2399"/>
      <c r="V120" s="2399"/>
      <c r="W120" s="2400"/>
      <c r="X120" s="994"/>
    </row>
    <row r="121" spans="2:27" x14ac:dyDescent="0.25">
      <c r="B121" s="174"/>
      <c r="C121" s="2401"/>
      <c r="D121" s="2402"/>
      <c r="E121" s="2402"/>
      <c r="F121" s="2402"/>
      <c r="G121" s="2402"/>
      <c r="H121" s="2402"/>
      <c r="I121" s="2402"/>
      <c r="J121" s="2402"/>
      <c r="K121" s="2403"/>
      <c r="L121" s="994"/>
      <c r="M121" s="786"/>
      <c r="N121" s="174"/>
      <c r="O121" s="2401"/>
      <c r="P121" s="2402"/>
      <c r="Q121" s="2402"/>
      <c r="R121" s="2402"/>
      <c r="S121" s="2402"/>
      <c r="T121" s="2402"/>
      <c r="U121" s="2402"/>
      <c r="V121" s="2402"/>
      <c r="W121" s="2403"/>
      <c r="X121" s="994"/>
    </row>
    <row r="122" spans="2:27" x14ac:dyDescent="0.25">
      <c r="B122" s="174"/>
      <c r="C122" s="2404"/>
      <c r="D122" s="2405"/>
      <c r="E122" s="2405"/>
      <c r="F122" s="2405"/>
      <c r="G122" s="2405"/>
      <c r="H122" s="2405"/>
      <c r="I122" s="2405"/>
      <c r="J122" s="2405"/>
      <c r="K122" s="2406"/>
      <c r="L122" s="994"/>
      <c r="M122" s="786"/>
      <c r="N122" s="174"/>
      <c r="O122" s="2404"/>
      <c r="P122" s="2405"/>
      <c r="Q122" s="2405"/>
      <c r="R122" s="2405"/>
      <c r="S122" s="2405"/>
      <c r="T122" s="2405"/>
      <c r="U122" s="2405"/>
      <c r="V122" s="2405"/>
      <c r="W122" s="2406"/>
      <c r="X122" s="994"/>
    </row>
    <row r="123" spans="2:27" ht="9" customHeight="1" thickBot="1" x14ac:dyDescent="0.3">
      <c r="B123" s="999"/>
      <c r="C123" s="1000"/>
      <c r="D123" s="1000"/>
      <c r="E123" s="1000"/>
      <c r="F123" s="1000"/>
      <c r="G123" s="1000"/>
      <c r="H123" s="1000"/>
      <c r="I123" s="1942"/>
      <c r="J123" s="1000"/>
      <c r="K123" s="1000"/>
      <c r="L123" s="998"/>
      <c r="M123" s="786"/>
      <c r="N123" s="999"/>
      <c r="O123" s="1000"/>
      <c r="P123" s="1000"/>
      <c r="Q123" s="1000"/>
      <c r="R123" s="1000"/>
      <c r="S123" s="1000"/>
      <c r="T123" s="1000"/>
      <c r="U123" s="1942"/>
      <c r="V123" s="1000"/>
      <c r="W123" s="1000"/>
      <c r="X123" s="998"/>
    </row>
    <row r="124" spans="2:27" x14ac:dyDescent="0.25">
      <c r="K124" s="1659"/>
      <c r="W124" s="1659"/>
    </row>
    <row r="125" spans="2:27" x14ac:dyDescent="0.25">
      <c r="K125" s="1659"/>
      <c r="W125" s="1659"/>
    </row>
    <row r="126" spans="2:27" x14ac:dyDescent="0.25">
      <c r="W126" s="1659"/>
    </row>
  </sheetData>
  <sheetProtection algorithmName="SHA-512" hashValue="k+BH4Qy5buEHLh1AvT9cYU0exnInPlTaQ0EuIATnYU6q5IBlwVbZsuzb6SkIX4/Hy/6EW/sngI6idJrJivvjMA==" saltValue="gU3cu67ACtBxWv7sAVg38A==" spinCount="100000" sheet="1" objects="1" scenarios="1" formatCells="0" formatColumns="0" formatRows="0"/>
  <mergeCells count="26">
    <mergeCell ref="O120:W122"/>
    <mergeCell ref="Q26:S26"/>
    <mergeCell ref="Q45:S45"/>
    <mergeCell ref="Q61:S61"/>
    <mergeCell ref="Q85:S85"/>
    <mergeCell ref="Q91:S91"/>
    <mergeCell ref="O11:W11"/>
    <mergeCell ref="R13:W13"/>
    <mergeCell ref="U15:W15"/>
    <mergeCell ref="U16:U19"/>
    <mergeCell ref="V16:W16"/>
    <mergeCell ref="V17:V19"/>
    <mergeCell ref="W17:W19"/>
    <mergeCell ref="C11:K11"/>
    <mergeCell ref="F13:K13"/>
    <mergeCell ref="I15:K15"/>
    <mergeCell ref="C120:K122"/>
    <mergeCell ref="J16:K16"/>
    <mergeCell ref="J17:J19"/>
    <mergeCell ref="I16:I19"/>
    <mergeCell ref="K17:K19"/>
    <mergeCell ref="E85:G85"/>
    <mergeCell ref="E26:G26"/>
    <mergeCell ref="E45:G45"/>
    <mergeCell ref="E61:G61"/>
    <mergeCell ref="E91:G91"/>
  </mergeCells>
  <pageMargins left="0.7" right="0.69" top="0.38" bottom="0.75" header="0.3" footer="0.3"/>
  <pageSetup paperSize="17" scale="71" fitToHeight="0" orientation="portrait" r:id="rId1"/>
  <headerFooter>
    <oddFooter>&amp;LForm 6C
LIHTC Budget (Basis Calculation)&amp;CCFA Forms&amp;REdition: 2015
Version: 1.0</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Q53"/>
  <sheetViews>
    <sheetView showGridLines="0" topLeftCell="A7" zoomScaleNormal="100" workbookViewId="0">
      <selection activeCell="E43" sqref="E43:E44"/>
    </sheetView>
  </sheetViews>
  <sheetFormatPr defaultColWidth="9.140625" defaultRowHeight="15" x14ac:dyDescent="0.25"/>
  <cols>
    <col min="1" max="2" width="1.7109375" style="740" customWidth="1"/>
    <col min="3" max="3" width="2.85546875" style="740" customWidth="1"/>
    <col min="4" max="4" width="14.28515625" style="740" customWidth="1"/>
    <col min="5" max="5" width="48.42578125" style="740" customWidth="1"/>
    <col min="6" max="6" width="14.140625" style="1909" customWidth="1"/>
    <col min="7" max="7" width="13.140625" style="1909" customWidth="1"/>
    <col min="8" max="8" width="1.7109375" style="740" customWidth="1"/>
    <col min="9" max="9" width="15.140625" style="740" bestFit="1" customWidth="1"/>
    <col min="10" max="10" width="13.5703125" style="740" bestFit="1" customWidth="1"/>
    <col min="11" max="12" width="9.140625" style="740"/>
    <col min="13" max="13" width="17.5703125" style="740" bestFit="1" customWidth="1"/>
    <col min="14" max="14" width="10.85546875" style="740" bestFit="1" customWidth="1"/>
    <col min="15" max="15" width="9.140625" style="740"/>
    <col min="16" max="16" width="16.42578125" style="740" bestFit="1" customWidth="1"/>
    <col min="17" max="17" width="10.85546875" style="740" bestFit="1" customWidth="1"/>
    <col min="18" max="16384" width="9.140625" style="740"/>
  </cols>
  <sheetData>
    <row r="5" spans="2:8" ht="9" customHeight="1" thickBot="1" x14ac:dyDescent="0.3"/>
    <row r="6" spans="2:8" ht="9" customHeight="1" x14ac:dyDescent="0.25">
      <c r="B6" s="1001"/>
      <c r="C6" s="1002"/>
      <c r="D6" s="1002"/>
      <c r="E6" s="1003"/>
      <c r="F6" s="1910"/>
      <c r="G6" s="1910"/>
      <c r="H6" s="1004"/>
    </row>
    <row r="7" spans="2:8" ht="18.75" x14ac:dyDescent="0.3">
      <c r="B7" s="1005"/>
      <c r="C7" s="2420" t="s">
        <v>251</v>
      </c>
      <c r="D7" s="2420"/>
      <c r="E7" s="2420"/>
      <c r="F7" s="2420"/>
      <c r="G7" s="2420"/>
      <c r="H7" s="1006"/>
    </row>
    <row r="8" spans="2:8" x14ac:dyDescent="0.25">
      <c r="B8" s="1005"/>
      <c r="C8" s="1007"/>
      <c r="D8" s="1007"/>
      <c r="E8" s="1008"/>
      <c r="F8" s="1911"/>
      <c r="G8" s="1911"/>
      <c r="H8" s="1006"/>
    </row>
    <row r="9" spans="2:8" x14ac:dyDescent="0.25">
      <c r="B9" s="1005"/>
      <c r="C9" s="1007"/>
      <c r="D9" s="1009" t="s">
        <v>1</v>
      </c>
      <c r="E9" s="978" t="str">
        <f>IF('1A'!G5="","Enter Project Name on Form 1A",'1A'!G5)</f>
        <v xml:space="preserve">Building 9 </v>
      </c>
      <c r="F9" s="1912"/>
      <c r="G9" s="1913"/>
      <c r="H9" s="1010"/>
    </row>
    <row r="10" spans="2:8" x14ac:dyDescent="0.25">
      <c r="B10" s="1005"/>
      <c r="C10" s="1007"/>
      <c r="D10" s="1007"/>
      <c r="E10" s="196"/>
      <c r="F10" s="199"/>
      <c r="G10" s="199"/>
      <c r="H10" s="1011"/>
    </row>
    <row r="11" spans="2:8" x14ac:dyDescent="0.25">
      <c r="B11" s="1005"/>
      <c r="C11" s="196" t="s">
        <v>252</v>
      </c>
      <c r="D11" s="196"/>
      <c r="E11" s="1012"/>
      <c r="F11" s="199"/>
      <c r="G11" s="199"/>
      <c r="H11" s="1011"/>
    </row>
    <row r="12" spans="2:8" ht="30" customHeight="1" x14ac:dyDescent="0.25">
      <c r="B12" s="1005"/>
      <c r="C12" s="1007"/>
      <c r="D12" s="2421" t="s">
        <v>253</v>
      </c>
      <c r="E12" s="2421"/>
      <c r="F12" s="1427" t="s">
        <v>1390</v>
      </c>
      <c r="H12" s="1011"/>
    </row>
    <row r="13" spans="2:8" ht="15.75" thickBot="1" x14ac:dyDescent="0.3">
      <c r="B13" s="1005"/>
      <c r="C13" s="1007"/>
      <c r="D13" s="1007"/>
      <c r="E13" s="196"/>
      <c r="F13" s="199"/>
      <c r="G13" s="199"/>
      <c r="H13" s="1011"/>
    </row>
    <row r="14" spans="2:8" ht="15.75" thickBot="1" x14ac:dyDescent="0.3">
      <c r="B14" s="1005"/>
      <c r="C14" s="1007"/>
      <c r="D14" s="1007"/>
      <c r="E14" s="196"/>
      <c r="F14" s="1650" t="s">
        <v>1413</v>
      </c>
      <c r="G14" s="1914" t="s">
        <v>1414</v>
      </c>
      <c r="H14" s="1011"/>
    </row>
    <row r="15" spans="2:8" ht="15.75" thickBot="1" x14ac:dyDescent="0.3">
      <c r="B15" s="1005"/>
      <c r="C15" s="200" t="s">
        <v>254</v>
      </c>
      <c r="D15" s="200"/>
      <c r="E15" s="201"/>
      <c r="F15" s="1915"/>
      <c r="G15" s="1915"/>
      <c r="H15" s="1011"/>
    </row>
    <row r="16" spans="2:8" x14ac:dyDescent="0.25">
      <c r="B16" s="1005"/>
      <c r="C16" s="196"/>
      <c r="D16" s="202" t="s">
        <v>255</v>
      </c>
      <c r="E16" s="1012"/>
      <c r="F16" s="1916">
        <f>'6C'!K118</f>
        <v>35012883</v>
      </c>
      <c r="G16" s="1917">
        <f>'6C'!W118</f>
        <v>20794338</v>
      </c>
      <c r="H16" s="1011"/>
    </row>
    <row r="17" spans="2:8" x14ac:dyDescent="0.25">
      <c r="B17" s="1005"/>
      <c r="C17" s="196"/>
      <c r="D17" s="197" t="s">
        <v>256</v>
      </c>
      <c r="E17" s="1012"/>
      <c r="F17" s="1918"/>
      <c r="G17" s="1919"/>
      <c r="H17" s="1011"/>
    </row>
    <row r="18" spans="2:8" x14ac:dyDescent="0.25">
      <c r="B18" s="1005"/>
      <c r="C18" s="196"/>
      <c r="D18" s="197" t="s">
        <v>257</v>
      </c>
      <c r="E18" s="1012"/>
      <c r="F18" s="1920"/>
      <c r="G18" s="1921"/>
      <c r="H18" s="1011"/>
    </row>
    <row r="19" spans="2:8" ht="30" customHeight="1" x14ac:dyDescent="0.25">
      <c r="B19" s="1005"/>
      <c r="C19" s="196"/>
      <c r="D19" s="2421" t="s">
        <v>258</v>
      </c>
      <c r="E19" s="2422"/>
      <c r="F19" s="1920"/>
      <c r="G19" s="1921"/>
      <c r="H19" s="1011"/>
    </row>
    <row r="20" spans="2:8" x14ac:dyDescent="0.25">
      <c r="B20" s="1005"/>
      <c r="C20" s="196"/>
      <c r="D20" s="203" t="s">
        <v>259</v>
      </c>
      <c r="E20" s="1013"/>
      <c r="F20" s="1922">
        <v>6608217</v>
      </c>
      <c r="G20" s="1923">
        <v>4117086</v>
      </c>
      <c r="H20" s="1011"/>
    </row>
    <row r="21" spans="2:8" ht="15.75" thickBot="1" x14ac:dyDescent="0.3">
      <c r="B21" s="1005"/>
      <c r="C21" s="196"/>
      <c r="D21" s="202" t="s">
        <v>260</v>
      </c>
      <c r="E21" s="1012"/>
      <c r="F21" s="1924">
        <f>F16-(SUM(F17:F20))</f>
        <v>28404666</v>
      </c>
      <c r="G21" s="1925">
        <f>G16-(SUM(G18:G20))</f>
        <v>16677252</v>
      </c>
      <c r="H21" s="1011"/>
    </row>
    <row r="22" spans="2:8" ht="15.75" thickBot="1" x14ac:dyDescent="0.3">
      <c r="B22" s="1005"/>
      <c r="C22" s="196"/>
      <c r="D22" s="197"/>
      <c r="E22" s="1012"/>
      <c r="F22" s="199"/>
      <c r="G22" s="199"/>
      <c r="H22" s="1011"/>
    </row>
    <row r="23" spans="2:8" x14ac:dyDescent="0.25">
      <c r="B23" s="1005"/>
      <c r="C23" s="196"/>
      <c r="D23" s="198" t="s">
        <v>260</v>
      </c>
      <c r="E23" s="1012"/>
      <c r="F23" s="1926">
        <f>F21</f>
        <v>28404666</v>
      </c>
      <c r="G23" s="1927">
        <f>G21</f>
        <v>16677252</v>
      </c>
      <c r="H23" s="1011"/>
    </row>
    <row r="24" spans="2:8" x14ac:dyDescent="0.25">
      <c r="B24" s="1005"/>
      <c r="C24" s="196"/>
      <c r="D24" s="198" t="s">
        <v>261</v>
      </c>
      <c r="E24" s="1012"/>
      <c r="F24" s="1960">
        <f>IF($F$12="Yes",130%,100%)</f>
        <v>1</v>
      </c>
      <c r="G24" s="1961">
        <f>IF($F$12="Yes",130%,100%)</f>
        <v>1</v>
      </c>
      <c r="H24" s="1011"/>
    </row>
    <row r="25" spans="2:8" x14ac:dyDescent="0.25">
      <c r="B25" s="1005"/>
      <c r="C25" s="196"/>
      <c r="D25" s="204" t="s">
        <v>262</v>
      </c>
      <c r="E25" s="1013"/>
      <c r="F25" s="1962">
        <v>1</v>
      </c>
      <c r="G25" s="1963">
        <v>1</v>
      </c>
      <c r="H25" s="1011"/>
    </row>
    <row r="26" spans="2:8" ht="15.75" thickBot="1" x14ac:dyDescent="0.3">
      <c r="B26" s="1005"/>
      <c r="C26" s="196"/>
      <c r="D26" s="205" t="s">
        <v>263</v>
      </c>
      <c r="E26" s="1012"/>
      <c r="F26" s="1928">
        <f>(F23*F24)*F25</f>
        <v>28404666</v>
      </c>
      <c r="G26" s="1929">
        <f>(G23*G24)*G25</f>
        <v>16677252</v>
      </c>
      <c r="H26" s="1011"/>
    </row>
    <row r="27" spans="2:8" ht="15.75" thickBot="1" x14ac:dyDescent="0.3">
      <c r="B27" s="1005"/>
      <c r="C27" s="196"/>
      <c r="D27" s="197"/>
      <c r="E27" s="1012"/>
      <c r="F27" s="199"/>
      <c r="G27" s="199"/>
      <c r="H27" s="1011"/>
    </row>
    <row r="28" spans="2:8" x14ac:dyDescent="0.25">
      <c r="B28" s="1005"/>
      <c r="C28" s="196"/>
      <c r="D28" s="197" t="s">
        <v>263</v>
      </c>
      <c r="E28" s="1012"/>
      <c r="F28" s="1926">
        <f>F26</f>
        <v>28404666</v>
      </c>
      <c r="G28" s="1927">
        <f>G26</f>
        <v>16677252</v>
      </c>
      <c r="H28" s="1011"/>
    </row>
    <row r="29" spans="2:8" x14ac:dyDescent="0.25">
      <c r="B29" s="1005"/>
      <c r="C29" s="196"/>
      <c r="D29" s="203" t="s">
        <v>264</v>
      </c>
      <c r="E29" s="1012"/>
      <c r="F29" s="1964">
        <v>3.2199999999999999E-2</v>
      </c>
      <c r="G29" s="1965">
        <v>7.5200000000000003E-2</v>
      </c>
      <c r="H29" s="1011"/>
    </row>
    <row r="30" spans="2:8" ht="15.75" thickBot="1" x14ac:dyDescent="0.3">
      <c r="B30" s="1005"/>
      <c r="C30" s="196"/>
      <c r="D30" s="202" t="s">
        <v>265</v>
      </c>
      <c r="E30" s="1012"/>
      <c r="F30" s="1924">
        <f>F28*F29</f>
        <v>914630.2452</v>
      </c>
      <c r="G30" s="1925">
        <f>G28*G29</f>
        <v>1254129.3504000001</v>
      </c>
      <c r="H30" s="1011"/>
    </row>
    <row r="31" spans="2:8" ht="15" customHeight="1" thickBot="1" x14ac:dyDescent="0.3">
      <c r="B31" s="1005"/>
      <c r="C31" s="196"/>
      <c r="D31" s="197"/>
      <c r="E31" s="1012"/>
      <c r="F31" s="199"/>
      <c r="G31" s="199"/>
      <c r="H31" s="1011"/>
    </row>
    <row r="32" spans="2:8" ht="15.75" thickBot="1" x14ac:dyDescent="0.3">
      <c r="B32" s="1005"/>
      <c r="C32" s="196"/>
      <c r="D32" s="202" t="s">
        <v>647</v>
      </c>
      <c r="E32" s="1012"/>
      <c r="F32" s="1930">
        <f>F30</f>
        <v>914630.2452</v>
      </c>
      <c r="G32" s="1930">
        <f>G30</f>
        <v>1254129.3504000001</v>
      </c>
      <c r="H32" s="1011"/>
    </row>
    <row r="33" spans="2:10" x14ac:dyDescent="0.25">
      <c r="B33" s="1005"/>
      <c r="C33" s="196"/>
      <c r="D33" s="196"/>
      <c r="E33" s="197"/>
      <c r="F33" s="199"/>
      <c r="G33" s="199"/>
      <c r="H33" s="1011"/>
    </row>
    <row r="34" spans="2:10" ht="15.75" thickBot="1" x14ac:dyDescent="0.3">
      <c r="B34" s="1005"/>
      <c r="C34" s="206" t="s">
        <v>266</v>
      </c>
      <c r="D34" s="206"/>
      <c r="E34" s="207"/>
      <c r="F34" s="208"/>
      <c r="G34" s="208"/>
      <c r="H34" s="1011"/>
    </row>
    <row r="35" spans="2:10" x14ac:dyDescent="0.25">
      <c r="B35" s="1005"/>
      <c r="C35" s="196"/>
      <c r="D35" s="197" t="s">
        <v>1383</v>
      </c>
      <c r="E35" s="1012"/>
      <c r="F35" s="1931">
        <f>'6C'!I118</f>
        <v>36858226.100000001</v>
      </c>
      <c r="G35" s="1931">
        <f>'6C'!U118</f>
        <v>22064076.899999999</v>
      </c>
      <c r="H35" s="209"/>
    </row>
    <row r="36" spans="2:10" x14ac:dyDescent="0.25">
      <c r="B36" s="1005"/>
      <c r="C36" s="196"/>
      <c r="D36" s="203" t="s">
        <v>648</v>
      </c>
      <c r="E36" s="1014"/>
      <c r="F36" s="1932">
        <f>-('7A'!E25+'7A'!E26+'7A'!F27+'7A'!F28+'7A'!E29+'7A'!E30+'7A'!E31)</f>
        <v>-26787684</v>
      </c>
      <c r="G36" s="1932">
        <f>-('7A'!E34+'7A'!F35+'7A'!F36+'7A'!E37+'7A'!E38+'7A'!E39)</f>
        <v>-13042567</v>
      </c>
      <c r="H36" s="1011"/>
    </row>
    <row r="37" spans="2:10" ht="15.75" thickBot="1" x14ac:dyDescent="0.3">
      <c r="B37" s="1005"/>
      <c r="C37" s="196"/>
      <c r="D37" s="202" t="s">
        <v>267</v>
      </c>
      <c r="E37" s="1012"/>
      <c r="F37" s="1933">
        <f>F35+F36</f>
        <v>10070542.100000001</v>
      </c>
      <c r="G37" s="1933">
        <f>G35+G36</f>
        <v>9021509.8999999985</v>
      </c>
      <c r="H37" s="1011"/>
    </row>
    <row r="38" spans="2:10" ht="15.75" thickBot="1" x14ac:dyDescent="0.3">
      <c r="B38" s="1005"/>
      <c r="C38" s="196"/>
      <c r="D38" s="197"/>
      <c r="E38" s="1012"/>
      <c r="F38" s="199"/>
      <c r="G38" s="199"/>
      <c r="H38" s="1011"/>
    </row>
    <row r="39" spans="2:10" x14ac:dyDescent="0.25">
      <c r="B39" s="1005"/>
      <c r="C39" s="196"/>
      <c r="D39" s="197" t="s">
        <v>267</v>
      </c>
      <c r="E39" s="1012"/>
      <c r="F39" s="1934">
        <f>F37</f>
        <v>10070542.100000001</v>
      </c>
      <c r="G39" s="1934">
        <f>G37</f>
        <v>9021509.8999999985</v>
      </c>
      <c r="H39" s="1011"/>
      <c r="I39" s="1898"/>
    </row>
    <row r="40" spans="2:10" ht="15.75" thickBot="1" x14ac:dyDescent="0.3">
      <c r="B40" s="1005"/>
      <c r="C40" s="196"/>
      <c r="D40" s="197" t="s">
        <v>649</v>
      </c>
      <c r="E40" s="1012"/>
      <c r="F40" s="1966">
        <v>1.094844069781479</v>
      </c>
      <c r="G40" s="1966">
        <v>1.0948905412000001</v>
      </c>
      <c r="H40" s="1011"/>
      <c r="I40" s="1908"/>
      <c r="J40" s="1909"/>
    </row>
    <row r="41" spans="2:10" ht="15.75" thickBot="1" x14ac:dyDescent="0.3">
      <c r="B41" s="1005"/>
      <c r="C41" s="196"/>
      <c r="D41" s="210" t="s">
        <v>268</v>
      </c>
      <c r="E41" s="1014"/>
      <c r="F41" s="1935">
        <v>10</v>
      </c>
      <c r="G41" s="1935">
        <v>10</v>
      </c>
      <c r="H41" s="1011"/>
      <c r="I41" s="1909"/>
      <c r="J41" s="1943"/>
    </row>
    <row r="42" spans="2:10" ht="15.75" thickBot="1" x14ac:dyDescent="0.3">
      <c r="B42" s="1005"/>
      <c r="C42" s="196"/>
      <c r="D42" s="211" t="s">
        <v>269</v>
      </c>
      <c r="E42" s="1012"/>
      <c r="F42" s="1936">
        <f>F39/F40/F41</f>
        <v>919815.19359281822</v>
      </c>
      <c r="G42" s="1936">
        <f>G39/G40/G41</f>
        <v>823964.54810107534</v>
      </c>
      <c r="H42" s="1011"/>
      <c r="J42" s="1944"/>
    </row>
    <row r="43" spans="2:10" x14ac:dyDescent="0.25">
      <c r="B43" s="1005"/>
      <c r="C43" s="196"/>
      <c r="D43" s="196"/>
      <c r="E43" s="197"/>
      <c r="F43" s="199"/>
      <c r="G43" s="199"/>
      <c r="H43" s="1011"/>
    </row>
    <row r="44" spans="2:10" x14ac:dyDescent="0.25">
      <c r="B44" s="1005"/>
      <c r="C44" s="196" t="s">
        <v>270</v>
      </c>
      <c r="D44" s="196"/>
      <c r="E44" s="197"/>
      <c r="F44" s="1427" t="s">
        <v>1415</v>
      </c>
      <c r="G44" s="1427" t="s">
        <v>1415</v>
      </c>
      <c r="H44" s="1011"/>
    </row>
    <row r="45" spans="2:10" x14ac:dyDescent="0.25">
      <c r="B45" s="1005"/>
      <c r="C45" s="196"/>
      <c r="D45" s="196"/>
      <c r="E45" s="197"/>
      <c r="F45" s="199"/>
      <c r="G45" s="199"/>
      <c r="H45" s="1011"/>
    </row>
    <row r="46" spans="2:10" ht="15.75" thickBot="1" x14ac:dyDescent="0.3">
      <c r="B46" s="1005"/>
      <c r="C46" s="206" t="s">
        <v>271</v>
      </c>
      <c r="D46" s="206"/>
      <c r="E46" s="207"/>
      <c r="F46" s="199"/>
      <c r="G46" s="199"/>
      <c r="H46" s="212"/>
    </row>
    <row r="47" spans="2:10" x14ac:dyDescent="0.25">
      <c r="B47" s="1005"/>
      <c r="C47" s="196"/>
      <c r="D47" s="197" t="s">
        <v>272</v>
      </c>
      <c r="E47" s="1012"/>
      <c r="F47" s="1971">
        <f>'1B'!L20</f>
        <v>88</v>
      </c>
      <c r="G47" s="1971">
        <f>'1B'!L44</f>
        <v>40</v>
      </c>
      <c r="H47" s="212"/>
    </row>
    <row r="48" spans="2:10" x14ac:dyDescent="0.25">
      <c r="B48" s="1005"/>
      <c r="C48" s="196"/>
      <c r="D48" s="203" t="s">
        <v>1264</v>
      </c>
      <c r="E48" s="1014"/>
      <c r="F48" s="1932">
        <f>IF(F44="Yes",20510,15808)</f>
        <v>20510</v>
      </c>
      <c r="G48" s="1932">
        <f>IF(G44="Yes",20510,15808)</f>
        <v>20510</v>
      </c>
      <c r="H48" s="212"/>
    </row>
    <row r="49" spans="2:17" ht="15.75" thickBot="1" x14ac:dyDescent="0.3">
      <c r="B49" s="1005"/>
      <c r="C49" s="196"/>
      <c r="D49" s="202" t="s">
        <v>273</v>
      </c>
      <c r="E49" s="1012"/>
      <c r="F49" s="1936">
        <f>F47*F48</f>
        <v>1804880</v>
      </c>
      <c r="G49" s="1936">
        <f>G47*G48</f>
        <v>820400</v>
      </c>
      <c r="H49" s="212"/>
    </row>
    <row r="50" spans="2:17" x14ac:dyDescent="0.25">
      <c r="B50" s="1005"/>
      <c r="C50" s="1007"/>
      <c r="D50" s="1007"/>
      <c r="E50" s="196"/>
      <c r="F50" s="199"/>
      <c r="G50" s="199"/>
      <c r="H50" s="209"/>
      <c r="M50" s="1740"/>
      <c r="N50" s="1909"/>
      <c r="P50" s="1740"/>
      <c r="Q50" s="1909"/>
    </row>
    <row r="51" spans="2:17" ht="15.75" thickBot="1" x14ac:dyDescent="0.3">
      <c r="B51" s="1005"/>
      <c r="C51" s="1007"/>
      <c r="D51" s="1007"/>
      <c r="E51" s="196"/>
      <c r="F51" s="199"/>
      <c r="G51" s="199"/>
      <c r="H51" s="212"/>
      <c r="I51" s="1740"/>
      <c r="M51" s="1986"/>
      <c r="P51" s="1980"/>
    </row>
    <row r="52" spans="2:17" ht="16.5" thickTop="1" thickBot="1" x14ac:dyDescent="0.3">
      <c r="B52" s="1005"/>
      <c r="C52" s="1007"/>
      <c r="D52" s="1007"/>
      <c r="E52" s="213" t="s">
        <v>274</v>
      </c>
      <c r="F52" s="1937">
        <f>MIN(F32,F42,F49)</f>
        <v>914630.2452</v>
      </c>
      <c r="G52" s="1937">
        <f>MIN(G32,G42,G49)</f>
        <v>820400</v>
      </c>
      <c r="H52" s="1011"/>
      <c r="I52" s="1740"/>
    </row>
    <row r="53" spans="2:17" ht="9" customHeight="1" thickBot="1" x14ac:dyDescent="0.3">
      <c r="B53" s="1015"/>
      <c r="C53" s="1016"/>
      <c r="D53" s="1016"/>
      <c r="E53" s="2423"/>
      <c r="F53" s="2423"/>
      <c r="G53" s="2424"/>
      <c r="H53" s="1017"/>
    </row>
  </sheetData>
  <sheetProtection algorithmName="SHA-512" hashValue="E331gUusyjkBeh6Vq0HBfOpE14UkqK00MpCp2Nhh1bvsC8+HaDRoM0qSgA5gaiJEkfh0gaS20Q25GoFl05C46Q==" saltValue="MjZdAJgkBPbrJ0ZZNR0GEg==" spinCount="100000" sheet="1" objects="1" scenarios="1" formatCells="0" formatColumns="0" formatRows="0"/>
  <mergeCells count="4">
    <mergeCell ref="C7:G7"/>
    <mergeCell ref="D19:E19"/>
    <mergeCell ref="E53:G53"/>
    <mergeCell ref="D12:E12"/>
  </mergeCells>
  <dataValidations count="2">
    <dataValidation type="list" allowBlank="1" showInputMessage="1" showErrorMessage="1" promptTitle="Basis Boost" prompt="Select &quot;Yes&quot; or &quot;No&quot; for form to calculate correctly" sqref="F12">
      <formula1>"Yes,No"</formula1>
    </dataValidation>
    <dataValidation type="list" allowBlank="1" showInputMessage="1" showErrorMessage="1" sqref="F44:G44">
      <formula1>"Yes,No"</formula1>
    </dataValidation>
  </dataValidations>
  <pageMargins left="0.7" right="0.7" top="0.75" bottom="0.75" header="0.3" footer="0.3"/>
  <pageSetup scale="93" orientation="portrait" r:id="rId1"/>
  <headerFooter>
    <oddFooter>&amp;LForm 6D
LIHTC Calculation&amp;CCFA Forms&amp;REdition: 2015
Version: 1.0</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topLeftCell="A42" zoomScaleNormal="100" workbookViewId="0">
      <selection activeCell="A47" sqref="A47"/>
    </sheetView>
  </sheetViews>
  <sheetFormatPr defaultColWidth="9.140625" defaultRowHeight="15" x14ac:dyDescent="0.25"/>
  <cols>
    <col min="1" max="2" width="1.7109375" style="734" customWidth="1"/>
    <col min="3" max="3" width="2.85546875" style="734" customWidth="1"/>
    <col min="4" max="4" width="14.28515625" style="734" customWidth="1"/>
    <col min="5" max="5" width="9.140625" style="734"/>
    <col min="6" max="6" width="4.28515625" style="734" customWidth="1"/>
    <col min="7" max="7" width="4.28515625" style="734" bestFit="1" customWidth="1"/>
    <col min="8" max="9" width="11.42578125" style="734" customWidth="1"/>
    <col min="10" max="10" width="31.42578125" style="806" customWidth="1"/>
    <col min="11" max="11" width="1.7109375" style="806" customWidth="1"/>
    <col min="12" max="16384" width="9.140625" style="734"/>
  </cols>
  <sheetData>
    <row r="1" spans="2:11" ht="15.75" thickBot="1" x14ac:dyDescent="0.3"/>
    <row r="2" spans="2:11" s="806" customFormat="1" x14ac:dyDescent="0.25">
      <c r="B2" s="1577"/>
      <c r="C2" s="1578"/>
      <c r="D2" s="1578"/>
      <c r="E2" s="1578"/>
      <c r="F2" s="1578"/>
      <c r="G2" s="1578"/>
      <c r="H2" s="1578"/>
      <c r="I2" s="1578"/>
      <c r="J2" s="1578"/>
      <c r="K2" s="1579"/>
    </row>
    <row r="3" spans="2:11" s="1645" customFormat="1" ht="18.75" x14ac:dyDescent="0.3">
      <c r="B3" s="1018"/>
      <c r="C3" s="2426" t="s">
        <v>1355</v>
      </c>
      <c r="D3" s="2426"/>
      <c r="E3" s="2426"/>
      <c r="F3" s="2426"/>
      <c r="G3" s="2426"/>
      <c r="H3" s="2426"/>
      <c r="I3" s="2426"/>
      <c r="J3" s="2426"/>
      <c r="K3" s="1644"/>
    </row>
    <row r="4" spans="2:11" s="806" customFormat="1" x14ac:dyDescent="0.25">
      <c r="B4" s="1580"/>
      <c r="C4" s="1582"/>
      <c r="D4" s="1582"/>
      <c r="E4" s="1582"/>
      <c r="F4" s="1582"/>
      <c r="G4" s="1582"/>
      <c r="H4" s="1582"/>
      <c r="I4" s="1582"/>
      <c r="J4" s="1582"/>
      <c r="K4" s="1581"/>
    </row>
    <row r="5" spans="2:11" s="806" customFormat="1" x14ac:dyDescent="0.25">
      <c r="B5" s="1580"/>
      <c r="C5" s="1583"/>
      <c r="D5" s="1584" t="s">
        <v>1</v>
      </c>
      <c r="E5" s="1585" t="str">
        <f>IF('1A'!G5="","Enter Project Name on Form 1A",'1A'!G5)</f>
        <v xml:space="preserve">Building 9 </v>
      </c>
      <c r="F5" s="1586"/>
      <c r="G5" s="1586"/>
      <c r="H5" s="1586"/>
      <c r="I5" s="1586"/>
      <c r="J5" s="1586"/>
      <c r="K5" s="1581"/>
    </row>
    <row r="6" spans="2:11" s="806" customFormat="1" ht="15" customHeight="1" thickBot="1" x14ac:dyDescent="0.3">
      <c r="B6" s="1580"/>
      <c r="C6" s="1582"/>
      <c r="D6" s="1582"/>
      <c r="E6" s="1582"/>
      <c r="F6" s="1582"/>
      <c r="G6" s="1582"/>
      <c r="H6" s="1582"/>
      <c r="I6" s="1582"/>
      <c r="J6" s="1582"/>
      <c r="K6" s="1581"/>
    </row>
    <row r="7" spans="2:11" s="806" customFormat="1" ht="15.75" thickBot="1" x14ac:dyDescent="0.3">
      <c r="B7" s="1580"/>
      <c r="C7" s="1587" t="s">
        <v>275</v>
      </c>
      <c r="D7" s="1588"/>
      <c r="E7" s="1588"/>
      <c r="F7" s="1589" t="s">
        <v>276</v>
      </c>
      <c r="G7" s="1590" t="s">
        <v>277</v>
      </c>
      <c r="H7" s="1590" t="s">
        <v>278</v>
      </c>
      <c r="I7" s="1590" t="s">
        <v>101</v>
      </c>
      <c r="J7" s="1591" t="s">
        <v>279</v>
      </c>
      <c r="K7" s="1592"/>
    </row>
    <row r="8" spans="2:11" s="806" customFormat="1" ht="15.75" thickBot="1" x14ac:dyDescent="0.3">
      <c r="B8" s="1580"/>
      <c r="C8" s="1593" t="s">
        <v>280</v>
      </c>
      <c r="D8" s="1593"/>
      <c r="E8" s="1593"/>
      <c r="F8" s="1594"/>
      <c r="G8" s="1594"/>
      <c r="H8" s="1594"/>
      <c r="I8" s="1582"/>
      <c r="J8" s="1582"/>
      <c r="K8" s="1581"/>
    </row>
    <row r="9" spans="2:11" s="806" customFormat="1" ht="15.75" thickBot="1" x14ac:dyDescent="0.3">
      <c r="B9" s="1580"/>
      <c r="C9" s="1595"/>
      <c r="D9" s="1595" t="s">
        <v>281</v>
      </c>
      <c r="E9" s="1595"/>
      <c r="F9" s="1596"/>
      <c r="G9" s="1597"/>
      <c r="H9" s="1597"/>
      <c r="I9" s="1598">
        <f>F9*H9</f>
        <v>0</v>
      </c>
      <c r="J9" s="1599"/>
      <c r="K9" s="1581"/>
    </row>
    <row r="10" spans="2:11" s="806" customFormat="1" ht="15.75" thickBot="1" x14ac:dyDescent="0.3">
      <c r="B10" s="1580"/>
      <c r="C10" s="1595"/>
      <c r="D10" s="1595"/>
      <c r="E10" s="1595"/>
      <c r="F10" s="1600"/>
      <c r="G10" s="1600"/>
      <c r="H10" s="1601"/>
      <c r="I10" s="1602">
        <f>I9</f>
        <v>0</v>
      </c>
      <c r="J10" s="1603"/>
      <c r="K10" s="1581"/>
    </row>
    <row r="11" spans="2:11" s="806" customFormat="1" ht="3.75" customHeight="1" x14ac:dyDescent="0.25">
      <c r="B11" s="1580"/>
      <c r="C11" s="1595"/>
      <c r="D11" s="1595"/>
      <c r="E11" s="1595"/>
      <c r="F11" s="1594"/>
      <c r="G11" s="1594"/>
      <c r="H11" s="1594"/>
      <c r="I11" s="1582"/>
      <c r="J11" s="1582"/>
      <c r="K11" s="1581"/>
    </row>
    <row r="12" spans="2:11" s="806" customFormat="1" ht="15.75" thickBot="1" x14ac:dyDescent="0.3">
      <c r="B12" s="1580"/>
      <c r="C12" s="1593" t="s">
        <v>282</v>
      </c>
      <c r="D12" s="1593"/>
      <c r="E12" s="1593"/>
      <c r="F12" s="1594"/>
      <c r="G12" s="1594"/>
      <c r="H12" s="1594"/>
      <c r="I12" s="1582"/>
      <c r="J12" s="1582"/>
      <c r="K12" s="1581"/>
    </row>
    <row r="13" spans="2:11" s="806" customFormat="1" x14ac:dyDescent="0.25">
      <c r="B13" s="1580"/>
      <c r="C13" s="1595"/>
      <c r="D13" s="1595" t="s">
        <v>283</v>
      </c>
      <c r="E13" s="1595"/>
      <c r="F13" s="1604"/>
      <c r="G13" s="1605"/>
      <c r="H13" s="1605"/>
      <c r="I13" s="1606">
        <f t="shared" ref="I13:I20" si="0">F13*H13</f>
        <v>0</v>
      </c>
      <c r="J13" s="1607"/>
      <c r="K13" s="1581"/>
    </row>
    <row r="14" spans="2:11" s="806" customFormat="1" x14ac:dyDescent="0.25">
      <c r="B14" s="1580"/>
      <c r="C14" s="1595"/>
      <c r="D14" s="1595" t="s">
        <v>284</v>
      </c>
      <c r="E14" s="1595"/>
      <c r="F14" s="1608"/>
      <c r="G14" s="1609"/>
      <c r="H14" s="1609"/>
      <c r="I14" s="1610">
        <f t="shared" si="0"/>
        <v>0</v>
      </c>
      <c r="J14" s="1611"/>
      <c r="K14" s="1581"/>
    </row>
    <row r="15" spans="2:11" s="806" customFormat="1" x14ac:dyDescent="0.25">
      <c r="B15" s="1580"/>
      <c r="C15" s="1595"/>
      <c r="D15" s="1595" t="s">
        <v>285</v>
      </c>
      <c r="E15" s="1595"/>
      <c r="F15" s="1608"/>
      <c r="G15" s="1609"/>
      <c r="H15" s="1609"/>
      <c r="I15" s="1610">
        <f t="shared" si="0"/>
        <v>0</v>
      </c>
      <c r="J15" s="1611"/>
      <c r="K15" s="1581"/>
    </row>
    <row r="16" spans="2:11" s="806" customFormat="1" x14ac:dyDescent="0.25">
      <c r="B16" s="1580"/>
      <c r="C16" s="1595"/>
      <c r="D16" s="1595" t="s">
        <v>117</v>
      </c>
      <c r="E16" s="1595"/>
      <c r="F16" s="1608"/>
      <c r="G16" s="1609"/>
      <c r="H16" s="1609"/>
      <c r="I16" s="1610">
        <f t="shared" si="0"/>
        <v>0</v>
      </c>
      <c r="J16" s="1611"/>
      <c r="K16" s="1581"/>
    </row>
    <row r="17" spans="2:11" s="806" customFormat="1" x14ac:dyDescent="0.25">
      <c r="B17" s="1580"/>
      <c r="C17" s="1595"/>
      <c r="D17" s="1595" t="s">
        <v>286</v>
      </c>
      <c r="E17" s="1595"/>
      <c r="F17" s="1608"/>
      <c r="G17" s="1609"/>
      <c r="H17" s="1609"/>
      <c r="I17" s="1610">
        <f t="shared" si="0"/>
        <v>0</v>
      </c>
      <c r="J17" s="1611"/>
      <c r="K17" s="1581"/>
    </row>
    <row r="18" spans="2:11" s="806" customFormat="1" x14ac:dyDescent="0.25">
      <c r="B18" s="1580"/>
      <c r="C18" s="1595"/>
      <c r="D18" s="1595" t="s">
        <v>287</v>
      </c>
      <c r="E18" s="1595"/>
      <c r="F18" s="1608"/>
      <c r="G18" s="1609"/>
      <c r="H18" s="1609"/>
      <c r="I18" s="1610">
        <f t="shared" si="0"/>
        <v>0</v>
      </c>
      <c r="J18" s="1611"/>
      <c r="K18" s="1581"/>
    </row>
    <row r="19" spans="2:11" s="806" customFormat="1" x14ac:dyDescent="0.25">
      <c r="B19" s="1580"/>
      <c r="C19" s="1595"/>
      <c r="D19" s="1595" t="s">
        <v>240</v>
      </c>
      <c r="E19" s="1595"/>
      <c r="F19" s="1608"/>
      <c r="G19" s="1609"/>
      <c r="H19" s="1609"/>
      <c r="I19" s="1610">
        <f t="shared" si="0"/>
        <v>0</v>
      </c>
      <c r="J19" s="1611"/>
      <c r="K19" s="1581"/>
    </row>
    <row r="20" spans="2:11" s="806" customFormat="1" ht="15.75" thickBot="1" x14ac:dyDescent="0.3">
      <c r="B20" s="1580"/>
      <c r="C20" s="1595"/>
      <c r="D20" s="1595" t="s">
        <v>288</v>
      </c>
      <c r="E20" s="1595"/>
      <c r="F20" s="1612"/>
      <c r="G20" s="1613"/>
      <c r="H20" s="1613"/>
      <c r="I20" s="1614">
        <f t="shared" si="0"/>
        <v>0</v>
      </c>
      <c r="J20" s="1615"/>
      <c r="K20" s="1581"/>
    </row>
    <row r="21" spans="2:11" s="806" customFormat="1" ht="15.75" thickBot="1" x14ac:dyDescent="0.3">
      <c r="B21" s="1580"/>
      <c r="C21" s="1595"/>
      <c r="D21" s="1595"/>
      <c r="E21" s="1595"/>
      <c r="F21" s="1600"/>
      <c r="G21" s="1600"/>
      <c r="H21" s="1616" t="s">
        <v>167</v>
      </c>
      <c r="I21" s="1617">
        <f>SUM(I13:I20)</f>
        <v>0</v>
      </c>
      <c r="J21" s="1618"/>
      <c r="K21" s="1581"/>
    </row>
    <row r="22" spans="2:11" s="806" customFormat="1" ht="3.75" customHeight="1" x14ac:dyDescent="0.25">
      <c r="B22" s="1580"/>
      <c r="C22" s="1595"/>
      <c r="D22" s="1595"/>
      <c r="E22" s="1595"/>
      <c r="F22" s="1594"/>
      <c r="G22" s="1594"/>
      <c r="H22" s="1594"/>
      <c r="I22" s="1582"/>
      <c r="J22" s="1582"/>
      <c r="K22" s="1581"/>
    </row>
    <row r="23" spans="2:11" s="806" customFormat="1" ht="15.75" thickBot="1" x14ac:dyDescent="0.3">
      <c r="B23" s="1580"/>
      <c r="C23" s="1593" t="s">
        <v>289</v>
      </c>
      <c r="D23" s="1593"/>
      <c r="E23" s="1593"/>
      <c r="F23" s="1594"/>
      <c r="G23" s="1594"/>
      <c r="H23" s="1594"/>
      <c r="I23" s="1582"/>
      <c r="J23" s="1582"/>
      <c r="K23" s="1581"/>
    </row>
    <row r="24" spans="2:11" s="806" customFormat="1" x14ac:dyDescent="0.25">
      <c r="B24" s="1580"/>
      <c r="C24" s="1595"/>
      <c r="D24" s="1595" t="s">
        <v>290</v>
      </c>
      <c r="E24" s="1595"/>
      <c r="F24" s="1604"/>
      <c r="G24" s="1605"/>
      <c r="H24" s="1605"/>
      <c r="I24" s="1606">
        <f t="shared" ref="I24:I31" si="1">F24*H24</f>
        <v>0</v>
      </c>
      <c r="J24" s="1607"/>
      <c r="K24" s="1581"/>
    </row>
    <row r="25" spans="2:11" s="806" customFormat="1" x14ac:dyDescent="0.25">
      <c r="B25" s="1580"/>
      <c r="C25" s="1595"/>
      <c r="D25" s="1595" t="s">
        <v>291</v>
      </c>
      <c r="E25" s="1595"/>
      <c r="F25" s="1608"/>
      <c r="G25" s="1609"/>
      <c r="H25" s="1609"/>
      <c r="I25" s="1610">
        <f t="shared" si="1"/>
        <v>0</v>
      </c>
      <c r="J25" s="1611"/>
      <c r="K25" s="1581"/>
    </row>
    <row r="26" spans="2:11" s="806" customFormat="1" x14ac:dyDescent="0.25">
      <c r="B26" s="1580"/>
      <c r="C26" s="1595"/>
      <c r="D26" s="1595" t="s">
        <v>292</v>
      </c>
      <c r="E26" s="1595"/>
      <c r="F26" s="1608"/>
      <c r="G26" s="1609"/>
      <c r="H26" s="1609"/>
      <c r="I26" s="1610">
        <f t="shared" si="1"/>
        <v>0</v>
      </c>
      <c r="J26" s="1611"/>
      <c r="K26" s="1581"/>
    </row>
    <row r="27" spans="2:11" s="806" customFormat="1" x14ac:dyDescent="0.25">
      <c r="B27" s="1580"/>
      <c r="C27" s="1595"/>
      <c r="D27" s="1595" t="s">
        <v>293</v>
      </c>
      <c r="E27" s="1595"/>
      <c r="F27" s="1619"/>
      <c r="G27" s="1620"/>
      <c r="H27" s="1620"/>
      <c r="I27" s="1610">
        <f t="shared" si="1"/>
        <v>0</v>
      </c>
      <c r="J27" s="1621"/>
      <c r="K27" s="1581"/>
    </row>
    <row r="28" spans="2:11" s="806" customFormat="1" x14ac:dyDescent="0.25">
      <c r="B28" s="1580"/>
      <c r="C28" s="1595"/>
      <c r="D28" s="1595" t="s">
        <v>294</v>
      </c>
      <c r="E28" s="1595"/>
      <c r="F28" s="1608"/>
      <c r="G28" s="1609"/>
      <c r="H28" s="1609"/>
      <c r="I28" s="1610">
        <f t="shared" si="1"/>
        <v>0</v>
      </c>
      <c r="J28" s="1611"/>
      <c r="K28" s="1581"/>
    </row>
    <row r="29" spans="2:11" s="806" customFormat="1" x14ac:dyDescent="0.25">
      <c r="B29" s="1580"/>
      <c r="C29" s="1595"/>
      <c r="D29" s="1595" t="s">
        <v>295</v>
      </c>
      <c r="E29" s="1595"/>
      <c r="F29" s="1608"/>
      <c r="G29" s="1609"/>
      <c r="H29" s="1609"/>
      <c r="I29" s="1610">
        <f t="shared" si="1"/>
        <v>0</v>
      </c>
      <c r="J29" s="1611"/>
      <c r="K29" s="1581"/>
    </row>
    <row r="30" spans="2:11" s="806" customFormat="1" x14ac:dyDescent="0.25">
      <c r="B30" s="1580"/>
      <c r="C30" s="1595"/>
      <c r="D30" s="1595" t="s">
        <v>296</v>
      </c>
      <c r="E30" s="1595"/>
      <c r="F30" s="1608"/>
      <c r="G30" s="1609"/>
      <c r="H30" s="1609"/>
      <c r="I30" s="1610">
        <f t="shared" si="1"/>
        <v>0</v>
      </c>
      <c r="J30" s="1611"/>
      <c r="K30" s="1581"/>
    </row>
    <row r="31" spans="2:11" s="806" customFormat="1" ht="15.75" thickBot="1" x14ac:dyDescent="0.3">
      <c r="B31" s="1580"/>
      <c r="C31" s="1595"/>
      <c r="D31" s="1595" t="s">
        <v>297</v>
      </c>
      <c r="E31" s="1595"/>
      <c r="F31" s="1622"/>
      <c r="G31" s="1623"/>
      <c r="H31" s="1623"/>
      <c r="I31" s="1614">
        <f t="shared" si="1"/>
        <v>0</v>
      </c>
      <c r="J31" s="1615"/>
      <c r="K31" s="1581"/>
    </row>
    <row r="32" spans="2:11" s="806" customFormat="1" ht="15.75" thickBot="1" x14ac:dyDescent="0.3">
      <c r="B32" s="1580"/>
      <c r="C32" s="1595"/>
      <c r="D32" s="1595"/>
      <c r="E32" s="1595"/>
      <c r="F32" s="1600"/>
      <c r="G32" s="1600"/>
      <c r="H32" s="1616" t="s">
        <v>167</v>
      </c>
      <c r="I32" s="1602">
        <f>SUM(I24:I31)</f>
        <v>0</v>
      </c>
      <c r="J32" s="1603"/>
      <c r="K32" s="1581"/>
    </row>
    <row r="33" spans="1:11" s="806" customFormat="1" ht="3.75" customHeight="1" x14ac:dyDescent="0.25">
      <c r="B33" s="1580"/>
      <c r="C33" s="1595"/>
      <c r="D33" s="1595"/>
      <c r="E33" s="1595"/>
      <c r="F33" s="1594"/>
      <c r="G33" s="1594"/>
      <c r="H33" s="1594"/>
      <c r="I33" s="1582"/>
      <c r="J33" s="1582"/>
      <c r="K33" s="1581"/>
    </row>
    <row r="34" spans="1:11" s="806" customFormat="1" ht="15.75" thickBot="1" x14ac:dyDescent="0.3">
      <c r="B34" s="1580"/>
      <c r="C34" s="1593" t="s">
        <v>298</v>
      </c>
      <c r="D34" s="1593"/>
      <c r="E34" s="1593"/>
      <c r="F34" s="1594"/>
      <c r="G34" s="1594"/>
      <c r="H34" s="1594"/>
      <c r="I34" s="1582"/>
      <c r="J34" s="1582"/>
      <c r="K34" s="1581"/>
    </row>
    <row r="35" spans="1:11" s="806" customFormat="1" x14ac:dyDescent="0.25">
      <c r="B35" s="1580"/>
      <c r="C35" s="1595"/>
      <c r="D35" s="1595" t="s">
        <v>299</v>
      </c>
      <c r="E35" s="1595"/>
      <c r="F35" s="1604"/>
      <c r="G35" s="1605"/>
      <c r="H35" s="1605"/>
      <c r="I35" s="1606">
        <f>F35*H35</f>
        <v>0</v>
      </c>
      <c r="J35" s="1607"/>
      <c r="K35" s="1581"/>
    </row>
    <row r="36" spans="1:11" s="806" customFormat="1" x14ac:dyDescent="0.25">
      <c r="B36" s="1580"/>
      <c r="C36" s="1595"/>
      <c r="D36" s="1595" t="s">
        <v>300</v>
      </c>
      <c r="E36" s="1595"/>
      <c r="F36" s="1608"/>
      <c r="G36" s="1609"/>
      <c r="H36" s="1609"/>
      <c r="I36" s="1610">
        <f>F36*H36</f>
        <v>0</v>
      </c>
      <c r="J36" s="1611"/>
      <c r="K36" s="1581"/>
    </row>
    <row r="37" spans="1:11" x14ac:dyDescent="0.25">
      <c r="A37" s="806"/>
      <c r="B37" s="1580"/>
      <c r="C37" s="1595"/>
      <c r="D37" s="1595" t="s">
        <v>301</v>
      </c>
      <c r="E37" s="1595"/>
      <c r="F37" s="1624"/>
      <c r="G37" s="1625"/>
      <c r="H37" s="1625"/>
      <c r="I37" s="1625"/>
      <c r="J37" s="1626"/>
      <c r="K37" s="1581"/>
    </row>
    <row r="38" spans="1:11" s="806" customFormat="1" x14ac:dyDescent="0.25">
      <c r="B38" s="1580"/>
      <c r="C38" s="1595"/>
      <c r="D38" s="2425" t="s">
        <v>1072</v>
      </c>
      <c r="E38" s="2425"/>
      <c r="F38" s="1608"/>
      <c r="G38" s="1609"/>
      <c r="H38" s="1609"/>
      <c r="I38" s="1610">
        <f>F38*H38</f>
        <v>0</v>
      </c>
      <c r="J38" s="1611"/>
      <c r="K38" s="1581"/>
    </row>
    <row r="39" spans="1:11" s="806" customFormat="1" ht="15.75" thickBot="1" x14ac:dyDescent="0.3">
      <c r="B39" s="1580"/>
      <c r="C39" s="1595"/>
      <c r="D39" s="2425" t="s">
        <v>1073</v>
      </c>
      <c r="E39" s="2425"/>
      <c r="F39" s="1622"/>
      <c r="G39" s="1623"/>
      <c r="H39" s="1623"/>
      <c r="I39" s="1614">
        <f>F39*H39</f>
        <v>0</v>
      </c>
      <c r="J39" s="1615"/>
      <c r="K39" s="1581"/>
    </row>
    <row r="40" spans="1:11" s="806" customFormat="1" ht="15.75" thickBot="1" x14ac:dyDescent="0.3">
      <c r="B40" s="1580"/>
      <c r="C40" s="1595"/>
      <c r="D40" s="1595"/>
      <c r="E40" s="1595"/>
      <c r="F40" s="1600"/>
      <c r="G40" s="1600"/>
      <c r="H40" s="1616" t="s">
        <v>167</v>
      </c>
      <c r="I40" s="1602">
        <f>SUM(I35:I36)+SUM(I38:I39)</f>
        <v>0</v>
      </c>
      <c r="J40" s="1603"/>
      <c r="K40" s="1581"/>
    </row>
    <row r="41" spans="1:11" s="806" customFormat="1" ht="3.75" customHeight="1" x14ac:dyDescent="0.25">
      <c r="B41" s="1580"/>
      <c r="C41" s="1595"/>
      <c r="D41" s="1595"/>
      <c r="E41" s="1595"/>
      <c r="F41" s="1594"/>
      <c r="G41" s="1594"/>
      <c r="H41" s="1594"/>
      <c r="I41" s="1582"/>
      <c r="J41" s="1582"/>
      <c r="K41" s="1581"/>
    </row>
    <row r="42" spans="1:11" s="806" customFormat="1" ht="15.75" thickBot="1" x14ac:dyDescent="0.3">
      <c r="B42" s="1580"/>
      <c r="C42" s="1593" t="s">
        <v>302</v>
      </c>
      <c r="D42" s="1593"/>
      <c r="E42" s="1593"/>
      <c r="F42" s="1594"/>
      <c r="G42" s="1594"/>
      <c r="H42" s="1594"/>
      <c r="I42" s="1582"/>
      <c r="J42" s="1582"/>
      <c r="K42" s="1581"/>
    </row>
    <row r="43" spans="1:11" s="806" customFormat="1" x14ac:dyDescent="0.25">
      <c r="B43" s="1580"/>
      <c r="C43" s="1595"/>
      <c r="D43" s="1595" t="s">
        <v>303</v>
      </c>
      <c r="E43" s="1595"/>
      <c r="F43" s="1604"/>
      <c r="G43" s="1605"/>
      <c r="H43" s="1605"/>
      <c r="I43" s="1606">
        <f>F43*H43</f>
        <v>0</v>
      </c>
      <c r="J43" s="1607"/>
      <c r="K43" s="1581"/>
    </row>
    <row r="44" spans="1:11" s="806" customFormat="1" x14ac:dyDescent="0.25">
      <c r="B44" s="1580"/>
      <c r="C44" s="1595"/>
      <c r="D44" s="1595" t="s">
        <v>304</v>
      </c>
      <c r="E44" s="1595"/>
      <c r="F44" s="1608"/>
      <c r="G44" s="1609"/>
      <c r="H44" s="1609"/>
      <c r="I44" s="1610">
        <f>F44*H44</f>
        <v>0</v>
      </c>
      <c r="J44" s="1611"/>
      <c r="K44" s="1581"/>
    </row>
    <row r="45" spans="1:11" s="806" customFormat="1" x14ac:dyDescent="0.25">
      <c r="B45" s="1580"/>
      <c r="C45" s="1595"/>
      <c r="D45" s="1595" t="s">
        <v>284</v>
      </c>
      <c r="E45" s="1595"/>
      <c r="F45" s="1608"/>
      <c r="G45" s="1609"/>
      <c r="H45" s="1609"/>
      <c r="I45" s="1610">
        <f>F45*H45</f>
        <v>0</v>
      </c>
      <c r="J45" s="1611"/>
      <c r="K45" s="1581"/>
    </row>
    <row r="46" spans="1:11" s="806" customFormat="1" ht="15.75" thickBot="1" x14ac:dyDescent="0.3">
      <c r="B46" s="1580"/>
      <c r="C46" s="1595"/>
      <c r="D46" s="1595" t="s">
        <v>305</v>
      </c>
      <c r="E46" s="1595"/>
      <c r="F46" s="1612"/>
      <c r="G46" s="1613"/>
      <c r="H46" s="1613"/>
      <c r="I46" s="1614">
        <f>F46*H46</f>
        <v>0</v>
      </c>
      <c r="J46" s="1615"/>
      <c r="K46" s="1581"/>
    </row>
    <row r="47" spans="1:11" s="806" customFormat="1" ht="15.75" thickBot="1" x14ac:dyDescent="0.3">
      <c r="B47" s="1580"/>
      <c r="C47" s="1595"/>
      <c r="D47" s="1595"/>
      <c r="E47" s="1595"/>
      <c r="F47" s="1600"/>
      <c r="G47" s="1600"/>
      <c r="H47" s="1616" t="s">
        <v>167</v>
      </c>
      <c r="I47" s="1602">
        <f>SUM(I43:I46)</f>
        <v>0</v>
      </c>
      <c r="J47" s="1603"/>
      <c r="K47" s="1581"/>
    </row>
    <row r="48" spans="1:11" s="806" customFormat="1" ht="3.75" customHeight="1" x14ac:dyDescent="0.25">
      <c r="B48" s="1580"/>
      <c r="C48" s="1595"/>
      <c r="D48" s="1595"/>
      <c r="E48" s="1595"/>
      <c r="F48" s="1594"/>
      <c r="G48" s="1594"/>
      <c r="H48" s="1594"/>
      <c r="I48" s="1582"/>
      <c r="J48" s="1582"/>
      <c r="K48" s="1581"/>
    </row>
    <row r="49" spans="2:11" s="806" customFormat="1" ht="15.75" thickBot="1" x14ac:dyDescent="0.3">
      <c r="B49" s="1580"/>
      <c r="C49" s="1593" t="s">
        <v>240</v>
      </c>
      <c r="D49" s="1593"/>
      <c r="E49" s="1593"/>
      <c r="F49" s="1627"/>
      <c r="G49" s="1627"/>
      <c r="H49" s="1627"/>
      <c r="I49" s="1628"/>
      <c r="J49" s="1629"/>
      <c r="K49" s="1581"/>
    </row>
    <row r="50" spans="2:11" s="806" customFormat="1" ht="15.75" thickBot="1" x14ac:dyDescent="0.3">
      <c r="B50" s="1580"/>
      <c r="C50" s="1595"/>
      <c r="D50" s="1595"/>
      <c r="E50" s="1595"/>
      <c r="F50" s="1630"/>
      <c r="G50" s="1631"/>
      <c r="H50" s="1631"/>
      <c r="I50" s="1632">
        <f>F50*H50</f>
        <v>0</v>
      </c>
      <c r="J50" s="1599"/>
      <c r="K50" s="1581"/>
    </row>
    <row r="51" spans="2:11" s="806" customFormat="1" ht="15.75" thickBot="1" x14ac:dyDescent="0.3">
      <c r="B51" s="1580"/>
      <c r="C51" s="1595"/>
      <c r="D51" s="1595"/>
      <c r="E51" s="1595"/>
      <c r="F51" s="1600"/>
      <c r="G51" s="1600"/>
      <c r="H51" s="1616" t="s">
        <v>167</v>
      </c>
      <c r="I51" s="1602">
        <f>SUM(I50)</f>
        <v>0</v>
      </c>
      <c r="J51" s="1603"/>
      <c r="K51" s="1581"/>
    </row>
    <row r="52" spans="2:11" s="806" customFormat="1" ht="7.5" customHeight="1" thickBot="1" x14ac:dyDescent="0.3">
      <c r="B52" s="1580"/>
      <c r="C52" s="1595"/>
      <c r="D52" s="1595"/>
      <c r="E52" s="1595"/>
      <c r="F52" s="1594"/>
      <c r="G52" s="1594"/>
      <c r="H52" s="1594"/>
      <c r="I52" s="1594"/>
      <c r="J52" s="1594"/>
      <c r="K52" s="1581"/>
    </row>
    <row r="53" spans="2:11" ht="15.75" thickBot="1" x14ac:dyDescent="0.3">
      <c r="B53" s="1580"/>
      <c r="C53" s="1633" t="s">
        <v>66</v>
      </c>
      <c r="D53" s="1634"/>
      <c r="E53" s="1635"/>
      <c r="F53" s="1636"/>
      <c r="G53" s="1636"/>
      <c r="H53" s="1637"/>
      <c r="I53" s="1638">
        <f>I10+I21+I32+I40+I47+I51</f>
        <v>0</v>
      </c>
      <c r="J53" s="1639" t="str">
        <f>IF(I53&lt;&gt;'6A'!J98,"WARNING: Does not match Form 6A","")</f>
        <v>WARNING: Does not match Form 6A</v>
      </c>
      <c r="K53" s="1581"/>
    </row>
    <row r="54" spans="2:11" s="806" customFormat="1" ht="9" customHeight="1" thickBot="1" x14ac:dyDescent="0.3">
      <c r="B54" s="1640"/>
      <c r="C54" s="1641"/>
      <c r="D54" s="1641"/>
      <c r="E54" s="1641"/>
      <c r="F54" s="1641"/>
      <c r="G54" s="1641"/>
      <c r="H54" s="1641"/>
      <c r="I54" s="1642" t="s">
        <v>35</v>
      </c>
      <c r="J54" s="1641"/>
      <c r="K54" s="1643"/>
    </row>
  </sheetData>
  <sheetProtection formatCells="0" formatColumns="0" formatRows="0"/>
  <mergeCells count="3">
    <mergeCell ref="D38:E38"/>
    <mergeCell ref="D39:E39"/>
    <mergeCell ref="C3:J3"/>
  </mergeCells>
  <pageMargins left="0.7" right="0.7" top="0.75" bottom="0.75" header="0.3" footer="0.3"/>
  <pageSetup scale="94" orientation="portrait" r:id="rId1"/>
  <headerFooter>
    <oddFooter>&amp;LForm 6E
Fee Schedule&amp;CCFA Forms&amp;REdition: 2015
Version: 1.0</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7:P61"/>
  <sheetViews>
    <sheetView showGridLines="0" topLeftCell="A4" zoomScaleNormal="100" workbookViewId="0">
      <selection activeCell="E43" sqref="E43:E44"/>
    </sheetView>
  </sheetViews>
  <sheetFormatPr defaultColWidth="9.140625" defaultRowHeight="15" x14ac:dyDescent="0.25"/>
  <cols>
    <col min="1" max="2" width="1.7109375" style="735" customWidth="1"/>
    <col min="3" max="3" width="14.28515625" style="735" customWidth="1"/>
    <col min="4" max="4" width="25.28515625" style="735" customWidth="1"/>
    <col min="5" max="5" width="21.85546875" style="735" bestFit="1" customWidth="1"/>
    <col min="6" max="6" width="23" style="735" bestFit="1" customWidth="1"/>
    <col min="7" max="7" width="13" style="735" customWidth="1"/>
    <col min="8" max="8" width="10.42578125" style="735" bestFit="1" customWidth="1"/>
    <col min="9" max="9" width="13.85546875" style="735" customWidth="1"/>
    <col min="10" max="10" width="15.42578125" style="735" customWidth="1"/>
    <col min="11" max="11" width="10.42578125" style="735" bestFit="1" customWidth="1"/>
    <col min="12" max="12" width="8.5703125" style="735" customWidth="1"/>
    <col min="13" max="13" width="15.42578125" style="735" bestFit="1" customWidth="1"/>
    <col min="14" max="14" width="15" style="735" bestFit="1" customWidth="1"/>
    <col min="15" max="15" width="1.7109375" style="735" customWidth="1"/>
    <col min="16" max="16384" width="9.140625" style="735"/>
  </cols>
  <sheetData>
    <row r="7" spans="2:15" ht="9" customHeight="1" thickBot="1" x14ac:dyDescent="0.3"/>
    <row r="8" spans="2:15" ht="9" customHeight="1" x14ac:dyDescent="0.25">
      <c r="B8" s="1020"/>
      <c r="C8" s="1021"/>
      <c r="D8" s="1021"/>
      <c r="E8" s="1022"/>
      <c r="F8" s="1022"/>
      <c r="G8" s="1022"/>
      <c r="H8" s="1021"/>
      <c r="I8" s="1021"/>
      <c r="J8" s="1021"/>
      <c r="K8" s="1021"/>
      <c r="L8" s="1021"/>
      <c r="M8" s="1021"/>
      <c r="N8" s="1021"/>
      <c r="O8" s="1023"/>
    </row>
    <row r="9" spans="2:15" ht="18.75" x14ac:dyDescent="0.3">
      <c r="B9" s="1024"/>
      <c r="C9" s="2323" t="s">
        <v>1063</v>
      </c>
      <c r="D9" s="2323"/>
      <c r="E9" s="2323"/>
      <c r="F9" s="2323"/>
      <c r="G9" s="2323"/>
      <c r="H9" s="2323"/>
      <c r="I9" s="2323"/>
      <c r="J9" s="2323"/>
      <c r="K9" s="2323"/>
      <c r="L9" s="2323"/>
      <c r="M9" s="2323"/>
      <c r="N9" s="2323"/>
      <c r="O9" s="1025"/>
    </row>
    <row r="10" spans="2:15" x14ac:dyDescent="0.25">
      <c r="B10" s="1024"/>
      <c r="C10" s="297"/>
      <c r="D10" s="297"/>
      <c r="E10" s="701"/>
      <c r="F10" s="701"/>
      <c r="G10" s="701"/>
      <c r="H10" s="297"/>
      <c r="I10" s="297"/>
      <c r="J10" s="297"/>
      <c r="K10" s="297"/>
      <c r="L10" s="297"/>
      <c r="M10" s="297"/>
      <c r="N10" s="297"/>
      <c r="O10" s="1025"/>
    </row>
    <row r="11" spans="2:15" x14ac:dyDescent="0.25">
      <c r="B11" s="1024"/>
      <c r="C11" s="810" t="s">
        <v>63</v>
      </c>
      <c r="D11" s="1026" t="str">
        <f>IF('1A'!G5="","Enter Project Name on Form 1A",'1A'!G5)</f>
        <v xml:space="preserve">Building 9 </v>
      </c>
      <c r="E11" s="1026"/>
      <c r="F11" s="1026"/>
      <c r="G11" s="1027"/>
      <c r="H11" s="979"/>
      <c r="I11" s="297"/>
      <c r="J11" s="297"/>
      <c r="K11" s="297"/>
      <c r="L11" s="297"/>
      <c r="M11" s="297"/>
      <c r="N11" s="297"/>
      <c r="O11" s="1025"/>
    </row>
    <row r="12" spans="2:15" ht="22.7" customHeight="1" x14ac:dyDescent="0.25">
      <c r="B12" s="1024"/>
      <c r="C12" s="297"/>
      <c r="D12" s="297"/>
      <c r="E12" s="701"/>
      <c r="F12" s="701"/>
      <c r="G12" s="701"/>
      <c r="H12" s="297"/>
      <c r="I12" s="297"/>
      <c r="J12" s="297"/>
      <c r="K12" s="297"/>
      <c r="L12" s="297"/>
      <c r="M12" s="297"/>
      <c r="N12" s="297"/>
      <c r="O12" s="1025"/>
    </row>
    <row r="13" spans="2:15" ht="15.75" thickBot="1" x14ac:dyDescent="0.3">
      <c r="B13" s="1024"/>
      <c r="C13" s="810" t="s">
        <v>306</v>
      </c>
      <c r="D13" s="297"/>
      <c r="E13" s="1028"/>
      <c r="F13" s="1028"/>
      <c r="G13" s="1028"/>
      <c r="H13" s="979"/>
      <c r="I13" s="979"/>
      <c r="J13" s="297"/>
      <c r="K13" s="297"/>
      <c r="L13" s="297"/>
      <c r="M13" s="979"/>
      <c r="N13" s="979"/>
      <c r="O13" s="1029"/>
    </row>
    <row r="14" spans="2:15" ht="27" thickBot="1" x14ac:dyDescent="0.3">
      <c r="B14" s="1030"/>
      <c r="C14" s="2427" t="s">
        <v>307</v>
      </c>
      <c r="D14" s="2428"/>
      <c r="E14" s="1031" t="s">
        <v>308</v>
      </c>
      <c r="F14" s="1032" t="s">
        <v>309</v>
      </c>
      <c r="G14" s="1033" t="s">
        <v>310</v>
      </c>
      <c r="H14" s="1033" t="s">
        <v>653</v>
      </c>
      <c r="I14" s="1034" t="s">
        <v>311</v>
      </c>
      <c r="J14" s="2450" t="s">
        <v>312</v>
      </c>
      <c r="K14" s="2451"/>
      <c r="L14" s="297"/>
      <c r="M14" s="1035"/>
      <c r="N14" s="1035"/>
      <c r="O14" s="1036"/>
    </row>
    <row r="15" spans="2:15" x14ac:dyDescent="0.25">
      <c r="B15" s="1024"/>
      <c r="C15" s="2444" t="s">
        <v>1549</v>
      </c>
      <c r="D15" s="2445"/>
      <c r="E15" s="2139">
        <f>19779685+11176912</f>
        <v>30956597</v>
      </c>
      <c r="F15" s="242"/>
      <c r="G15" s="243"/>
      <c r="H15" s="244"/>
      <c r="I15" s="1056"/>
      <c r="J15" s="2452"/>
      <c r="K15" s="2453"/>
      <c r="L15" s="297"/>
      <c r="M15" s="297"/>
      <c r="N15" s="297"/>
      <c r="O15" s="1025"/>
    </row>
    <row r="16" spans="2:15" x14ac:dyDescent="0.25">
      <c r="B16" s="1024"/>
      <c r="C16" s="2446"/>
      <c r="D16" s="2447"/>
      <c r="E16" s="215"/>
      <c r="F16" s="216"/>
      <c r="G16" s="217"/>
      <c r="H16" s="218"/>
      <c r="I16" s="1057"/>
      <c r="J16" s="2454"/>
      <c r="K16" s="2455"/>
      <c r="L16" s="297"/>
      <c r="M16" s="297"/>
      <c r="N16" s="297"/>
      <c r="O16" s="1025"/>
    </row>
    <row r="17" spans="2:16" ht="15.75" thickBot="1" x14ac:dyDescent="0.3">
      <c r="B17" s="1024"/>
      <c r="C17" s="2448"/>
      <c r="D17" s="2449"/>
      <c r="E17" s="219"/>
      <c r="F17" s="220"/>
      <c r="G17" s="221"/>
      <c r="H17" s="222"/>
      <c r="I17" s="1058"/>
      <c r="J17" s="2456"/>
      <c r="K17" s="2457"/>
      <c r="L17" s="297"/>
      <c r="M17" s="297"/>
      <c r="N17" s="297"/>
      <c r="O17" s="1025"/>
    </row>
    <row r="18" spans="2:16" ht="15.75" thickBot="1" x14ac:dyDescent="0.3">
      <c r="B18" s="1024"/>
      <c r="C18" s="2458" t="s">
        <v>313</v>
      </c>
      <c r="D18" s="2459"/>
      <c r="E18" s="2138">
        <f>SUM(E15:E17)</f>
        <v>30956597</v>
      </c>
      <c r="F18" s="1037">
        <f>SUM(F15:F17)</f>
        <v>0</v>
      </c>
      <c r="G18" s="223"/>
      <c r="H18" s="297"/>
      <c r="I18" s="297"/>
      <c r="J18" s="297"/>
      <c r="K18" s="297"/>
      <c r="L18" s="297"/>
      <c r="M18" s="297"/>
      <c r="N18" s="297"/>
      <c r="O18" s="1025"/>
    </row>
    <row r="19" spans="2:16" ht="3.75" customHeight="1" thickBot="1" x14ac:dyDescent="0.3">
      <c r="B19" s="1024"/>
      <c r="C19" s="224"/>
      <c r="D19" s="297"/>
      <c r="E19" s="238"/>
      <c r="F19" s="238"/>
      <c r="G19" s="223"/>
      <c r="H19" s="297"/>
      <c r="I19" s="297"/>
      <c r="J19" s="297"/>
      <c r="K19" s="297"/>
      <c r="L19" s="297"/>
      <c r="M19" s="297"/>
      <c r="N19" s="297"/>
      <c r="O19" s="1025"/>
    </row>
    <row r="20" spans="2:16" ht="15.75" thickBot="1" x14ac:dyDescent="0.3">
      <c r="B20" s="1024"/>
      <c r="C20" s="1038"/>
      <c r="D20" s="1039" t="s">
        <v>314</v>
      </c>
      <c r="E20" s="714"/>
      <c r="F20" s="1715">
        <f>E18+F18</f>
        <v>30956597</v>
      </c>
      <c r="G20" s="701"/>
      <c r="H20" s="297"/>
      <c r="I20" s="297"/>
      <c r="J20" s="297"/>
      <c r="K20" s="297"/>
      <c r="L20" s="297"/>
      <c r="M20" s="297"/>
      <c r="N20" s="297"/>
      <c r="O20" s="1025"/>
    </row>
    <row r="21" spans="2:16" ht="7.5" customHeight="1" x14ac:dyDescent="0.25">
      <c r="B21" s="1024"/>
      <c r="C21" s="297"/>
      <c r="D21" s="297"/>
      <c r="E21" s="701"/>
      <c r="F21" s="701"/>
      <c r="G21" s="701"/>
      <c r="H21" s="297"/>
      <c r="I21" s="297"/>
      <c r="J21" s="297"/>
      <c r="K21" s="297"/>
      <c r="L21" s="297"/>
      <c r="M21" s="297"/>
      <c r="N21" s="297"/>
      <c r="O21" s="1025"/>
    </row>
    <row r="22" spans="2:16" ht="15.75" thickBot="1" x14ac:dyDescent="0.3">
      <c r="B22" s="1024"/>
      <c r="C22" s="810" t="s">
        <v>315</v>
      </c>
      <c r="D22" s="297"/>
      <c r="E22" s="1028"/>
      <c r="F22" s="1028"/>
      <c r="G22" s="1028"/>
      <c r="H22" s="979"/>
      <c r="I22" s="979"/>
      <c r="J22" s="297"/>
      <c r="K22" s="297"/>
      <c r="L22" s="297"/>
      <c r="M22" s="979"/>
      <c r="N22" s="979"/>
      <c r="O22" s="1029"/>
    </row>
    <row r="23" spans="2:16" ht="27" thickBot="1" x14ac:dyDescent="0.3">
      <c r="B23" s="1030"/>
      <c r="C23" s="2427" t="s">
        <v>316</v>
      </c>
      <c r="D23" s="2428"/>
      <c r="E23" s="1032" t="s">
        <v>308</v>
      </c>
      <c r="F23" s="1032" t="s">
        <v>309</v>
      </c>
      <c r="G23" s="1032" t="s">
        <v>317</v>
      </c>
      <c r="H23" s="1032" t="s">
        <v>318</v>
      </c>
      <c r="I23" s="1034" t="s">
        <v>319</v>
      </c>
      <c r="J23" s="1032" t="s">
        <v>320</v>
      </c>
      <c r="K23" s="1033" t="s">
        <v>310</v>
      </c>
      <c r="L23" s="1033" t="s">
        <v>321</v>
      </c>
      <c r="M23" s="1034" t="s">
        <v>311</v>
      </c>
      <c r="N23" s="1040" t="s">
        <v>651</v>
      </c>
      <c r="O23" s="1036"/>
    </row>
    <row r="24" spans="2:16" x14ac:dyDescent="0.25">
      <c r="B24" s="1024"/>
      <c r="C24" s="2435" t="s">
        <v>1412</v>
      </c>
      <c r="D24" s="2436"/>
      <c r="E24" s="228"/>
      <c r="F24" s="214"/>
      <c r="G24" s="230"/>
      <c r="H24" s="231"/>
      <c r="I24" s="229"/>
      <c r="J24" s="1569"/>
      <c r="K24" s="1570"/>
      <c r="L24" s="229"/>
      <c r="M24" s="229"/>
      <c r="N24" s="225"/>
      <c r="O24" s="1025"/>
      <c r="P24" s="1019"/>
    </row>
    <row r="25" spans="2:16" x14ac:dyDescent="0.25">
      <c r="B25" s="1024"/>
      <c r="C25" s="2437" t="s">
        <v>1410</v>
      </c>
      <c r="D25" s="2438"/>
      <c r="E25" s="1710">
        <v>6032000</v>
      </c>
      <c r="F25" s="216"/>
      <c r="G25" s="233" t="s">
        <v>1416</v>
      </c>
      <c r="H25" s="234" t="s">
        <v>1417</v>
      </c>
      <c r="I25" s="232"/>
      <c r="J25" s="1571"/>
      <c r="K25" s="1572"/>
      <c r="L25" s="232"/>
      <c r="M25" s="232"/>
      <c r="N25" s="226"/>
      <c r="O25" s="1025"/>
    </row>
    <row r="26" spans="2:16" x14ac:dyDescent="0.25">
      <c r="B26" s="1024"/>
      <c r="C26" s="2437" t="s">
        <v>1402</v>
      </c>
      <c r="D26" s="2438"/>
      <c r="E26" s="1710">
        <v>8047467</v>
      </c>
      <c r="F26" s="216"/>
      <c r="G26" s="233" t="s">
        <v>1416</v>
      </c>
      <c r="H26" s="234" t="s">
        <v>1417</v>
      </c>
      <c r="I26" s="232"/>
      <c r="J26" s="1571"/>
      <c r="K26" s="1572"/>
      <c r="L26" s="232"/>
      <c r="M26" s="232"/>
      <c r="N26" s="226"/>
      <c r="O26" s="1025"/>
    </row>
    <row r="27" spans="2:16" x14ac:dyDescent="0.25">
      <c r="B27" s="1024"/>
      <c r="C27" s="2437" t="s">
        <v>1403</v>
      </c>
      <c r="D27" s="2438"/>
      <c r="E27" s="1710">
        <v>0</v>
      </c>
      <c r="F27" s="1899">
        <v>5750000</v>
      </c>
      <c r="G27" s="233"/>
      <c r="H27" s="234"/>
      <c r="I27" s="232"/>
      <c r="J27" s="1571"/>
      <c r="K27" s="1572"/>
      <c r="L27" s="232"/>
      <c r="M27" s="232"/>
      <c r="N27" s="226"/>
      <c r="O27" s="1025"/>
    </row>
    <row r="28" spans="2:16" x14ac:dyDescent="0.25">
      <c r="B28" s="1024"/>
      <c r="C28" s="2441" t="s">
        <v>1409</v>
      </c>
      <c r="D28" s="2442"/>
      <c r="E28" s="1711"/>
      <c r="F28" s="1900">
        <v>350000</v>
      </c>
      <c r="G28" s="1692"/>
      <c r="H28" s="1693"/>
      <c r="I28" s="1694"/>
      <c r="J28" s="1695"/>
      <c r="K28" s="1696"/>
      <c r="L28" s="1694"/>
      <c r="M28" s="1694"/>
      <c r="N28" s="1697"/>
      <c r="O28" s="1025"/>
    </row>
    <row r="29" spans="2:16" x14ac:dyDescent="0.25">
      <c r="B29" s="1024"/>
      <c r="C29" s="2441" t="s">
        <v>1404</v>
      </c>
      <c r="D29" s="2442"/>
      <c r="E29" s="1711">
        <v>6608217</v>
      </c>
      <c r="F29" s="1900"/>
      <c r="G29" s="1692"/>
      <c r="H29" s="1693"/>
      <c r="I29" s="1694"/>
      <c r="J29" s="1695"/>
      <c r="K29" s="1696"/>
      <c r="L29" s="1694"/>
      <c r="M29" s="1694"/>
      <c r="N29" s="1697"/>
      <c r="O29" s="1025"/>
    </row>
    <row r="30" spans="2:16" x14ac:dyDescent="0.25">
      <c r="B30" s="1024"/>
      <c r="C30" s="1958" t="s">
        <v>1562</v>
      </c>
      <c r="D30" s="1959"/>
      <c r="E30" s="1711"/>
      <c r="F30" s="1900">
        <v>56667</v>
      </c>
      <c r="G30" s="1692"/>
      <c r="H30" s="1693"/>
      <c r="I30" s="1694"/>
      <c r="J30" s="1695"/>
      <c r="K30" s="1696"/>
      <c r="L30" s="1694"/>
      <c r="M30" s="1694"/>
      <c r="N30" s="1697"/>
      <c r="O30" s="1025"/>
    </row>
    <row r="31" spans="2:16" x14ac:dyDescent="0.25">
      <c r="B31" s="1024"/>
      <c r="C31" s="1958" t="s">
        <v>1561</v>
      </c>
      <c r="D31" s="1959"/>
      <c r="E31" s="1711"/>
      <c r="F31" s="1900">
        <v>100</v>
      </c>
      <c r="G31" s="1692"/>
      <c r="H31" s="1693"/>
      <c r="I31" s="1694"/>
      <c r="J31" s="1695"/>
      <c r="K31" s="1696"/>
      <c r="L31" s="1694"/>
      <c r="M31" s="1694"/>
      <c r="N31" s="1697"/>
      <c r="O31" s="1025"/>
    </row>
    <row r="32" spans="2:16" x14ac:dyDescent="0.25">
      <c r="B32" s="1024"/>
      <c r="C32" s="1698"/>
      <c r="D32" s="1699"/>
      <c r="E32" s="1711"/>
      <c r="F32" s="1900"/>
      <c r="G32" s="1692"/>
      <c r="H32" s="1693"/>
      <c r="I32" s="1694"/>
      <c r="J32" s="1695"/>
      <c r="K32" s="1696"/>
      <c r="L32" s="1694"/>
      <c r="M32" s="1694"/>
      <c r="N32" s="1697"/>
      <c r="O32" s="1025"/>
    </row>
    <row r="33" spans="2:15" x14ac:dyDescent="0.25">
      <c r="B33" s="1024"/>
      <c r="C33" s="2460" t="s">
        <v>1411</v>
      </c>
      <c r="D33" s="2461"/>
      <c r="E33" s="1711"/>
      <c r="F33" s="1900"/>
      <c r="G33" s="1692"/>
      <c r="H33" s="1693"/>
      <c r="I33" s="1694"/>
      <c r="J33" s="1695"/>
      <c r="K33" s="1696"/>
      <c r="L33" s="1694"/>
      <c r="M33" s="1694"/>
      <c r="N33" s="1697"/>
      <c r="O33" s="1025"/>
    </row>
    <row r="34" spans="2:15" x14ac:dyDescent="0.25">
      <c r="B34" s="1024"/>
      <c r="C34" s="2441" t="s">
        <v>1402</v>
      </c>
      <c r="D34" s="2442"/>
      <c r="E34" s="1711">
        <v>4075481</v>
      </c>
      <c r="F34" s="1900"/>
      <c r="G34" s="1692" t="s">
        <v>1416</v>
      </c>
      <c r="H34" s="1693" t="s">
        <v>1417</v>
      </c>
      <c r="I34" s="1694"/>
      <c r="J34" s="1695"/>
      <c r="K34" s="1696"/>
      <c r="L34" s="1694"/>
      <c r="M34" s="1694"/>
      <c r="N34" s="1697"/>
      <c r="O34" s="1025"/>
    </row>
    <row r="35" spans="2:15" x14ac:dyDescent="0.25">
      <c r="B35" s="1024"/>
      <c r="C35" s="1698" t="s">
        <v>1403</v>
      </c>
      <c r="D35" s="1699"/>
      <c r="E35" s="1711">
        <v>0</v>
      </c>
      <c r="F35" s="1900">
        <v>3950000</v>
      </c>
      <c r="G35" s="1692" t="s">
        <v>1416</v>
      </c>
      <c r="H35" s="1693" t="s">
        <v>1417</v>
      </c>
      <c r="I35" s="1694"/>
      <c r="J35" s="1695"/>
      <c r="K35" s="1696"/>
      <c r="L35" s="1694"/>
      <c r="M35" s="1694"/>
      <c r="N35" s="1697"/>
      <c r="O35" s="1025"/>
    </row>
    <row r="36" spans="2:15" x14ac:dyDescent="0.25">
      <c r="B36" s="1024"/>
      <c r="C36" s="1698" t="s">
        <v>1409</v>
      </c>
      <c r="D36" s="1699"/>
      <c r="E36" s="1711"/>
      <c r="F36" s="1900">
        <v>900000</v>
      </c>
      <c r="G36" s="1692"/>
      <c r="H36" s="1693"/>
      <c r="I36" s="1694"/>
      <c r="J36" s="1695"/>
      <c r="K36" s="1696"/>
      <c r="L36" s="1694"/>
      <c r="M36" s="1694"/>
      <c r="N36" s="1697"/>
      <c r="O36" s="1025"/>
    </row>
    <row r="37" spans="2:15" x14ac:dyDescent="0.25">
      <c r="B37" s="1024"/>
      <c r="C37" s="2441" t="s">
        <v>1404</v>
      </c>
      <c r="D37" s="2442"/>
      <c r="E37" s="1711">
        <v>4117086</v>
      </c>
      <c r="F37" s="1900"/>
      <c r="G37" s="1692"/>
      <c r="H37" s="1693"/>
      <c r="I37" s="1694"/>
      <c r="J37" s="1695"/>
      <c r="K37" s="1696"/>
      <c r="L37" s="1694"/>
      <c r="M37" s="1694"/>
      <c r="N37" s="1697"/>
      <c r="O37" s="1025"/>
    </row>
    <row r="38" spans="2:15" x14ac:dyDescent="0.25">
      <c r="B38" s="1024"/>
      <c r="C38" s="1958" t="s">
        <v>1562</v>
      </c>
      <c r="D38" s="1959"/>
      <c r="E38" s="1711"/>
      <c r="F38" s="1900">
        <v>38928</v>
      </c>
      <c r="G38" s="1692"/>
      <c r="H38" s="1693"/>
      <c r="I38" s="1694"/>
      <c r="J38" s="1695"/>
      <c r="K38" s="1696"/>
      <c r="L38" s="1694"/>
      <c r="M38" s="1694"/>
      <c r="N38" s="1697"/>
      <c r="O38" s="1025"/>
    </row>
    <row r="39" spans="2:15" x14ac:dyDescent="0.25">
      <c r="B39" s="1024"/>
      <c r="C39" s="1958" t="s">
        <v>1561</v>
      </c>
      <c r="D39" s="1959"/>
      <c r="E39" s="1711"/>
      <c r="F39" s="1900">
        <v>100</v>
      </c>
      <c r="G39" s="1692"/>
      <c r="H39" s="1693"/>
      <c r="I39" s="1694"/>
      <c r="J39" s="1695"/>
      <c r="K39" s="1696"/>
      <c r="L39" s="1694"/>
      <c r="M39" s="1694"/>
      <c r="N39" s="1697"/>
      <c r="O39" s="1025"/>
    </row>
    <row r="40" spans="2:15" s="1232" customFormat="1" x14ac:dyDescent="0.25">
      <c r="B40" s="1700"/>
      <c r="C40" s="2460"/>
      <c r="D40" s="2461"/>
      <c r="E40" s="1712"/>
      <c r="F40" s="1901"/>
      <c r="G40" s="1701"/>
      <c r="H40" s="1702"/>
      <c r="I40" s="1703"/>
      <c r="J40" s="1704"/>
      <c r="K40" s="1705"/>
      <c r="L40" s="1703"/>
      <c r="M40" s="1703"/>
      <c r="N40" s="1706"/>
      <c r="O40" s="1707"/>
    </row>
    <row r="41" spans="2:15" ht="15.75" thickBot="1" x14ac:dyDescent="0.3">
      <c r="B41" s="1024"/>
      <c r="C41" s="2439"/>
      <c r="D41" s="2440"/>
      <c r="E41" s="1713"/>
      <c r="F41" s="1902"/>
      <c r="G41" s="236"/>
      <c r="H41" s="237"/>
      <c r="I41" s="235"/>
      <c r="J41" s="1573"/>
      <c r="K41" s="1574"/>
      <c r="L41" s="235"/>
      <c r="M41" s="235"/>
      <c r="N41" s="227"/>
      <c r="O41" s="1025"/>
    </row>
    <row r="42" spans="2:15" ht="15.75" thickBot="1" x14ac:dyDescent="0.3">
      <c r="B42" s="1024"/>
      <c r="C42" s="2433" t="s">
        <v>322</v>
      </c>
      <c r="D42" s="2434"/>
      <c r="E42" s="1714">
        <f>SUM(E24:E41)</f>
        <v>28880251</v>
      </c>
      <c r="F42" s="1903">
        <f>SUM(F24:F41)</f>
        <v>11045795</v>
      </c>
      <c r="G42" s="1041"/>
      <c r="H42" s="1042"/>
      <c r="I42" s="686"/>
      <c r="J42" s="297"/>
      <c r="K42" s="297"/>
      <c r="L42" s="297"/>
      <c r="M42" s="686"/>
      <c r="N42" s="686"/>
      <c r="O42" s="1043"/>
    </row>
    <row r="43" spans="2:15" ht="3.75" customHeight="1" thickBot="1" x14ac:dyDescent="0.3">
      <c r="B43" s="1024"/>
      <c r="C43" s="224"/>
      <c r="D43" s="297"/>
      <c r="E43" s="238"/>
      <c r="F43" s="238"/>
      <c r="G43" s="223"/>
      <c r="H43" s="1044"/>
      <c r="I43" s="686"/>
      <c r="J43" s="297"/>
      <c r="K43" s="297"/>
      <c r="L43" s="297"/>
      <c r="M43" s="686"/>
      <c r="N43" s="686"/>
      <c r="O43" s="1043"/>
    </row>
    <row r="44" spans="2:15" ht="15.75" thickBot="1" x14ac:dyDescent="0.3">
      <c r="B44" s="1024"/>
      <c r="C44" s="714"/>
      <c r="D44" s="686" t="s">
        <v>323</v>
      </c>
      <c r="E44" s="686"/>
      <c r="F44" s="1715">
        <f>E42+F42</f>
        <v>39926046</v>
      </c>
      <c r="G44" s="223"/>
      <c r="H44" s="1044"/>
      <c r="I44" s="686"/>
      <c r="J44" s="297"/>
      <c r="K44" s="297"/>
      <c r="L44" s="297"/>
      <c r="M44" s="686"/>
      <c r="N44" s="686"/>
      <c r="O44" s="1043"/>
    </row>
    <row r="45" spans="2:15" ht="3.75" customHeight="1" thickBot="1" x14ac:dyDescent="0.3">
      <c r="B45" s="1024"/>
      <c r="C45" s="714"/>
      <c r="D45" s="1648"/>
      <c r="E45" s="1648"/>
      <c r="F45" s="1716"/>
      <c r="G45" s="223"/>
      <c r="H45" s="1044"/>
      <c r="I45" s="1648"/>
      <c r="J45" s="1646"/>
      <c r="K45" s="1646"/>
      <c r="L45" s="1646"/>
      <c r="M45" s="1648"/>
      <c r="N45" s="1648"/>
      <c r="O45" s="1043"/>
    </row>
    <row r="46" spans="2:15" ht="15.75" thickBot="1" x14ac:dyDescent="0.3">
      <c r="B46" s="1024"/>
      <c r="C46" s="714"/>
      <c r="D46" s="1648" t="s">
        <v>1384</v>
      </c>
      <c r="E46" s="1648"/>
      <c r="F46" s="1715">
        <f>'6D'!$F$52*'6D'!$F$40*10</f>
        <v>10013775</v>
      </c>
      <c r="G46" s="1718"/>
      <c r="H46" s="1044"/>
      <c r="I46" s="1648"/>
      <c r="J46" s="1646"/>
      <c r="K46" s="1646"/>
      <c r="L46" s="1646"/>
      <c r="M46" s="1648"/>
      <c r="N46" s="1648"/>
      <c r="O46" s="1043"/>
    </row>
    <row r="47" spans="2:15" ht="3.75" customHeight="1" thickBot="1" x14ac:dyDescent="0.3">
      <c r="B47" s="1024"/>
      <c r="C47" s="297"/>
      <c r="D47" s="714"/>
      <c r="E47" s="238"/>
      <c r="F47" s="1717"/>
      <c r="G47" s="1979"/>
      <c r="H47" s="1044"/>
      <c r="I47" s="686"/>
      <c r="J47" s="297"/>
      <c r="K47" s="297"/>
      <c r="L47" s="297"/>
      <c r="M47" s="686"/>
      <c r="N47" s="686"/>
      <c r="O47" s="1043"/>
    </row>
    <row r="48" spans="2:15" ht="15.75" thickBot="1" x14ac:dyDescent="0.3">
      <c r="B48" s="1024"/>
      <c r="C48" s="714"/>
      <c r="D48" s="686" t="s">
        <v>1385</v>
      </c>
      <c r="E48" s="686"/>
      <c r="F48" s="1715">
        <f>'6D'!$G$52*'6D'!$G$40*10</f>
        <v>8982482.0000048</v>
      </c>
      <c r="G48" s="2143"/>
      <c r="H48" s="1044"/>
      <c r="I48" s="686"/>
      <c r="J48" s="297"/>
      <c r="K48" s="297"/>
      <c r="L48" s="297"/>
      <c r="M48" s="686"/>
      <c r="N48" s="686"/>
      <c r="O48" s="1043"/>
    </row>
    <row r="49" spans="2:15" ht="3.75" customHeight="1" thickBot="1" x14ac:dyDescent="0.3">
      <c r="B49" s="1024"/>
      <c r="C49" s="297"/>
      <c r="D49" s="714"/>
      <c r="E49" s="239"/>
      <c r="F49" s="1717"/>
      <c r="G49" s="223"/>
      <c r="H49" s="1044"/>
      <c r="I49" s="686"/>
      <c r="J49" s="297"/>
      <c r="K49" s="297"/>
      <c r="L49" s="297"/>
      <c r="M49" s="686"/>
      <c r="N49" s="686"/>
      <c r="O49" s="1043"/>
    </row>
    <row r="50" spans="2:15" ht="15.75" thickBot="1" x14ac:dyDescent="0.3">
      <c r="B50" s="1024"/>
      <c r="C50" s="714"/>
      <c r="D50" s="686" t="s">
        <v>325</v>
      </c>
      <c r="E50" s="686"/>
      <c r="F50" s="1715">
        <f>ROUND(F44+F46+F48,0)</f>
        <v>58922303</v>
      </c>
      <c r="G50" s="1718"/>
      <c r="H50" s="1044"/>
      <c r="I50" s="686"/>
      <c r="J50" s="2443"/>
      <c r="K50" s="2443"/>
      <c r="L50" s="2443"/>
      <c r="M50" s="2443"/>
      <c r="N50" s="297"/>
      <c r="O50" s="1025"/>
    </row>
    <row r="51" spans="2:15" ht="7.5" customHeight="1" x14ac:dyDescent="0.25">
      <c r="B51" s="1024"/>
      <c r="C51" s="297"/>
      <c r="D51" s="297"/>
      <c r="E51" s="701"/>
      <c r="F51" s="1045"/>
      <c r="G51" s="701"/>
      <c r="H51" s="297"/>
      <c r="I51" s="297"/>
      <c r="J51" s="297"/>
      <c r="K51" s="297"/>
      <c r="L51" s="297"/>
      <c r="M51" s="297"/>
      <c r="N51" s="297"/>
      <c r="O51" s="1025"/>
    </row>
    <row r="52" spans="2:15" ht="15.75" thickBot="1" x14ac:dyDescent="0.3">
      <c r="B52" s="1024"/>
      <c r="C52" s="810" t="s">
        <v>326</v>
      </c>
      <c r="D52" s="297"/>
      <c r="E52" s="701"/>
      <c r="F52" s="1045"/>
      <c r="G52" s="701"/>
      <c r="H52" s="297"/>
      <c r="I52" s="297"/>
      <c r="J52" s="297"/>
      <c r="K52" s="297"/>
      <c r="L52" s="297"/>
      <c r="M52" s="297"/>
      <c r="N52" s="297"/>
      <c r="O52" s="1025"/>
    </row>
    <row r="53" spans="2:15" ht="39.75" thickBot="1" x14ac:dyDescent="0.3">
      <c r="B53" s="1024"/>
      <c r="C53" s="2427" t="s">
        <v>650</v>
      </c>
      <c r="D53" s="2428"/>
      <c r="E53" s="1032" t="s">
        <v>308</v>
      </c>
      <c r="F53" s="1032" t="s">
        <v>309</v>
      </c>
      <c r="G53" s="1032" t="s">
        <v>317</v>
      </c>
      <c r="H53" s="1032" t="s">
        <v>318</v>
      </c>
      <c r="I53" s="1034" t="s">
        <v>319</v>
      </c>
      <c r="J53" s="1046" t="s">
        <v>320</v>
      </c>
      <c r="K53" s="1033" t="s">
        <v>310</v>
      </c>
      <c r="L53" s="1033" t="s">
        <v>321</v>
      </c>
      <c r="M53" s="1034" t="s">
        <v>311</v>
      </c>
      <c r="N53" s="1040" t="s">
        <v>652</v>
      </c>
      <c r="O53" s="1025"/>
    </row>
    <row r="54" spans="2:15" x14ac:dyDescent="0.25">
      <c r="B54" s="1024"/>
      <c r="C54" s="2429" t="s">
        <v>1591</v>
      </c>
      <c r="D54" s="2430"/>
      <c r="E54" s="245"/>
      <c r="F54" s="242">
        <v>2500000</v>
      </c>
      <c r="G54" s="230" t="s">
        <v>850</v>
      </c>
      <c r="H54" s="231"/>
      <c r="I54" s="246"/>
      <c r="J54" s="1569"/>
      <c r="K54" s="1575"/>
      <c r="L54" s="246"/>
      <c r="M54" s="246"/>
      <c r="N54" s="247"/>
      <c r="O54" s="1025"/>
    </row>
    <row r="55" spans="2:15" ht="15.75" thickBot="1" x14ac:dyDescent="0.3">
      <c r="B55" s="1024"/>
      <c r="C55" s="2431" t="s">
        <v>1592</v>
      </c>
      <c r="D55" s="2432"/>
      <c r="E55" s="1713">
        <v>1018100</v>
      </c>
      <c r="F55" s="220"/>
      <c r="G55" s="236" t="s">
        <v>850</v>
      </c>
      <c r="H55" s="237"/>
      <c r="I55" s="240"/>
      <c r="J55" s="1573"/>
      <c r="K55" s="1576"/>
      <c r="L55" s="240"/>
      <c r="M55" s="240"/>
      <c r="N55" s="241"/>
      <c r="O55" s="1025"/>
    </row>
    <row r="56" spans="2:15" ht="15.75" thickBot="1" x14ac:dyDescent="0.3">
      <c r="B56" s="1024"/>
      <c r="C56" s="2433" t="s">
        <v>322</v>
      </c>
      <c r="D56" s="2434"/>
      <c r="E56" s="2141">
        <f>SUM(E54:E55)</f>
        <v>1018100</v>
      </c>
      <c r="F56" s="2140">
        <f>SUM(F54:F55)</f>
        <v>2500000</v>
      </c>
      <c r="G56" s="223"/>
      <c r="H56" s="686"/>
      <c r="I56" s="297"/>
      <c r="J56" s="297"/>
      <c r="K56" s="297"/>
      <c r="L56" s="297"/>
      <c r="M56" s="297"/>
      <c r="N56" s="297"/>
      <c r="O56" s="1025"/>
    </row>
    <row r="57" spans="2:15" ht="3.75" customHeight="1" thickBot="1" x14ac:dyDescent="0.3">
      <c r="B57" s="1024"/>
      <c r="C57" s="686"/>
      <c r="D57" s="297"/>
      <c r="E57" s="238"/>
      <c r="F57" s="1717"/>
      <c r="G57" s="223"/>
      <c r="H57" s="686"/>
      <c r="I57" s="297"/>
      <c r="J57" s="297"/>
      <c r="K57" s="297"/>
      <c r="L57" s="297"/>
      <c r="M57" s="297"/>
      <c r="N57" s="297"/>
      <c r="O57" s="1025"/>
    </row>
    <row r="58" spans="2:15" ht="16.5" thickBot="1" x14ac:dyDescent="0.3">
      <c r="B58" s="1024"/>
      <c r="C58" s="1038"/>
      <c r="D58" s="686" t="s">
        <v>327</v>
      </c>
      <c r="E58" s="1047"/>
      <c r="F58" s="1715">
        <f>E56+F56</f>
        <v>3518100</v>
      </c>
      <c r="G58" s="223"/>
      <c r="H58" s="1048"/>
      <c r="I58" s="686"/>
      <c r="J58" s="686"/>
      <c r="K58" s="686"/>
      <c r="L58" s="686"/>
      <c r="M58" s="686"/>
      <c r="N58" s="297"/>
      <c r="O58" s="1025"/>
    </row>
    <row r="59" spans="2:15" ht="9" customHeight="1" thickBot="1" x14ac:dyDescent="0.3">
      <c r="B59" s="1049"/>
      <c r="C59" s="1050"/>
      <c r="D59" s="1051"/>
      <c r="E59" s="1052"/>
      <c r="F59" s="1053"/>
      <c r="G59" s="1053"/>
      <c r="H59" s="1054"/>
      <c r="I59" s="1054"/>
      <c r="J59" s="1051"/>
      <c r="K59" s="1051"/>
      <c r="L59" s="1051"/>
      <c r="M59" s="1054"/>
      <c r="N59" s="1054"/>
      <c r="O59" s="1055"/>
    </row>
    <row r="61" spans="2:15" x14ac:dyDescent="0.25">
      <c r="F61" s="1994"/>
    </row>
  </sheetData>
  <sheetProtection algorithmName="SHA-512" hashValue="t2tnRwTyGSOhJBIdL2pWRQPP2LIPyQdXwrO6q0HbWysOWljGZHgKBe8n+2fYof+JM+6POkUOBS0ig0BI+fBM4w==" saltValue="jMg7whg8EDbP1djVJgtiRA==" spinCount="100000" sheet="1" objects="1" scenarios="1" formatCells="0" formatColumns="0" formatRows="0" insertRows="0"/>
  <mergeCells count="28">
    <mergeCell ref="J50:M50"/>
    <mergeCell ref="C9:N9"/>
    <mergeCell ref="C15:D15"/>
    <mergeCell ref="C14:D14"/>
    <mergeCell ref="C16:D16"/>
    <mergeCell ref="C17:D17"/>
    <mergeCell ref="J14:K14"/>
    <mergeCell ref="J15:K15"/>
    <mergeCell ref="J16:K16"/>
    <mergeCell ref="J17:K17"/>
    <mergeCell ref="C18:D18"/>
    <mergeCell ref="C40:D40"/>
    <mergeCell ref="C34:D34"/>
    <mergeCell ref="C33:D33"/>
    <mergeCell ref="C29:D29"/>
    <mergeCell ref="C28:D28"/>
    <mergeCell ref="C53:D53"/>
    <mergeCell ref="C54:D54"/>
    <mergeCell ref="C55:D55"/>
    <mergeCell ref="C56:D56"/>
    <mergeCell ref="C23:D23"/>
    <mergeCell ref="C24:D24"/>
    <mergeCell ref="C25:D25"/>
    <mergeCell ref="C26:D26"/>
    <mergeCell ref="C27:D27"/>
    <mergeCell ref="C41:D41"/>
    <mergeCell ref="C42:D42"/>
    <mergeCell ref="C37:D37"/>
  </mergeCells>
  <dataValidations count="2">
    <dataValidation type="list" allowBlank="1" showInputMessage="1" showErrorMessage="1" sqref="G54:G55 G24:G41">
      <formula1>"Grant,Loan"</formula1>
    </dataValidation>
    <dataValidation type="list" allowBlank="1" showInputMessage="1" showErrorMessage="1" sqref="H54:H55 H24:H41">
      <formula1>"Public,Private"</formula1>
    </dataValidation>
  </dataValidations>
  <pageMargins left="0.7" right="0.7" top="0.75" bottom="0.75" header="0.3" footer="0.3"/>
  <pageSetup scale="64" orientation="landscape" r:id="rId1"/>
  <headerFooter>
    <oddFooter>&amp;LForm 7A
Financing Sources&amp;CCFA Forms&amp;REdition: 2015
Version: 1.0</oddFooter>
  </headerFooter>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AE109"/>
  <sheetViews>
    <sheetView showGridLines="0" topLeftCell="A34" zoomScale="90" zoomScaleNormal="90" workbookViewId="0">
      <selection activeCell="E43" sqref="E43:E44"/>
    </sheetView>
  </sheetViews>
  <sheetFormatPr defaultColWidth="9.140625" defaultRowHeight="15" x14ac:dyDescent="0.25"/>
  <cols>
    <col min="1" max="2" width="1.7109375" style="734" customWidth="1"/>
    <col min="3" max="3" width="19" style="734" customWidth="1"/>
    <col min="4" max="4" width="12.85546875" style="734" customWidth="1"/>
    <col min="5" max="13" width="11.42578125" style="734" customWidth="1"/>
    <col min="14" max="14" width="1.7109375" style="734" customWidth="1"/>
    <col min="15" max="15" width="1.28515625" style="734" customWidth="1"/>
    <col min="16" max="16" width="0.85546875" style="734" customWidth="1"/>
    <col min="17" max="17" width="1.42578125" style="734" customWidth="1"/>
    <col min="18" max="18" width="19" style="734" customWidth="1"/>
    <col min="19" max="19" width="14" style="734" customWidth="1"/>
    <col min="20" max="20" width="9.85546875" style="734" bestFit="1" customWidth="1"/>
    <col min="21" max="21" width="11.28515625" style="734" customWidth="1"/>
    <col min="22" max="22" width="11.5703125" style="734" customWidth="1"/>
    <col min="23" max="23" width="10.5703125" style="734" customWidth="1"/>
    <col min="24" max="24" width="8.7109375" style="734" bestFit="1" customWidth="1"/>
    <col min="25" max="25" width="9.85546875" style="734" bestFit="1" customWidth="1"/>
    <col min="26" max="26" width="14.140625" style="734" bestFit="1" customWidth="1"/>
    <col min="27" max="27" width="11" style="734" customWidth="1"/>
    <col min="28" max="28" width="12.85546875" style="734" customWidth="1"/>
    <col min="29" max="29" width="2" style="734" customWidth="1"/>
    <col min="30" max="30" width="11.7109375" style="734" customWidth="1"/>
    <col min="31" max="31" width="16.42578125" style="734" customWidth="1"/>
    <col min="32" max="16384" width="9.140625" style="734"/>
  </cols>
  <sheetData>
    <row r="9" spans="2:29" ht="9" customHeight="1" thickBot="1" x14ac:dyDescent="0.3"/>
    <row r="10" spans="2:29" ht="9" customHeight="1" x14ac:dyDescent="0.25">
      <c r="B10" s="1059"/>
      <c r="C10" s="1060"/>
      <c r="D10" s="1060"/>
      <c r="E10" s="1060"/>
      <c r="F10" s="1060"/>
      <c r="G10" s="1060"/>
      <c r="H10" s="1060"/>
      <c r="I10" s="1060"/>
      <c r="J10" s="1060"/>
      <c r="K10" s="1060"/>
      <c r="L10" s="1060"/>
      <c r="M10" s="1060"/>
      <c r="N10" s="1061"/>
      <c r="Q10" s="1059"/>
      <c r="R10" s="1060"/>
      <c r="S10" s="1060"/>
      <c r="T10" s="1060"/>
      <c r="U10" s="1060"/>
      <c r="V10" s="1060"/>
      <c r="W10" s="1060"/>
      <c r="X10" s="1060"/>
      <c r="Y10" s="1060"/>
      <c r="Z10" s="1060"/>
      <c r="AA10" s="1060"/>
      <c r="AB10" s="1060"/>
      <c r="AC10" s="1061"/>
    </row>
    <row r="11" spans="2:29" ht="18.75" x14ac:dyDescent="0.3">
      <c r="B11" s="1062"/>
      <c r="C11" s="2156" t="s">
        <v>1064</v>
      </c>
      <c r="D11" s="2156"/>
      <c r="E11" s="1429"/>
      <c r="F11" s="1429"/>
      <c r="G11" s="1429"/>
      <c r="H11" s="1429"/>
      <c r="I11" s="1429"/>
      <c r="J11" s="1429"/>
      <c r="K11" s="1429"/>
      <c r="L11" s="1429"/>
      <c r="M11" s="1429"/>
      <c r="N11" s="1063"/>
      <c r="Q11" s="1062"/>
      <c r="R11" s="2156" t="s">
        <v>1064</v>
      </c>
      <c r="S11" s="2156"/>
      <c r="T11" s="1429"/>
      <c r="U11" s="1429"/>
      <c r="V11" s="1429"/>
      <c r="W11" s="1429"/>
      <c r="X11" s="1429"/>
      <c r="Y11" s="1429"/>
      <c r="Z11" s="1429"/>
      <c r="AA11" s="1429"/>
      <c r="AB11" s="1429"/>
      <c r="AC11" s="1063"/>
    </row>
    <row r="12" spans="2:29" ht="15" customHeight="1" x14ac:dyDescent="0.25">
      <c r="B12" s="1062"/>
      <c r="C12" s="787"/>
      <c r="D12" s="787"/>
      <c r="E12" s="787"/>
      <c r="F12" s="787"/>
      <c r="G12" s="787"/>
      <c r="H12" s="787"/>
      <c r="I12" s="787"/>
      <c r="J12" s="787"/>
      <c r="K12" s="787"/>
      <c r="L12" s="787"/>
      <c r="M12" s="787"/>
      <c r="N12" s="1063"/>
      <c r="Q12" s="1062"/>
      <c r="R12" s="787"/>
      <c r="S12" s="787"/>
      <c r="T12" s="787"/>
      <c r="U12" s="787"/>
      <c r="V12" s="787"/>
      <c r="W12" s="787"/>
      <c r="X12" s="787"/>
      <c r="Y12" s="787"/>
      <c r="Z12" s="787"/>
      <c r="AA12" s="787"/>
      <c r="AB12" s="787"/>
      <c r="AC12" s="1063"/>
    </row>
    <row r="13" spans="2:29" x14ac:dyDescent="0.25">
      <c r="B13" s="1064"/>
      <c r="C13" s="1065" t="s">
        <v>328</v>
      </c>
      <c r="D13" s="1066" t="str">
        <f>IF('1A'!G7="","Enter Project Name on Form 1A",'1A'!G7)</f>
        <v>Building 9 South (4%)</v>
      </c>
      <c r="E13" s="1066"/>
      <c r="F13" s="1066"/>
      <c r="G13" s="1066"/>
      <c r="H13" s="1066"/>
      <c r="I13" s="1066"/>
      <c r="J13" s="1067"/>
      <c r="K13" s="146"/>
      <c r="L13" s="704"/>
      <c r="M13" s="704"/>
      <c r="N13" s="1063"/>
      <c r="Q13" s="1064"/>
      <c r="R13" s="1065" t="s">
        <v>328</v>
      </c>
      <c r="S13" s="1066" t="str">
        <f>IF('1A'!G9="","Enter Project Name on Form 1A",'1A'!G9)</f>
        <v>Building 9 North (9%)</v>
      </c>
      <c r="T13" s="1066"/>
      <c r="U13" s="1066"/>
      <c r="V13" s="1066"/>
      <c r="W13" s="1066"/>
      <c r="X13" s="1066"/>
      <c r="Y13" s="1067"/>
      <c r="Z13" s="146"/>
      <c r="AA13" s="704"/>
      <c r="AB13" s="704"/>
      <c r="AC13" s="1063"/>
    </row>
    <row r="14" spans="2:29" ht="7.5" customHeight="1" x14ac:dyDescent="0.25">
      <c r="B14" s="1064"/>
      <c r="C14" s="1068"/>
      <c r="D14" s="1068"/>
      <c r="E14" s="1069"/>
      <c r="F14" s="1069"/>
      <c r="G14" s="1069"/>
      <c r="H14" s="146"/>
      <c r="I14" s="146"/>
      <c r="J14" s="146"/>
      <c r="K14" s="146"/>
      <c r="L14" s="151"/>
      <c r="M14" s="146"/>
      <c r="N14" s="1063"/>
      <c r="Q14" s="1064"/>
      <c r="R14" s="1068"/>
      <c r="S14" s="1068"/>
      <c r="T14" s="1069"/>
      <c r="U14" s="1069"/>
      <c r="V14" s="1069"/>
      <c r="W14" s="146"/>
      <c r="X14" s="146"/>
      <c r="Y14" s="146"/>
      <c r="Z14" s="146"/>
      <c r="AA14" s="151"/>
      <c r="AB14" s="146"/>
      <c r="AC14" s="1063"/>
    </row>
    <row r="15" spans="2:29" x14ac:dyDescent="0.25">
      <c r="B15" s="1064"/>
      <c r="C15" s="151" t="s">
        <v>329</v>
      </c>
      <c r="D15" s="2186">
        <f ca="1">TODAY()</f>
        <v>42285</v>
      </c>
      <c r="E15" s="1069"/>
      <c r="F15" s="1069"/>
      <c r="G15" s="1069"/>
      <c r="H15" s="146"/>
      <c r="I15" s="146"/>
      <c r="J15" s="146"/>
      <c r="K15" s="146"/>
      <c r="L15" s="151"/>
      <c r="M15" s="146"/>
      <c r="N15" s="1063"/>
      <c r="Q15" s="1064"/>
      <c r="R15" s="151" t="s">
        <v>329</v>
      </c>
      <c r="S15" s="2186">
        <f ca="1">TODAY()</f>
        <v>42285</v>
      </c>
      <c r="T15" s="1069"/>
      <c r="U15" s="1069"/>
      <c r="V15" s="1069"/>
      <c r="W15" s="146"/>
      <c r="X15" s="146"/>
      <c r="Y15" s="146"/>
      <c r="Z15" s="146"/>
      <c r="AA15" s="151"/>
      <c r="AB15" s="146"/>
      <c r="AC15" s="1063"/>
    </row>
    <row r="16" spans="2:29" ht="15" customHeight="1" x14ac:dyDescent="0.25">
      <c r="B16" s="1064"/>
      <c r="C16" s="704"/>
      <c r="D16" s="704"/>
      <c r="E16" s="1068"/>
      <c r="F16" s="1070"/>
      <c r="G16" s="1071"/>
      <c r="H16" s="1072"/>
      <c r="I16" s="1068"/>
      <c r="J16" s="1068"/>
      <c r="K16" s="1068"/>
      <c r="L16" s="727"/>
      <c r="M16" s="727"/>
      <c r="N16" s="1063"/>
      <c r="Q16" s="1064"/>
      <c r="R16" s="704"/>
      <c r="S16" s="704"/>
      <c r="T16" s="1068"/>
      <c r="U16" s="1070"/>
      <c r="V16" s="1071"/>
      <c r="W16" s="1072"/>
      <c r="X16" s="1068"/>
      <c r="Y16" s="1068"/>
      <c r="Z16" s="1068"/>
      <c r="AA16" s="727"/>
      <c r="AB16" s="727"/>
      <c r="AC16" s="1063"/>
    </row>
    <row r="17" spans="2:29" ht="15.75" thickBot="1" x14ac:dyDescent="0.3">
      <c r="B17" s="1064"/>
      <c r="C17" s="2177" t="s">
        <v>330</v>
      </c>
      <c r="D17" s="2177"/>
      <c r="E17" s="2187"/>
      <c r="F17" s="1073"/>
      <c r="G17" s="146"/>
      <c r="H17" s="146"/>
      <c r="I17" s="146"/>
      <c r="J17" s="146"/>
      <c r="K17" s="1074"/>
      <c r="L17" s="146"/>
      <c r="M17" s="146"/>
      <c r="N17" s="1063"/>
      <c r="Q17" s="1064"/>
      <c r="R17" s="2177" t="s">
        <v>330</v>
      </c>
      <c r="S17" s="2177"/>
      <c r="T17" s="2187"/>
      <c r="U17" s="1073"/>
      <c r="V17" s="146"/>
      <c r="W17" s="146"/>
      <c r="X17" s="146"/>
      <c r="Y17" s="146"/>
      <c r="Z17" s="1074"/>
      <c r="AA17" s="146"/>
      <c r="AB17" s="146"/>
      <c r="AC17" s="1063"/>
    </row>
    <row r="18" spans="2:29" x14ac:dyDescent="0.25">
      <c r="B18" s="1064"/>
      <c r="C18" s="146"/>
      <c r="D18" s="146"/>
      <c r="E18" s="168" t="s">
        <v>331</v>
      </c>
      <c r="F18" s="2179" t="s">
        <v>332</v>
      </c>
      <c r="G18" s="2180" t="s">
        <v>333</v>
      </c>
      <c r="H18" s="2179" t="s">
        <v>334</v>
      </c>
      <c r="I18" s="2180" t="s">
        <v>331</v>
      </c>
      <c r="J18" s="2179" t="s">
        <v>332</v>
      </c>
      <c r="K18" s="2180" t="s">
        <v>333</v>
      </c>
      <c r="L18" s="2188" t="s">
        <v>334</v>
      </c>
      <c r="M18" s="704"/>
      <c r="N18" s="1063"/>
      <c r="Q18" s="1064"/>
      <c r="R18" s="146"/>
      <c r="S18" s="146"/>
      <c r="T18" s="168" t="s">
        <v>331</v>
      </c>
      <c r="U18" s="2179" t="s">
        <v>332</v>
      </c>
      <c r="V18" s="2180" t="s">
        <v>333</v>
      </c>
      <c r="W18" s="2179" t="s">
        <v>334</v>
      </c>
      <c r="X18" s="2180" t="s">
        <v>331</v>
      </c>
      <c r="Y18" s="2179" t="s">
        <v>332</v>
      </c>
      <c r="Z18" s="2180" t="s">
        <v>333</v>
      </c>
      <c r="AA18" s="2188" t="s">
        <v>334</v>
      </c>
      <c r="AB18" s="704"/>
      <c r="AC18" s="1063"/>
    </row>
    <row r="19" spans="2:29" ht="15.75" thickBot="1" x14ac:dyDescent="0.3">
      <c r="B19" s="1064"/>
      <c r="C19" s="147" t="s">
        <v>306</v>
      </c>
      <c r="D19" s="147"/>
      <c r="E19" s="1430">
        <v>42278</v>
      </c>
      <c r="F19" s="1431">
        <v>42370</v>
      </c>
      <c r="G19" s="1431">
        <v>42461</v>
      </c>
      <c r="H19" s="1431">
        <v>42552</v>
      </c>
      <c r="I19" s="1431">
        <v>42644</v>
      </c>
      <c r="J19" s="1431">
        <v>42736</v>
      </c>
      <c r="K19" s="1431">
        <v>42826</v>
      </c>
      <c r="L19" s="1432">
        <v>42917</v>
      </c>
      <c r="M19" s="704"/>
      <c r="N19" s="1063"/>
      <c r="Q19" s="1064"/>
      <c r="R19" s="147" t="s">
        <v>306</v>
      </c>
      <c r="S19" s="147"/>
      <c r="T19" s="1430">
        <v>42278</v>
      </c>
      <c r="U19" s="1431">
        <v>42370</v>
      </c>
      <c r="V19" s="1431">
        <v>42461</v>
      </c>
      <c r="W19" s="1431">
        <v>42552</v>
      </c>
      <c r="X19" s="1431">
        <v>42644</v>
      </c>
      <c r="Y19" s="1431">
        <v>42736</v>
      </c>
      <c r="Z19" s="1431">
        <v>42826</v>
      </c>
      <c r="AA19" s="1432">
        <v>42917</v>
      </c>
      <c r="AB19" s="704"/>
      <c r="AC19" s="1063"/>
    </row>
    <row r="20" spans="2:29" x14ac:dyDescent="0.25">
      <c r="B20" s="1064"/>
      <c r="C20" s="1075" t="s">
        <v>335</v>
      </c>
      <c r="D20" s="1075"/>
      <c r="E20" s="2181">
        <v>0</v>
      </c>
      <c r="F20" s="2182">
        <v>0</v>
      </c>
      <c r="G20" s="2182">
        <v>0</v>
      </c>
      <c r="H20" s="2182">
        <v>0</v>
      </c>
      <c r="I20" s="2182">
        <v>0</v>
      </c>
      <c r="J20" s="2182">
        <v>0</v>
      </c>
      <c r="K20" s="2182">
        <v>0</v>
      </c>
      <c r="L20" s="2183">
        <v>0</v>
      </c>
      <c r="M20" s="704"/>
      <c r="N20" s="1063"/>
      <c r="Q20" s="1064"/>
      <c r="R20" s="1075" t="s">
        <v>335</v>
      </c>
      <c r="S20" s="1075"/>
      <c r="T20" s="2181">
        <v>0</v>
      </c>
      <c r="U20" s="2182">
        <v>0</v>
      </c>
      <c r="V20" s="2182">
        <v>0</v>
      </c>
      <c r="W20" s="2182">
        <v>0</v>
      </c>
      <c r="X20" s="2182">
        <v>0</v>
      </c>
      <c r="Y20" s="2182">
        <v>0</v>
      </c>
      <c r="Z20" s="2182">
        <v>0</v>
      </c>
      <c r="AA20" s="2183">
        <v>0</v>
      </c>
      <c r="AB20" s="704"/>
      <c r="AC20" s="1063"/>
    </row>
    <row r="21" spans="2:29" x14ac:dyDescent="0.25">
      <c r="B21" s="1064"/>
      <c r="C21" s="1076" t="str">
        <f>IF('7A'!$C$15=0,"Enter on 7A",'7A'!$C$15)</f>
        <v>Construction Loan</v>
      </c>
      <c r="D21" s="1076"/>
      <c r="E21" s="601">
        <v>0</v>
      </c>
      <c r="F21" s="602">
        <v>0</v>
      </c>
      <c r="G21" s="602">
        <v>0</v>
      </c>
      <c r="H21" s="602">
        <v>0</v>
      </c>
      <c r="I21" s="602">
        <v>0</v>
      </c>
      <c r="J21" s="602">
        <v>0</v>
      </c>
      <c r="K21" s="602">
        <v>0</v>
      </c>
      <c r="L21" s="603">
        <v>0</v>
      </c>
      <c r="M21" s="704"/>
      <c r="N21" s="1063"/>
      <c r="Q21" s="1064"/>
      <c r="R21" s="1076" t="str">
        <f>IF('7A'!$C$15=0,"Enter on 7A",'7A'!$C$15)</f>
        <v>Construction Loan</v>
      </c>
      <c r="S21" s="1076"/>
      <c r="T21" s="601">
        <v>0</v>
      </c>
      <c r="U21" s="602">
        <v>0</v>
      </c>
      <c r="V21" s="602">
        <v>0</v>
      </c>
      <c r="W21" s="602">
        <v>0</v>
      </c>
      <c r="X21" s="602">
        <v>0</v>
      </c>
      <c r="Y21" s="602">
        <v>0</v>
      </c>
      <c r="Z21" s="602">
        <v>0</v>
      </c>
      <c r="AA21" s="603">
        <f>196747+1004215</f>
        <v>1200962</v>
      </c>
      <c r="AB21" s="704"/>
      <c r="AC21" s="1063"/>
    </row>
    <row r="22" spans="2:29" x14ac:dyDescent="0.25">
      <c r="B22" s="1064"/>
      <c r="C22" s="1076" t="str">
        <f>IF('7A'!$C$16=0,"Enter on 7A",'7A'!$C$16)</f>
        <v>Enter on 7A</v>
      </c>
      <c r="D22" s="1076"/>
      <c r="E22" s="601">
        <v>0</v>
      </c>
      <c r="F22" s="602">
        <v>0</v>
      </c>
      <c r="G22" s="602">
        <v>0</v>
      </c>
      <c r="H22" s="602">
        <v>0</v>
      </c>
      <c r="I22" s="602">
        <v>0</v>
      </c>
      <c r="J22" s="602">
        <v>0</v>
      </c>
      <c r="K22" s="602">
        <v>0</v>
      </c>
      <c r="L22" s="603">
        <v>0</v>
      </c>
      <c r="M22" s="704"/>
      <c r="N22" s="1063"/>
      <c r="Q22" s="1064"/>
      <c r="R22" s="1076" t="str">
        <f>IF('7A'!$C$16=0,"Enter on 7A",'7A'!$C$16)</f>
        <v>Enter on 7A</v>
      </c>
      <c r="S22" s="1076"/>
      <c r="T22" s="601">
        <v>0</v>
      </c>
      <c r="U22" s="602">
        <v>0</v>
      </c>
      <c r="V22" s="602">
        <v>0</v>
      </c>
      <c r="W22" s="602">
        <v>0</v>
      </c>
      <c r="X22" s="602">
        <v>0</v>
      </c>
      <c r="Y22" s="602">
        <v>0</v>
      </c>
      <c r="Z22" s="602">
        <v>0</v>
      </c>
      <c r="AA22" s="603">
        <v>0</v>
      </c>
      <c r="AB22" s="704"/>
      <c r="AC22" s="1063"/>
    </row>
    <row r="23" spans="2:29" ht="15.75" thickBot="1" x14ac:dyDescent="0.3">
      <c r="B23" s="1064"/>
      <c r="C23" s="1076" t="str">
        <f>IF('7A'!$C$17=0,"Enter on 7A",'7A'!$C$17)</f>
        <v>Enter on 7A</v>
      </c>
      <c r="D23" s="1076"/>
      <c r="E23" s="604">
        <v>0</v>
      </c>
      <c r="F23" s="605">
        <v>0</v>
      </c>
      <c r="G23" s="605">
        <v>0</v>
      </c>
      <c r="H23" s="605">
        <v>0</v>
      </c>
      <c r="I23" s="605">
        <v>0</v>
      </c>
      <c r="J23" s="605">
        <v>0</v>
      </c>
      <c r="K23" s="605">
        <v>0</v>
      </c>
      <c r="L23" s="606">
        <v>0</v>
      </c>
      <c r="M23" s="704"/>
      <c r="N23" s="1063"/>
      <c r="Q23" s="1064"/>
      <c r="R23" s="1076" t="str">
        <f>IF('7A'!$C$17=0,"Enter on 7A",'7A'!$C$17)</f>
        <v>Enter on 7A</v>
      </c>
      <c r="S23" s="1076"/>
      <c r="T23" s="604">
        <v>0</v>
      </c>
      <c r="U23" s="605">
        <v>0</v>
      </c>
      <c r="V23" s="605">
        <v>0</v>
      </c>
      <c r="W23" s="605">
        <v>0</v>
      </c>
      <c r="X23" s="605">
        <v>0</v>
      </c>
      <c r="Y23" s="605">
        <v>0</v>
      </c>
      <c r="Z23" s="605">
        <v>0</v>
      </c>
      <c r="AA23" s="606">
        <v>0</v>
      </c>
      <c r="AB23" s="704"/>
      <c r="AC23" s="1063"/>
    </row>
    <row r="24" spans="2:29" ht="15.75" thickBot="1" x14ac:dyDescent="0.3">
      <c r="B24" s="1064"/>
      <c r="C24" s="786"/>
      <c r="D24" s="159" t="s">
        <v>336</v>
      </c>
      <c r="E24" s="607">
        <f>SUM(E20:E23)</f>
        <v>0</v>
      </c>
      <c r="F24" s="608">
        <f t="shared" ref="F24:L24" si="0">SUM(F20:F23)</f>
        <v>0</v>
      </c>
      <c r="G24" s="608">
        <f t="shared" si="0"/>
        <v>0</v>
      </c>
      <c r="H24" s="608">
        <f t="shared" si="0"/>
        <v>0</v>
      </c>
      <c r="I24" s="608">
        <f t="shared" si="0"/>
        <v>0</v>
      </c>
      <c r="J24" s="608">
        <f t="shared" si="0"/>
        <v>0</v>
      </c>
      <c r="K24" s="608">
        <f t="shared" si="0"/>
        <v>0</v>
      </c>
      <c r="L24" s="609">
        <f t="shared" si="0"/>
        <v>0</v>
      </c>
      <c r="M24" s="704"/>
      <c r="N24" s="1063"/>
      <c r="Q24" s="1064"/>
      <c r="R24" s="786"/>
      <c r="S24" s="159" t="s">
        <v>336</v>
      </c>
      <c r="T24" s="607">
        <f>SUM(T20:T23)</f>
        <v>0</v>
      </c>
      <c r="U24" s="608">
        <f t="shared" ref="U24:AA24" si="1">SUM(U20:U23)</f>
        <v>0</v>
      </c>
      <c r="V24" s="608">
        <f t="shared" si="1"/>
        <v>0</v>
      </c>
      <c r="W24" s="608">
        <f t="shared" si="1"/>
        <v>0</v>
      </c>
      <c r="X24" s="608">
        <f t="shared" si="1"/>
        <v>0</v>
      </c>
      <c r="Y24" s="608">
        <f t="shared" si="1"/>
        <v>0</v>
      </c>
      <c r="Z24" s="608">
        <f t="shared" si="1"/>
        <v>0</v>
      </c>
      <c r="AA24" s="609">
        <f t="shared" si="1"/>
        <v>1200962</v>
      </c>
      <c r="AB24" s="704"/>
      <c r="AC24" s="1063"/>
    </row>
    <row r="25" spans="2:29" ht="3.75" customHeight="1" x14ac:dyDescent="0.25">
      <c r="B25" s="1064"/>
      <c r="C25" s="148"/>
      <c r="D25" s="148"/>
      <c r="E25" s="295"/>
      <c r="F25" s="154"/>
      <c r="G25" s="154"/>
      <c r="H25" s="154"/>
      <c r="I25" s="154"/>
      <c r="J25" s="154"/>
      <c r="K25" s="154"/>
      <c r="L25" s="2189"/>
      <c r="M25" s="704"/>
      <c r="N25" s="1063"/>
      <c r="Q25" s="1064"/>
      <c r="R25" s="148"/>
      <c r="S25" s="148"/>
      <c r="T25" s="295"/>
      <c r="U25" s="154"/>
      <c r="V25" s="154"/>
      <c r="W25" s="154"/>
      <c r="X25" s="154"/>
      <c r="Y25" s="154"/>
      <c r="Z25" s="154"/>
      <c r="AA25" s="2189"/>
      <c r="AB25" s="704"/>
      <c r="AC25" s="1063"/>
    </row>
    <row r="26" spans="2:29" ht="15.75" thickBot="1" x14ac:dyDescent="0.3">
      <c r="B26" s="1064"/>
      <c r="C26" s="147" t="s">
        <v>206</v>
      </c>
      <c r="D26" s="147"/>
      <c r="E26" s="295"/>
      <c r="F26" s="154"/>
      <c r="G26" s="154"/>
      <c r="H26" s="154"/>
      <c r="I26" s="154"/>
      <c r="J26" s="154"/>
      <c r="K26" s="154"/>
      <c r="L26" s="2190"/>
      <c r="M26" s="704"/>
      <c r="N26" s="1063"/>
      <c r="Q26" s="1064"/>
      <c r="R26" s="147" t="s">
        <v>206</v>
      </c>
      <c r="S26" s="147"/>
      <c r="T26" s="295"/>
      <c r="U26" s="154"/>
      <c r="V26" s="154"/>
      <c r="W26" s="154"/>
      <c r="X26" s="154"/>
      <c r="Y26" s="154"/>
      <c r="Z26" s="154"/>
      <c r="AA26" s="2190"/>
      <c r="AB26" s="704"/>
      <c r="AC26" s="1063"/>
    </row>
    <row r="27" spans="2:29" x14ac:dyDescent="0.25">
      <c r="B27" s="1064"/>
      <c r="C27" s="1077" t="str">
        <f>IF('7A'!$C$25=0,"Enter on 7A",'7A'!$C$25)</f>
        <v>Permanent Tax-Exempt Bonds</v>
      </c>
      <c r="D27" s="1077"/>
      <c r="E27" s="664">
        <v>0</v>
      </c>
      <c r="F27" s="665">
        <v>0</v>
      </c>
      <c r="G27" s="665">
        <v>0</v>
      </c>
      <c r="H27" s="665">
        <v>0</v>
      </c>
      <c r="I27" s="665">
        <v>0</v>
      </c>
      <c r="J27" s="665">
        <v>0</v>
      </c>
      <c r="K27" s="665">
        <v>0</v>
      </c>
      <c r="L27" s="666">
        <v>0</v>
      </c>
      <c r="M27" s="704"/>
      <c r="N27" s="1063"/>
      <c r="Q27" s="1064"/>
      <c r="R27" s="1077" t="str">
        <f>IF('7A'!$C$34=0,"Enter on 7A",'7A'!$C$34)</f>
        <v>City of Seattle</v>
      </c>
      <c r="S27" s="1077"/>
      <c r="T27" s="664">
        <v>0</v>
      </c>
      <c r="U27" s="665">
        <v>0</v>
      </c>
      <c r="V27" s="665">
        <v>0</v>
      </c>
      <c r="W27" s="665">
        <v>0</v>
      </c>
      <c r="X27" s="665">
        <v>0</v>
      </c>
      <c r="Y27" s="665">
        <v>0</v>
      </c>
      <c r="Z27" s="665">
        <f>2000000-221356-350000</f>
        <v>1428644</v>
      </c>
      <c r="AA27" s="666">
        <f>721951+902733+1000000-379000-61812</f>
        <v>2183872</v>
      </c>
      <c r="AB27" s="704"/>
      <c r="AC27" s="1063"/>
    </row>
    <row r="28" spans="2:29" x14ac:dyDescent="0.25">
      <c r="B28" s="1064"/>
      <c r="C28" s="1078" t="str">
        <f>IF('7A'!$C$26=0,"Enter on 7A",'7A'!$C$26)</f>
        <v>City of Seattle</v>
      </c>
      <c r="D28" s="1078"/>
      <c r="E28" s="667">
        <v>0</v>
      </c>
      <c r="F28" s="668">
        <v>0</v>
      </c>
      <c r="G28" s="668">
        <v>0</v>
      </c>
      <c r="H28" s="668">
        <v>0</v>
      </c>
      <c r="I28" s="668">
        <v>0</v>
      </c>
      <c r="J28" s="668">
        <v>0</v>
      </c>
      <c r="K28" s="668">
        <v>0</v>
      </c>
      <c r="L28" s="669">
        <f>1560622+2511472+1634312</f>
        <v>5706406</v>
      </c>
      <c r="M28" s="704"/>
      <c r="N28" s="1063"/>
      <c r="Q28" s="1064"/>
      <c r="R28" s="1078" t="str">
        <f>IF('7A'!$C$35=0,"Enter on 7A",'7A'!$C$35)</f>
        <v>Dept. of Commerce</v>
      </c>
      <c r="S28" s="1078"/>
      <c r="T28" s="667">
        <v>0</v>
      </c>
      <c r="U28" s="668">
        <v>0</v>
      </c>
      <c r="V28" s="668">
        <v>0</v>
      </c>
      <c r="W28" s="668">
        <v>0</v>
      </c>
      <c r="X28" s="668">
        <v>0</v>
      </c>
      <c r="Y28" s="668">
        <v>0</v>
      </c>
      <c r="Z28" s="668">
        <f>253899</f>
        <v>253899</v>
      </c>
      <c r="AA28" s="669">
        <f>721951+351006+200560</f>
        <v>1273517</v>
      </c>
      <c r="AB28" s="704"/>
      <c r="AC28" s="1063"/>
    </row>
    <row r="29" spans="2:29" x14ac:dyDescent="0.25">
      <c r="B29" s="1064"/>
      <c r="C29" s="1078" t="str">
        <f>IF('7A'!$C$27=0,"Enter on 7A",'7A'!$C$27)</f>
        <v>Dept. of Commerce</v>
      </c>
      <c r="D29" s="1078"/>
      <c r="E29" s="667">
        <v>0</v>
      </c>
      <c r="F29" s="668">
        <v>0</v>
      </c>
      <c r="G29" s="668">
        <v>0</v>
      </c>
      <c r="H29" s="668">
        <v>0</v>
      </c>
      <c r="I29" s="668">
        <v>0</v>
      </c>
      <c r="J29" s="668">
        <v>0</v>
      </c>
      <c r="K29" s="668">
        <f>387264+2083483+2281410</f>
        <v>4752157</v>
      </c>
      <c r="L29" s="669">
        <v>940343</v>
      </c>
      <c r="M29" s="704"/>
      <c r="N29" s="1063"/>
      <c r="Q29" s="1064"/>
      <c r="R29" s="1078" t="str">
        <f>IF('7A'!$C$36=0,"Enter on 7A",'7A'!$C$36)</f>
        <v>Deferred Developer Fee</v>
      </c>
      <c r="S29" s="1078"/>
      <c r="T29" s="667">
        <v>0</v>
      </c>
      <c r="U29" s="668">
        <v>0</v>
      </c>
      <c r="V29" s="668">
        <v>0</v>
      </c>
      <c r="W29" s="668">
        <v>0</v>
      </c>
      <c r="X29" s="668">
        <v>0</v>
      </c>
      <c r="Y29" s="668">
        <v>0</v>
      </c>
      <c r="Z29" s="668">
        <v>0</v>
      </c>
      <c r="AA29" s="669">
        <v>0</v>
      </c>
      <c r="AB29" s="704"/>
      <c r="AC29" s="1063"/>
    </row>
    <row r="30" spans="2:29" x14ac:dyDescent="0.25">
      <c r="B30" s="1064"/>
      <c r="C30" s="1078" t="str">
        <f>IF('7A'!$C$28=0,"Enter on 7A",'7A'!$C$28)</f>
        <v>Deferred Developer Fee</v>
      </c>
      <c r="D30" s="1078"/>
      <c r="E30" s="667">
        <v>0</v>
      </c>
      <c r="F30" s="668">
        <v>0</v>
      </c>
      <c r="G30" s="668">
        <v>0</v>
      </c>
      <c r="H30" s="668">
        <v>0</v>
      </c>
      <c r="I30" s="668">
        <v>0</v>
      </c>
      <c r="J30" s="668">
        <v>0</v>
      </c>
      <c r="K30" s="668">
        <v>0</v>
      </c>
      <c r="L30" s="669">
        <v>0</v>
      </c>
      <c r="M30" s="704"/>
      <c r="N30" s="1063"/>
      <c r="Q30" s="1064"/>
      <c r="R30" s="1078" t="str">
        <f>IF('7A'!$C$37=0,"Enter on 7A",'7A'!$C$37)</f>
        <v>Historic Tax Credit</v>
      </c>
      <c r="S30" s="1078"/>
      <c r="T30" s="667">
        <v>0</v>
      </c>
      <c r="U30" s="668">
        <v>0</v>
      </c>
      <c r="V30" s="668">
        <v>0</v>
      </c>
      <c r="W30" s="668">
        <v>0</v>
      </c>
      <c r="X30" s="668">
        <v>0</v>
      </c>
      <c r="Y30" s="668">
        <v>0</v>
      </c>
      <c r="Z30" s="668">
        <v>440812</v>
      </c>
      <c r="AA30" s="669">
        <v>0</v>
      </c>
      <c r="AB30" s="704"/>
      <c r="AC30" s="1063"/>
    </row>
    <row r="31" spans="2:29" x14ac:dyDescent="0.25">
      <c r="B31" s="1064"/>
      <c r="C31" s="1078" t="str">
        <f>IF('7A'!$C$29=0,"Enter on 7A",'7A'!$C$29)</f>
        <v>Historic Tax Credit</v>
      </c>
      <c r="D31" s="1078"/>
      <c r="E31" s="667">
        <v>0</v>
      </c>
      <c r="F31" s="668">
        <v>0</v>
      </c>
      <c r="G31" s="668">
        <v>0</v>
      </c>
      <c r="H31" s="668">
        <v>0</v>
      </c>
      <c r="I31" s="668">
        <v>0</v>
      </c>
      <c r="J31" s="668">
        <v>0</v>
      </c>
      <c r="K31" s="668">
        <v>640650</v>
      </c>
      <c r="L31" s="669">
        <v>0</v>
      </c>
      <c r="M31" s="704"/>
      <c r="N31" s="1063"/>
      <c r="Q31" s="1064"/>
      <c r="R31" s="1078" t="s">
        <v>1594</v>
      </c>
      <c r="S31" s="1078"/>
      <c r="T31" s="667">
        <v>0</v>
      </c>
      <c r="U31" s="668">
        <v>0</v>
      </c>
      <c r="V31" s="668">
        <v>0</v>
      </c>
      <c r="W31" s="668">
        <v>0</v>
      </c>
      <c r="X31" s="668">
        <v>0</v>
      </c>
      <c r="Y31" s="668">
        <v>0</v>
      </c>
      <c r="Z31" s="668"/>
      <c r="AA31" s="669">
        <v>0</v>
      </c>
      <c r="AB31" s="704"/>
      <c r="AC31" s="1063"/>
    </row>
    <row r="32" spans="2:29" x14ac:dyDescent="0.25">
      <c r="B32" s="1064"/>
      <c r="C32" s="1079" t="str">
        <f>IF('7A'!$C$41&lt;&gt;0,"LIHTC Equity","LIHTC Equity - Calculate on 6E")</f>
        <v>LIHTC Equity - Calculate on 6E</v>
      </c>
      <c r="D32" s="1079"/>
      <c r="E32" s="667">
        <v>0</v>
      </c>
      <c r="F32" s="668">
        <v>0</v>
      </c>
      <c r="G32" s="668">
        <v>0</v>
      </c>
      <c r="H32" s="668">
        <v>0</v>
      </c>
      <c r="I32" s="668">
        <v>0</v>
      </c>
      <c r="J32" s="668">
        <v>0</v>
      </c>
      <c r="K32" s="668">
        <f>982699-21978</f>
        <v>960721</v>
      </c>
      <c r="L32" s="669">
        <v>0</v>
      </c>
      <c r="M32" s="704"/>
      <c r="N32" s="1063"/>
      <c r="Q32" s="1064"/>
      <c r="R32" s="1079" t="str">
        <f>IF('7A'!$C$41&lt;&gt;0,"LIHTC Equity","LIHTC Equity - Calculate on 6E")</f>
        <v>LIHTC Equity - Calculate on 6E</v>
      </c>
      <c r="S32" s="1079"/>
      <c r="T32" s="667">
        <v>0</v>
      </c>
      <c r="U32" s="668">
        <v>0</v>
      </c>
      <c r="V32" s="668">
        <v>0</v>
      </c>
      <c r="W32" s="668">
        <v>0</v>
      </c>
      <c r="X32" s="668">
        <v>0</v>
      </c>
      <c r="Y32" s="668">
        <v>0</v>
      </c>
      <c r="Z32" s="668">
        <f>250000+350000</f>
        <v>600000</v>
      </c>
      <c r="AA32" s="669">
        <v>0</v>
      </c>
      <c r="AB32" s="704"/>
      <c r="AC32" s="1063"/>
    </row>
    <row r="33" spans="2:29" x14ac:dyDescent="0.25">
      <c r="B33" s="1064"/>
      <c r="C33" s="1078" t="s">
        <v>1593</v>
      </c>
      <c r="D33" s="1078"/>
      <c r="E33" s="667">
        <v>0</v>
      </c>
      <c r="F33" s="668">
        <v>0</v>
      </c>
      <c r="G33" s="668">
        <v>0</v>
      </c>
      <c r="H33" s="668">
        <v>0</v>
      </c>
      <c r="I33" s="668">
        <v>0</v>
      </c>
      <c r="J33" s="668">
        <v>0</v>
      </c>
      <c r="K33" s="668">
        <v>100</v>
      </c>
      <c r="L33" s="669">
        <v>0</v>
      </c>
      <c r="M33" s="704"/>
      <c r="N33" s="1063"/>
      <c r="Q33" s="1064"/>
      <c r="R33" s="1078" t="str">
        <f>R84</f>
        <v>GP Contribution/Interest</v>
      </c>
      <c r="S33" s="1078"/>
      <c r="T33" s="667">
        <v>0</v>
      </c>
      <c r="U33" s="668">
        <v>0</v>
      </c>
      <c r="V33" s="668">
        <v>0</v>
      </c>
      <c r="W33" s="668">
        <v>0</v>
      </c>
      <c r="X33" s="668">
        <v>0</v>
      </c>
      <c r="Y33" s="668">
        <v>0</v>
      </c>
      <c r="Z33" s="668">
        <v>0</v>
      </c>
      <c r="AA33" s="669">
        <v>0</v>
      </c>
      <c r="AB33" s="704"/>
      <c r="AC33" s="1063"/>
    </row>
    <row r="34" spans="2:29" ht="15.75" thickBot="1" x14ac:dyDescent="0.3">
      <c r="B34" s="1064"/>
      <c r="C34" s="1078" t="str">
        <f>IF('7A'!$C$44=0,"Enter on 7A",'7A'!$C$44)</f>
        <v>Enter on 7A</v>
      </c>
      <c r="D34" s="1078"/>
      <c r="E34" s="670">
        <v>0</v>
      </c>
      <c r="F34" s="671">
        <v>0</v>
      </c>
      <c r="G34" s="671">
        <v>0</v>
      </c>
      <c r="H34" s="671">
        <v>0</v>
      </c>
      <c r="I34" s="671">
        <v>0</v>
      </c>
      <c r="J34" s="671">
        <v>0</v>
      </c>
      <c r="K34" s="671">
        <v>0</v>
      </c>
      <c r="L34" s="672">
        <v>0</v>
      </c>
      <c r="M34" s="704"/>
      <c r="N34" s="1063"/>
      <c r="Q34" s="1064"/>
      <c r="R34" s="1078" t="str">
        <f>IF('7A'!$C$44=0,"Enter on 7A",'7A'!$C$44)</f>
        <v>Enter on 7A</v>
      </c>
      <c r="S34" s="1078"/>
      <c r="T34" s="670">
        <v>0</v>
      </c>
      <c r="U34" s="671">
        <v>0</v>
      </c>
      <c r="V34" s="671">
        <v>0</v>
      </c>
      <c r="W34" s="671">
        <v>0</v>
      </c>
      <c r="X34" s="671">
        <v>0</v>
      </c>
      <c r="Y34" s="671">
        <v>0</v>
      </c>
      <c r="Z34" s="671">
        <v>0</v>
      </c>
      <c r="AA34" s="672">
        <v>0</v>
      </c>
      <c r="AB34" s="704"/>
      <c r="AC34" s="1063"/>
    </row>
    <row r="35" spans="2:29" ht="15.75" thickBot="1" x14ac:dyDescent="0.3">
      <c r="B35" s="1080"/>
      <c r="C35" s="704"/>
      <c r="D35" s="149" t="s">
        <v>336</v>
      </c>
      <c r="E35" s="165">
        <f>SUM(E27:E34)</f>
        <v>0</v>
      </c>
      <c r="F35" s="166">
        <f t="shared" ref="F35:L35" si="2">SUM(F27:F34)</f>
        <v>0</v>
      </c>
      <c r="G35" s="166">
        <f t="shared" si="2"/>
        <v>0</v>
      </c>
      <c r="H35" s="166">
        <f t="shared" si="2"/>
        <v>0</v>
      </c>
      <c r="I35" s="166">
        <f t="shared" si="2"/>
        <v>0</v>
      </c>
      <c r="J35" s="166">
        <f t="shared" si="2"/>
        <v>0</v>
      </c>
      <c r="K35" s="166">
        <f t="shared" si="2"/>
        <v>6353628</v>
      </c>
      <c r="L35" s="167">
        <f t="shared" si="2"/>
        <v>6646749</v>
      </c>
      <c r="M35" s="704"/>
      <c r="N35" s="1063"/>
      <c r="Q35" s="1080"/>
      <c r="R35" s="704"/>
      <c r="S35" s="149" t="s">
        <v>336</v>
      </c>
      <c r="T35" s="165">
        <f>SUM(T27:T34)</f>
        <v>0</v>
      </c>
      <c r="U35" s="166">
        <f t="shared" ref="U35:AA35" si="3">SUM(U27:U34)</f>
        <v>0</v>
      </c>
      <c r="V35" s="166">
        <f t="shared" si="3"/>
        <v>0</v>
      </c>
      <c r="W35" s="166">
        <f t="shared" si="3"/>
        <v>0</v>
      </c>
      <c r="X35" s="166">
        <f t="shared" si="3"/>
        <v>0</v>
      </c>
      <c r="Y35" s="166">
        <f t="shared" si="3"/>
        <v>0</v>
      </c>
      <c r="Z35" s="166">
        <f t="shared" si="3"/>
        <v>2723355</v>
      </c>
      <c r="AA35" s="167">
        <f t="shared" si="3"/>
        <v>3457389</v>
      </c>
      <c r="AB35" s="704"/>
      <c r="AC35" s="1063"/>
    </row>
    <row r="36" spans="2:29" ht="3.75" customHeight="1" thickBot="1" x14ac:dyDescent="0.3">
      <c r="B36" s="1080"/>
      <c r="C36" s="150"/>
      <c r="D36" s="150"/>
      <c r="E36" s="154"/>
      <c r="F36" s="154"/>
      <c r="G36" s="154"/>
      <c r="H36" s="154"/>
      <c r="I36" s="154"/>
      <c r="J36" s="154"/>
      <c r="K36" s="154"/>
      <c r="L36" s="2191"/>
      <c r="M36" s="704"/>
      <c r="N36" s="1063"/>
      <c r="Q36" s="1080"/>
      <c r="R36" s="150"/>
      <c r="S36" s="150"/>
      <c r="T36" s="154"/>
      <c r="U36" s="154"/>
      <c r="V36" s="154"/>
      <c r="W36" s="154"/>
      <c r="X36" s="154"/>
      <c r="Y36" s="154"/>
      <c r="Z36" s="154"/>
      <c r="AA36" s="2191"/>
      <c r="AB36" s="704"/>
      <c r="AC36" s="1063"/>
    </row>
    <row r="37" spans="2:29" ht="15.75" thickBot="1" x14ac:dyDescent="0.3">
      <c r="B37" s="1064"/>
      <c r="C37" s="147" t="s">
        <v>337</v>
      </c>
      <c r="D37" s="147"/>
      <c r="E37" s="165">
        <f>E24+E35</f>
        <v>0</v>
      </c>
      <c r="F37" s="166">
        <f t="shared" ref="F37:L37" si="4">F24+F35</f>
        <v>0</v>
      </c>
      <c r="G37" s="166">
        <f t="shared" si="4"/>
        <v>0</v>
      </c>
      <c r="H37" s="166">
        <f t="shared" si="4"/>
        <v>0</v>
      </c>
      <c r="I37" s="166">
        <f t="shared" si="4"/>
        <v>0</v>
      </c>
      <c r="J37" s="166">
        <f t="shared" si="4"/>
        <v>0</v>
      </c>
      <c r="K37" s="166">
        <f t="shared" si="4"/>
        <v>6353628</v>
      </c>
      <c r="L37" s="167">
        <f t="shared" si="4"/>
        <v>6646749</v>
      </c>
      <c r="M37" s="704"/>
      <c r="N37" s="1063"/>
      <c r="Q37" s="1064"/>
      <c r="R37" s="147" t="s">
        <v>337</v>
      </c>
      <c r="S37" s="147"/>
      <c r="T37" s="165">
        <f>T24+T35</f>
        <v>0</v>
      </c>
      <c r="U37" s="166">
        <f t="shared" ref="U37:AA37" si="5">U24+U35</f>
        <v>0</v>
      </c>
      <c r="V37" s="166">
        <f t="shared" si="5"/>
        <v>0</v>
      </c>
      <c r="W37" s="166">
        <f t="shared" si="5"/>
        <v>0</v>
      </c>
      <c r="X37" s="166">
        <f t="shared" si="5"/>
        <v>0</v>
      </c>
      <c r="Y37" s="166">
        <f t="shared" si="5"/>
        <v>0</v>
      </c>
      <c r="Z37" s="166">
        <f t="shared" si="5"/>
        <v>2723355</v>
      </c>
      <c r="AA37" s="167">
        <f t="shared" si="5"/>
        <v>4658351</v>
      </c>
      <c r="AB37" s="704"/>
      <c r="AC37" s="1063"/>
    </row>
    <row r="38" spans="2:29" x14ac:dyDescent="0.25">
      <c r="B38" s="1064"/>
      <c r="C38" s="146"/>
      <c r="D38" s="146"/>
      <c r="E38" s="146"/>
      <c r="F38" s="146"/>
      <c r="G38" s="146"/>
      <c r="H38" s="146"/>
      <c r="I38" s="146"/>
      <c r="J38" s="1074"/>
      <c r="K38" s="146"/>
      <c r="L38" s="2192"/>
      <c r="M38" s="704"/>
      <c r="N38" s="1063"/>
      <c r="Q38" s="1064"/>
      <c r="R38" s="146"/>
      <c r="S38" s="146"/>
      <c r="T38" s="146"/>
      <c r="U38" s="146"/>
      <c r="V38" s="146"/>
      <c r="W38" s="146"/>
      <c r="X38" s="146"/>
      <c r="Y38" s="1074"/>
      <c r="Z38" s="146"/>
      <c r="AA38" s="2192"/>
      <c r="AB38" s="704"/>
      <c r="AC38" s="1063"/>
    </row>
    <row r="39" spans="2:29" ht="15.75" thickBot="1" x14ac:dyDescent="0.3">
      <c r="B39" s="1064"/>
      <c r="C39" s="2177" t="s">
        <v>338</v>
      </c>
      <c r="D39" s="2177"/>
      <c r="E39" s="2193"/>
      <c r="F39" s="2194"/>
      <c r="G39" s="2194"/>
      <c r="H39" s="2194"/>
      <c r="I39" s="2194"/>
      <c r="J39" s="2194"/>
      <c r="K39" s="2195"/>
      <c r="L39" s="2196"/>
      <c r="M39" s="704"/>
      <c r="N39" s="1063"/>
      <c r="Q39" s="1064"/>
      <c r="R39" s="2177" t="s">
        <v>338</v>
      </c>
      <c r="S39" s="2177"/>
      <c r="T39" s="2193"/>
      <c r="U39" s="2194"/>
      <c r="V39" s="2194"/>
      <c r="W39" s="2194"/>
      <c r="X39" s="2194"/>
      <c r="Y39" s="2194"/>
      <c r="Z39" s="2195"/>
      <c r="AA39" s="2196"/>
      <c r="AB39" s="704"/>
      <c r="AC39" s="1063"/>
    </row>
    <row r="40" spans="2:29" x14ac:dyDescent="0.25">
      <c r="B40" s="1081"/>
      <c r="C40" s="248" t="s">
        <v>23</v>
      </c>
      <c r="D40" s="248"/>
      <c r="E40" s="664">
        <v>0</v>
      </c>
      <c r="F40" s="665">
        <v>0</v>
      </c>
      <c r="G40" s="665">
        <v>0</v>
      </c>
      <c r="H40" s="665">
        <v>0</v>
      </c>
      <c r="I40" s="665">
        <v>0</v>
      </c>
      <c r="J40" s="665">
        <v>0</v>
      </c>
      <c r="K40" s="665">
        <v>28992</v>
      </c>
      <c r="L40" s="666">
        <v>0</v>
      </c>
      <c r="M40" s="704"/>
      <c r="N40" s="1063"/>
      <c r="Q40" s="1081"/>
      <c r="R40" s="248" t="s">
        <v>23</v>
      </c>
      <c r="S40" s="248"/>
      <c r="T40" s="664">
        <v>0</v>
      </c>
      <c r="U40" s="665">
        <v>0</v>
      </c>
      <c r="V40" s="665">
        <v>0</v>
      </c>
      <c r="W40" s="665">
        <v>0</v>
      </c>
      <c r="X40" s="665">
        <v>0</v>
      </c>
      <c r="Y40" s="665">
        <v>0</v>
      </c>
      <c r="Z40" s="665">
        <f>5186+10812+10</f>
        <v>16008</v>
      </c>
      <c r="AA40" s="666">
        <v>0</v>
      </c>
      <c r="AB40" s="704"/>
      <c r="AC40" s="1063"/>
    </row>
    <row r="41" spans="2:29" x14ac:dyDescent="0.25">
      <c r="B41" s="1081"/>
      <c r="C41" s="160" t="s">
        <v>339</v>
      </c>
      <c r="D41" s="160"/>
      <c r="E41" s="667">
        <v>0</v>
      </c>
      <c r="F41" s="668">
        <v>0</v>
      </c>
      <c r="G41" s="668">
        <v>0</v>
      </c>
      <c r="H41" s="668">
        <v>0</v>
      </c>
      <c r="I41" s="668">
        <v>0</v>
      </c>
      <c r="J41" s="668">
        <v>0</v>
      </c>
      <c r="K41" s="668">
        <f>2164218+1153606+2153606</f>
        <v>5471430</v>
      </c>
      <c r="L41" s="669">
        <f>1153606+1740007+1740007+1936629</f>
        <v>6570249</v>
      </c>
      <c r="M41" s="704"/>
      <c r="N41" s="1063"/>
      <c r="Q41" s="1081"/>
      <c r="R41" s="160" t="s">
        <v>339</v>
      </c>
      <c r="S41" s="160"/>
      <c r="T41" s="667">
        <v>0</v>
      </c>
      <c r="U41" s="668">
        <v>0</v>
      </c>
      <c r="V41" s="668">
        <v>0</v>
      </c>
      <c r="W41" s="668">
        <v>0</v>
      </c>
      <c r="X41" s="668">
        <v>0</v>
      </c>
      <c r="Y41" s="668">
        <v>0</v>
      </c>
      <c r="Z41" s="668">
        <f>1186723+1275298+794421+52149+68473-2095812+440812</f>
        <v>1722064</v>
      </c>
      <c r="AA41" s="669">
        <f>1386923+1376098+932213+56479+72873+68603+1200560-440812</f>
        <v>4652937</v>
      </c>
      <c r="AB41" s="704"/>
      <c r="AC41" s="1063"/>
    </row>
    <row r="42" spans="2:29" x14ac:dyDescent="0.25">
      <c r="B42" s="1064"/>
      <c r="C42" s="160" t="s">
        <v>340</v>
      </c>
      <c r="D42" s="160"/>
      <c r="E42" s="667">
        <v>0</v>
      </c>
      <c r="F42" s="668">
        <v>0</v>
      </c>
      <c r="G42" s="668">
        <v>0</v>
      </c>
      <c r="H42" s="668">
        <v>0</v>
      </c>
      <c r="I42" s="668">
        <v>0</v>
      </c>
      <c r="J42" s="668">
        <v>0</v>
      </c>
      <c r="K42" s="668">
        <v>0</v>
      </c>
      <c r="L42" s="669">
        <v>0</v>
      </c>
      <c r="M42" s="704"/>
      <c r="N42" s="1063"/>
      <c r="Q42" s="1064"/>
      <c r="R42" s="160" t="s">
        <v>340</v>
      </c>
      <c r="S42" s="160"/>
      <c r="T42" s="667">
        <v>0</v>
      </c>
      <c r="U42" s="668">
        <v>0</v>
      </c>
      <c r="V42" s="668">
        <v>0</v>
      </c>
      <c r="W42" s="668">
        <v>0</v>
      </c>
      <c r="X42" s="668">
        <v>0</v>
      </c>
      <c r="Y42" s="668">
        <v>0</v>
      </c>
      <c r="Z42" s="668">
        <v>0</v>
      </c>
      <c r="AA42" s="669">
        <v>0</v>
      </c>
      <c r="AB42" s="704"/>
      <c r="AC42" s="1063"/>
    </row>
    <row r="43" spans="2:29" x14ac:dyDescent="0.25">
      <c r="B43" s="1064"/>
      <c r="C43" s="161" t="s">
        <v>200</v>
      </c>
      <c r="D43" s="161"/>
      <c r="E43" s="667">
        <v>0</v>
      </c>
      <c r="F43" s="668">
        <v>0</v>
      </c>
      <c r="G43" s="668">
        <v>0</v>
      </c>
      <c r="H43" s="668">
        <v>0</v>
      </c>
      <c r="I43" s="668">
        <v>0</v>
      </c>
      <c r="J43" s="668">
        <v>0</v>
      </c>
      <c r="K43" s="668">
        <f>153750+500+500+75000</f>
        <v>229750</v>
      </c>
      <c r="L43" s="669">
        <f>500+500+500+75000</f>
        <v>76500</v>
      </c>
      <c r="M43" s="704"/>
      <c r="N43" s="1063"/>
      <c r="Q43" s="1064"/>
      <c r="R43" s="161" t="s">
        <v>200</v>
      </c>
      <c r="S43" s="161"/>
      <c r="T43" s="667">
        <v>0</v>
      </c>
      <c r="U43" s="668">
        <v>0</v>
      </c>
      <c r="V43" s="668">
        <v>0</v>
      </c>
      <c r="W43" s="668">
        <v>0</v>
      </c>
      <c r="X43" s="668">
        <v>0</v>
      </c>
      <c r="Y43" s="668">
        <v>0</v>
      </c>
      <c r="Z43" s="668">
        <f>93276+500+501</f>
        <v>94277</v>
      </c>
      <c r="AA43" s="669">
        <f>500+1515+3399</f>
        <v>5414</v>
      </c>
      <c r="AB43" s="704"/>
      <c r="AC43" s="1063"/>
    </row>
    <row r="44" spans="2:29" x14ac:dyDescent="0.25">
      <c r="B44" s="1064"/>
      <c r="C44" s="161" t="s">
        <v>206</v>
      </c>
      <c r="D44" s="161"/>
      <c r="E44" s="667">
        <v>0</v>
      </c>
      <c r="F44" s="668">
        <v>0</v>
      </c>
      <c r="G44" s="668">
        <v>0</v>
      </c>
      <c r="H44" s="668">
        <v>0</v>
      </c>
      <c r="I44" s="668">
        <v>0</v>
      </c>
      <c r="J44" s="668">
        <v>0</v>
      </c>
      <c r="K44" s="668">
        <f>54242+75000</f>
        <v>129242</v>
      </c>
      <c r="L44" s="669">
        <v>0</v>
      </c>
      <c r="M44" s="704"/>
      <c r="N44" s="1063"/>
      <c r="Q44" s="1064"/>
      <c r="R44" s="161" t="s">
        <v>206</v>
      </c>
      <c r="S44" s="161"/>
      <c r="T44" s="667">
        <v>0</v>
      </c>
      <c r="U44" s="668">
        <v>0</v>
      </c>
      <c r="V44" s="668">
        <v>0</v>
      </c>
      <c r="W44" s="668">
        <v>0</v>
      </c>
      <c r="X44" s="668">
        <v>0</v>
      </c>
      <c r="Y44" s="668">
        <v>0</v>
      </c>
      <c r="Z44" s="668">
        <v>0</v>
      </c>
      <c r="AA44" s="669">
        <v>0</v>
      </c>
      <c r="AB44" s="704"/>
      <c r="AC44" s="1063"/>
    </row>
    <row r="45" spans="2:29" x14ac:dyDescent="0.25">
      <c r="B45" s="1064"/>
      <c r="C45" s="161" t="s">
        <v>214</v>
      </c>
      <c r="D45" s="161"/>
      <c r="E45" s="667">
        <v>0</v>
      </c>
      <c r="F45" s="668">
        <v>0</v>
      </c>
      <c r="G45" s="668">
        <v>0</v>
      </c>
      <c r="H45" s="668">
        <v>0</v>
      </c>
      <c r="I45" s="668">
        <v>0</v>
      </c>
      <c r="J45" s="668">
        <v>0</v>
      </c>
      <c r="K45" s="668">
        <v>0</v>
      </c>
      <c r="L45" s="669">
        <v>0</v>
      </c>
      <c r="M45" s="704"/>
      <c r="N45" s="1063"/>
      <c r="Q45" s="1064"/>
      <c r="R45" s="161" t="s">
        <v>214</v>
      </c>
      <c r="S45" s="161"/>
      <c r="T45" s="667">
        <v>0</v>
      </c>
      <c r="U45" s="668">
        <v>0</v>
      </c>
      <c r="V45" s="668">
        <v>0</v>
      </c>
      <c r="W45" s="668">
        <v>0</v>
      </c>
      <c r="X45" s="668">
        <v>0</v>
      </c>
      <c r="Y45" s="668">
        <v>0</v>
      </c>
      <c r="Z45" s="668">
        <v>0</v>
      </c>
      <c r="AA45" s="669">
        <v>0</v>
      </c>
      <c r="AB45" s="704"/>
      <c r="AC45" s="1063"/>
    </row>
    <row r="46" spans="2:29" x14ac:dyDescent="0.25">
      <c r="B46" s="1064"/>
      <c r="C46" s="161" t="s">
        <v>217</v>
      </c>
      <c r="D46" s="161"/>
      <c r="E46" s="667">
        <v>0</v>
      </c>
      <c r="F46" s="668">
        <v>0</v>
      </c>
      <c r="G46" s="668">
        <v>0</v>
      </c>
      <c r="H46" s="668">
        <v>0</v>
      </c>
      <c r="I46" s="668">
        <v>0</v>
      </c>
      <c r="J46" s="668">
        <v>0</v>
      </c>
      <c r="K46" s="668">
        <v>244214</v>
      </c>
      <c r="L46" s="669">
        <v>0</v>
      </c>
      <c r="M46" s="704"/>
      <c r="N46" s="1063"/>
      <c r="Q46" s="1064"/>
      <c r="R46" s="161" t="s">
        <v>217</v>
      </c>
      <c r="S46" s="161"/>
      <c r="T46" s="667">
        <v>0</v>
      </c>
      <c r="U46" s="668">
        <v>0</v>
      </c>
      <c r="V46" s="668">
        <v>0</v>
      </c>
      <c r="W46" s="668">
        <v>0</v>
      </c>
      <c r="X46" s="668">
        <v>0</v>
      </c>
      <c r="Y46" s="668">
        <v>0</v>
      </c>
      <c r="Z46" s="668">
        <f>111006+780000</f>
        <v>891006</v>
      </c>
      <c r="AA46" s="669">
        <v>0</v>
      </c>
      <c r="AB46" s="704"/>
      <c r="AC46" s="1063"/>
    </row>
    <row r="47" spans="2:29" ht="15.75" thickBot="1" x14ac:dyDescent="0.3">
      <c r="B47" s="1064"/>
      <c r="C47" s="161" t="s">
        <v>341</v>
      </c>
      <c r="D47" s="161"/>
      <c r="E47" s="670">
        <v>0</v>
      </c>
      <c r="F47" s="671">
        <v>0</v>
      </c>
      <c r="G47" s="671">
        <v>0</v>
      </c>
      <c r="H47" s="671">
        <v>0</v>
      </c>
      <c r="I47" s="671">
        <v>0</v>
      </c>
      <c r="J47" s="671">
        <v>0</v>
      </c>
      <c r="K47" s="671">
        <v>250000</v>
      </c>
      <c r="L47" s="672">
        <v>0</v>
      </c>
      <c r="M47" s="704"/>
      <c r="N47" s="1063"/>
      <c r="Q47" s="1064"/>
      <c r="R47" s="161" t="s">
        <v>341</v>
      </c>
      <c r="S47" s="161"/>
      <c r="T47" s="670">
        <v>0</v>
      </c>
      <c r="U47" s="671">
        <v>0</v>
      </c>
      <c r="V47" s="671">
        <v>0</v>
      </c>
      <c r="W47" s="671">
        <v>0</v>
      </c>
      <c r="X47" s="671">
        <v>0</v>
      </c>
      <c r="Y47" s="671">
        <v>0</v>
      </c>
      <c r="Z47" s="671">
        <v>0</v>
      </c>
      <c r="AA47" s="672">
        <v>0</v>
      </c>
      <c r="AB47" s="704"/>
      <c r="AC47" s="1063"/>
    </row>
    <row r="48" spans="2:29" ht="3.75" customHeight="1" thickBot="1" x14ac:dyDescent="0.3">
      <c r="B48" s="1064"/>
      <c r="C48" s="156"/>
      <c r="D48" s="156"/>
      <c r="E48" s="154"/>
      <c r="F48" s="154"/>
      <c r="G48" s="154"/>
      <c r="H48" s="154"/>
      <c r="I48" s="154"/>
      <c r="J48" s="154"/>
      <c r="K48" s="154"/>
      <c r="L48" s="154"/>
      <c r="M48" s="704"/>
      <c r="N48" s="1063"/>
      <c r="Q48" s="1064"/>
      <c r="R48" s="156"/>
      <c r="S48" s="156"/>
      <c r="T48" s="154"/>
      <c r="U48" s="154"/>
      <c r="V48" s="154"/>
      <c r="W48" s="154"/>
      <c r="X48" s="154"/>
      <c r="Y48" s="154"/>
      <c r="Z48" s="154"/>
      <c r="AA48" s="154"/>
      <c r="AB48" s="704"/>
      <c r="AC48" s="1063"/>
    </row>
    <row r="49" spans="2:29" ht="15.75" thickBot="1" x14ac:dyDescent="0.3">
      <c r="B49" s="1064"/>
      <c r="C49" s="147" t="s">
        <v>342</v>
      </c>
      <c r="D49" s="147"/>
      <c r="E49" s="165">
        <f>SUM(E40:E47)</f>
        <v>0</v>
      </c>
      <c r="F49" s="166">
        <f t="shared" ref="F49:L49" si="6">SUM(F40:F47)</f>
        <v>0</v>
      </c>
      <c r="G49" s="166">
        <f t="shared" si="6"/>
        <v>0</v>
      </c>
      <c r="H49" s="166">
        <f t="shared" si="6"/>
        <v>0</v>
      </c>
      <c r="I49" s="166">
        <f t="shared" si="6"/>
        <v>0</v>
      </c>
      <c r="J49" s="166">
        <f t="shared" si="6"/>
        <v>0</v>
      </c>
      <c r="K49" s="166">
        <f t="shared" si="6"/>
        <v>6353628</v>
      </c>
      <c r="L49" s="167">
        <f t="shared" si="6"/>
        <v>6646749</v>
      </c>
      <c r="M49" s="704"/>
      <c r="N49" s="1063"/>
      <c r="Q49" s="1064"/>
      <c r="R49" s="147" t="s">
        <v>342</v>
      </c>
      <c r="S49" s="147"/>
      <c r="T49" s="165">
        <f>SUM(T40:T47)</f>
        <v>0</v>
      </c>
      <c r="U49" s="166">
        <f t="shared" ref="U49:AA49" si="7">SUM(U40:U47)</f>
        <v>0</v>
      </c>
      <c r="V49" s="166">
        <f t="shared" si="7"/>
        <v>0</v>
      </c>
      <c r="W49" s="166">
        <f t="shared" si="7"/>
        <v>0</v>
      </c>
      <c r="X49" s="166">
        <f t="shared" si="7"/>
        <v>0</v>
      </c>
      <c r="Y49" s="166">
        <f t="shared" si="7"/>
        <v>0</v>
      </c>
      <c r="Z49" s="166">
        <f t="shared" si="7"/>
        <v>2723355</v>
      </c>
      <c r="AA49" s="167">
        <f t="shared" si="7"/>
        <v>4658351</v>
      </c>
      <c r="AB49" s="704"/>
      <c r="AC49" s="1063"/>
    </row>
    <row r="50" spans="2:29" ht="3.75" customHeight="1" thickBot="1" x14ac:dyDescent="0.3">
      <c r="B50" s="1064"/>
      <c r="C50" s="146"/>
      <c r="D50" s="146"/>
      <c r="E50" s="154"/>
      <c r="F50" s="154"/>
      <c r="G50" s="154"/>
      <c r="H50" s="154"/>
      <c r="I50" s="154"/>
      <c r="J50" s="1082"/>
      <c r="K50" s="146"/>
      <c r="L50" s="2196"/>
      <c r="M50" s="704"/>
      <c r="N50" s="1063"/>
      <c r="Q50" s="1064"/>
      <c r="R50" s="146"/>
      <c r="S50" s="146"/>
      <c r="T50" s="154"/>
      <c r="U50" s="154"/>
      <c r="V50" s="154"/>
      <c r="W50" s="154"/>
      <c r="X50" s="154"/>
      <c r="Y50" s="1082"/>
      <c r="Z50" s="146"/>
      <c r="AA50" s="2196"/>
      <c r="AB50" s="704"/>
      <c r="AC50" s="1063"/>
    </row>
    <row r="51" spans="2:29" ht="15.75" thickBot="1" x14ac:dyDescent="0.3">
      <c r="B51" s="1064"/>
      <c r="C51" s="151" t="s">
        <v>343</v>
      </c>
      <c r="D51" s="151"/>
      <c r="E51" s="165">
        <f>E37-E49</f>
        <v>0</v>
      </c>
      <c r="F51" s="166">
        <f t="shared" ref="F51:L51" si="8">F37-F49</f>
        <v>0</v>
      </c>
      <c r="G51" s="166">
        <f t="shared" si="8"/>
        <v>0</v>
      </c>
      <c r="H51" s="166">
        <f t="shared" si="8"/>
        <v>0</v>
      </c>
      <c r="I51" s="166">
        <f t="shared" si="8"/>
        <v>0</v>
      </c>
      <c r="J51" s="166">
        <f t="shared" si="8"/>
        <v>0</v>
      </c>
      <c r="K51" s="166">
        <f t="shared" si="8"/>
        <v>0</v>
      </c>
      <c r="L51" s="167">
        <f t="shared" si="8"/>
        <v>0</v>
      </c>
      <c r="M51" s="704"/>
      <c r="N51" s="1063"/>
      <c r="Q51" s="1064"/>
      <c r="R51" s="151" t="s">
        <v>343</v>
      </c>
      <c r="S51" s="151"/>
      <c r="T51" s="165">
        <f>T37-T49</f>
        <v>0</v>
      </c>
      <c r="U51" s="166">
        <f t="shared" ref="U51:AA51" si="9">U37-U49</f>
        <v>0</v>
      </c>
      <c r="V51" s="166">
        <f t="shared" si="9"/>
        <v>0</v>
      </c>
      <c r="W51" s="166">
        <f t="shared" si="9"/>
        <v>0</v>
      </c>
      <c r="X51" s="166">
        <f t="shared" si="9"/>
        <v>0</v>
      </c>
      <c r="Y51" s="166">
        <f t="shared" si="9"/>
        <v>0</v>
      </c>
      <c r="Z51" s="166">
        <f t="shared" si="9"/>
        <v>0</v>
      </c>
      <c r="AA51" s="167">
        <f t="shared" si="9"/>
        <v>0</v>
      </c>
      <c r="AB51" s="704"/>
      <c r="AC51" s="1063"/>
    </row>
    <row r="52" spans="2:29" ht="7.5" customHeight="1" x14ac:dyDescent="0.25">
      <c r="B52" s="1064"/>
      <c r="C52" s="146"/>
      <c r="D52" s="146"/>
      <c r="E52" s="146"/>
      <c r="F52" s="154"/>
      <c r="G52" s="154"/>
      <c r="H52" s="154"/>
      <c r="I52" s="154"/>
      <c r="J52" s="154"/>
      <c r="K52" s="154"/>
      <c r="L52" s="154"/>
      <c r="M52" s="154"/>
      <c r="N52" s="1063"/>
      <c r="Q52" s="1064"/>
      <c r="R52" s="146"/>
      <c r="S52" s="146"/>
      <c r="T52" s="146"/>
      <c r="U52" s="154"/>
      <c r="V52" s="154"/>
      <c r="W52" s="154"/>
      <c r="X52" s="154"/>
      <c r="Y52" s="154"/>
      <c r="Z52" s="154"/>
      <c r="AA52" s="154"/>
      <c r="AB52" s="154"/>
      <c r="AC52" s="1063"/>
    </row>
    <row r="53" spans="2:29" x14ac:dyDescent="0.25">
      <c r="B53" s="1064"/>
      <c r="C53" s="152" t="s">
        <v>344</v>
      </c>
      <c r="D53" s="146"/>
      <c r="E53" s="2185"/>
      <c r="F53" s="154"/>
      <c r="G53" s="154"/>
      <c r="H53" s="154"/>
      <c r="I53" s="154"/>
      <c r="J53" s="154"/>
      <c r="K53" s="154"/>
      <c r="L53" s="154"/>
      <c r="M53" s="154"/>
      <c r="N53" s="1063"/>
      <c r="Q53" s="1064"/>
      <c r="R53" s="152" t="s">
        <v>344</v>
      </c>
      <c r="S53" s="146"/>
      <c r="T53" s="2185"/>
      <c r="U53" s="154"/>
      <c r="V53" s="154"/>
      <c r="W53" s="154"/>
      <c r="X53" s="154"/>
      <c r="Y53" s="154"/>
      <c r="Z53" s="154"/>
      <c r="AA53" s="154"/>
      <c r="AB53" s="154"/>
      <c r="AC53" s="1063"/>
    </row>
    <row r="54" spans="2:29" ht="15" customHeight="1" x14ac:dyDescent="0.25">
      <c r="B54" s="1064"/>
      <c r="C54" s="2462"/>
      <c r="D54" s="2463"/>
      <c r="E54" s="2463"/>
      <c r="F54" s="2463"/>
      <c r="G54" s="2463"/>
      <c r="H54" s="2463"/>
      <c r="I54" s="2463"/>
      <c r="J54" s="2463"/>
      <c r="K54" s="2463"/>
      <c r="L54" s="2464"/>
      <c r="M54" s="704"/>
      <c r="N54" s="1063"/>
      <c r="Q54" s="1064"/>
      <c r="R54" s="2462"/>
      <c r="S54" s="2463"/>
      <c r="T54" s="2463"/>
      <c r="U54" s="2463"/>
      <c r="V54" s="2463"/>
      <c r="W54" s="2463"/>
      <c r="X54" s="2463"/>
      <c r="Y54" s="2463"/>
      <c r="Z54" s="2463"/>
      <c r="AA54" s="2464"/>
      <c r="AB54" s="704"/>
      <c r="AC54" s="1063"/>
    </row>
    <row r="55" spans="2:29" ht="15" customHeight="1" x14ac:dyDescent="0.25">
      <c r="B55" s="1064"/>
      <c r="C55" s="2465"/>
      <c r="D55" s="2466"/>
      <c r="E55" s="2466"/>
      <c r="F55" s="2466"/>
      <c r="G55" s="2466"/>
      <c r="H55" s="2466"/>
      <c r="I55" s="2466"/>
      <c r="J55" s="2466"/>
      <c r="K55" s="2466"/>
      <c r="L55" s="2467"/>
      <c r="M55" s="704"/>
      <c r="N55" s="1063"/>
      <c r="Q55" s="1064"/>
      <c r="R55" s="2465"/>
      <c r="S55" s="2466"/>
      <c r="T55" s="2466"/>
      <c r="U55" s="2466"/>
      <c r="V55" s="2466"/>
      <c r="W55" s="2466"/>
      <c r="X55" s="2466"/>
      <c r="Y55" s="2466"/>
      <c r="Z55" s="2466"/>
      <c r="AA55" s="2467"/>
      <c r="AB55" s="704"/>
      <c r="AC55" s="1063"/>
    </row>
    <row r="56" spans="2:29" ht="15" customHeight="1" x14ac:dyDescent="0.25">
      <c r="B56" s="1064"/>
      <c r="C56" s="2465"/>
      <c r="D56" s="2466"/>
      <c r="E56" s="2466"/>
      <c r="F56" s="2466"/>
      <c r="G56" s="2466"/>
      <c r="H56" s="2466"/>
      <c r="I56" s="2466"/>
      <c r="J56" s="2466"/>
      <c r="K56" s="2466"/>
      <c r="L56" s="2467"/>
      <c r="M56" s="704"/>
      <c r="N56" s="1063"/>
      <c r="Q56" s="1064"/>
      <c r="R56" s="2465"/>
      <c r="S56" s="2466"/>
      <c r="T56" s="2466"/>
      <c r="U56" s="2466"/>
      <c r="V56" s="2466"/>
      <c r="W56" s="2466"/>
      <c r="X56" s="2466"/>
      <c r="Y56" s="2466"/>
      <c r="Z56" s="2466"/>
      <c r="AA56" s="2467"/>
      <c r="AB56" s="704"/>
      <c r="AC56" s="1063"/>
    </row>
    <row r="57" spans="2:29" ht="15" customHeight="1" x14ac:dyDescent="0.25">
      <c r="B57" s="1064"/>
      <c r="C57" s="2468"/>
      <c r="D57" s="2469"/>
      <c r="E57" s="2469"/>
      <c r="F57" s="2469"/>
      <c r="G57" s="2469"/>
      <c r="H57" s="2469"/>
      <c r="I57" s="2469"/>
      <c r="J57" s="2469"/>
      <c r="K57" s="2469"/>
      <c r="L57" s="2470"/>
      <c r="M57" s="704"/>
      <c r="N57" s="1063"/>
      <c r="Q57" s="1064"/>
      <c r="R57" s="2468"/>
      <c r="S57" s="2469"/>
      <c r="T57" s="2469"/>
      <c r="U57" s="2469"/>
      <c r="V57" s="2469"/>
      <c r="W57" s="2469"/>
      <c r="X57" s="2469"/>
      <c r="Y57" s="2469"/>
      <c r="Z57" s="2469"/>
      <c r="AA57" s="2470"/>
      <c r="AB57" s="704"/>
      <c r="AC57" s="1063"/>
    </row>
    <row r="58" spans="2:29" ht="9" customHeight="1" thickBot="1" x14ac:dyDescent="0.3">
      <c r="B58" s="1083"/>
      <c r="C58" s="729"/>
      <c r="D58" s="729"/>
      <c r="E58" s="1084"/>
      <c r="F58" s="1084"/>
      <c r="G58" s="1084"/>
      <c r="H58" s="1084"/>
      <c r="I58" s="1084"/>
      <c r="J58" s="1084"/>
      <c r="K58" s="1084"/>
      <c r="L58" s="1084"/>
      <c r="M58" s="1084"/>
      <c r="N58" s="1085"/>
      <c r="Q58" s="1083"/>
      <c r="R58" s="729"/>
      <c r="S58" s="729"/>
      <c r="T58" s="1084"/>
      <c r="U58" s="1084"/>
      <c r="V58" s="1084"/>
      <c r="W58" s="1084"/>
      <c r="X58" s="1084"/>
      <c r="Y58" s="1084"/>
      <c r="Z58" s="1084"/>
      <c r="AA58" s="1084"/>
      <c r="AB58" s="1084"/>
      <c r="AC58" s="1085"/>
    </row>
    <row r="59" spans="2:29" ht="3.75" customHeight="1" x14ac:dyDescent="0.25">
      <c r="B59" s="708"/>
      <c r="C59" s="708"/>
      <c r="D59" s="708"/>
      <c r="E59" s="708"/>
      <c r="F59" s="708"/>
      <c r="G59" s="708"/>
      <c r="H59" s="708"/>
      <c r="I59" s="708"/>
      <c r="J59" s="708"/>
      <c r="K59" s="708"/>
      <c r="L59" s="708"/>
      <c r="M59" s="708"/>
      <c r="N59" s="708"/>
      <c r="Q59" s="708"/>
      <c r="R59" s="708"/>
      <c r="S59" s="708"/>
      <c r="T59" s="708"/>
      <c r="U59" s="708"/>
      <c r="V59" s="708"/>
      <c r="W59" s="708"/>
      <c r="X59" s="708"/>
      <c r="Y59" s="708"/>
      <c r="Z59" s="708"/>
      <c r="AA59" s="708"/>
      <c r="AB59" s="708"/>
      <c r="AC59" s="708"/>
    </row>
    <row r="60" spans="2:29" ht="3.75" customHeight="1" thickBot="1" x14ac:dyDescent="0.3">
      <c r="B60" s="708"/>
      <c r="C60" s="708"/>
      <c r="D60" s="708"/>
      <c r="E60" s="708"/>
      <c r="F60" s="708"/>
      <c r="G60" s="708"/>
      <c r="H60" s="708"/>
      <c r="I60" s="708"/>
      <c r="J60" s="708"/>
      <c r="K60" s="708"/>
      <c r="L60" s="708"/>
      <c r="M60" s="708"/>
      <c r="N60" s="708"/>
      <c r="O60" s="1987"/>
      <c r="P60" s="1987"/>
      <c r="Q60" s="708"/>
      <c r="R60" s="708"/>
      <c r="S60" s="708"/>
      <c r="T60" s="708"/>
      <c r="U60" s="708"/>
      <c r="V60" s="708"/>
      <c r="W60" s="708"/>
      <c r="X60" s="708"/>
      <c r="Y60" s="708"/>
      <c r="Z60" s="708"/>
      <c r="AA60" s="708"/>
      <c r="AB60" s="708"/>
      <c r="AC60" s="708"/>
    </row>
    <row r="61" spans="2:29" ht="9" customHeight="1" x14ac:dyDescent="0.25">
      <c r="B61" s="1059"/>
      <c r="C61" s="1060"/>
      <c r="D61" s="1060"/>
      <c r="E61" s="1060"/>
      <c r="F61" s="1060"/>
      <c r="G61" s="1060"/>
      <c r="H61" s="1060"/>
      <c r="I61" s="1060"/>
      <c r="J61" s="1060"/>
      <c r="K61" s="1060"/>
      <c r="L61" s="1060"/>
      <c r="M61" s="1060"/>
      <c r="N61" s="1061"/>
      <c r="O61" s="1987"/>
      <c r="P61" s="1987"/>
      <c r="Q61" s="1059"/>
      <c r="R61" s="1060"/>
      <c r="S61" s="1060"/>
      <c r="T61" s="1060"/>
      <c r="U61" s="1060"/>
      <c r="V61" s="1060"/>
      <c r="W61" s="1060"/>
      <c r="X61" s="1060"/>
      <c r="Y61" s="1060"/>
      <c r="Z61" s="1060"/>
      <c r="AA61" s="1060"/>
      <c r="AB61" s="1060"/>
      <c r="AC61" s="1061"/>
    </row>
    <row r="62" spans="2:29" ht="18.75" x14ac:dyDescent="0.3">
      <c r="B62" s="1062"/>
      <c r="C62" s="2323" t="s">
        <v>1065</v>
      </c>
      <c r="D62" s="2323"/>
      <c r="E62" s="2323"/>
      <c r="F62" s="2323"/>
      <c r="G62" s="2323"/>
      <c r="H62" s="2323"/>
      <c r="I62" s="2323"/>
      <c r="J62" s="2323"/>
      <c r="K62" s="2323"/>
      <c r="L62" s="2323"/>
      <c r="M62" s="2323"/>
      <c r="N62" s="1063"/>
      <c r="O62" s="1987"/>
      <c r="P62" s="1987"/>
      <c r="Q62" s="1062"/>
      <c r="R62" s="2323" t="s">
        <v>1065</v>
      </c>
      <c r="S62" s="2323"/>
      <c r="T62" s="2323"/>
      <c r="U62" s="2323"/>
      <c r="V62" s="2323"/>
      <c r="W62" s="2323"/>
      <c r="X62" s="2323"/>
      <c r="Y62" s="2323"/>
      <c r="Z62" s="2323"/>
      <c r="AA62" s="2323"/>
      <c r="AB62" s="2323"/>
      <c r="AC62" s="1063"/>
    </row>
    <row r="63" spans="2:29" ht="15" customHeight="1" x14ac:dyDescent="0.25">
      <c r="B63" s="1062"/>
      <c r="C63" s="787"/>
      <c r="D63" s="787"/>
      <c r="E63" s="787"/>
      <c r="F63" s="787"/>
      <c r="G63" s="787"/>
      <c r="H63" s="787"/>
      <c r="I63" s="787"/>
      <c r="J63" s="787"/>
      <c r="K63" s="787"/>
      <c r="L63" s="787"/>
      <c r="M63" s="787"/>
      <c r="N63" s="1063"/>
      <c r="O63" s="1987"/>
      <c r="P63" s="1987"/>
      <c r="Q63" s="1062"/>
      <c r="R63" s="787"/>
      <c r="S63" s="787"/>
      <c r="T63" s="787"/>
      <c r="U63" s="787"/>
      <c r="V63" s="787"/>
      <c r="W63" s="787"/>
      <c r="X63" s="787"/>
      <c r="Y63" s="787"/>
      <c r="Z63" s="787"/>
      <c r="AA63" s="787"/>
      <c r="AB63" s="787"/>
      <c r="AC63" s="1063"/>
    </row>
    <row r="64" spans="2:29" x14ac:dyDescent="0.25">
      <c r="B64" s="1064"/>
      <c r="C64" s="1065" t="s">
        <v>328</v>
      </c>
      <c r="D64" s="1066" t="str">
        <f>+D13</f>
        <v>Building 9 South (4%)</v>
      </c>
      <c r="E64" s="1066"/>
      <c r="F64" s="1066"/>
      <c r="G64" s="1066"/>
      <c r="H64" s="1066"/>
      <c r="I64" s="1066"/>
      <c r="J64" s="1067"/>
      <c r="K64" s="146"/>
      <c r="L64" s="704"/>
      <c r="M64" s="704"/>
      <c r="N64" s="1063"/>
      <c r="O64" s="1987"/>
      <c r="P64" s="1987"/>
      <c r="Q64" s="1064"/>
      <c r="R64" s="1065" t="s">
        <v>328</v>
      </c>
      <c r="S64" s="1066" t="str">
        <f>+S13</f>
        <v>Building 9 North (9%)</v>
      </c>
      <c r="T64" s="1066"/>
      <c r="U64" s="1066"/>
      <c r="V64" s="1066"/>
      <c r="W64" s="1066"/>
      <c r="X64" s="1066"/>
      <c r="Y64" s="1067"/>
      <c r="Z64" s="146"/>
      <c r="AA64" s="704"/>
      <c r="AB64" s="704"/>
      <c r="AC64" s="1063"/>
    </row>
    <row r="65" spans="2:31" ht="7.5" customHeight="1" x14ac:dyDescent="0.25">
      <c r="B65" s="1064"/>
      <c r="C65" s="1068"/>
      <c r="D65" s="1068"/>
      <c r="E65" s="1069"/>
      <c r="F65" s="1069"/>
      <c r="G65" s="1069"/>
      <c r="H65" s="146"/>
      <c r="I65" s="146"/>
      <c r="J65" s="146"/>
      <c r="K65" s="146"/>
      <c r="L65" s="151"/>
      <c r="M65" s="146"/>
      <c r="N65" s="1063"/>
      <c r="O65" s="1987"/>
      <c r="P65" s="1987"/>
      <c r="Q65" s="1064"/>
      <c r="R65" s="1068"/>
      <c r="S65" s="1068"/>
      <c r="T65" s="1069"/>
      <c r="U65" s="1069"/>
      <c r="V65" s="1069"/>
      <c r="W65" s="146"/>
      <c r="X65" s="146"/>
      <c r="Y65" s="146"/>
      <c r="Z65" s="146"/>
      <c r="AA65" s="151"/>
      <c r="AB65" s="146"/>
      <c r="AC65" s="1063"/>
    </row>
    <row r="66" spans="2:31" x14ac:dyDescent="0.25">
      <c r="B66" s="1064"/>
      <c r="C66" s="151" t="s">
        <v>329</v>
      </c>
      <c r="D66" s="2176">
        <f ca="1">IF(D15=0,"",D15)</f>
        <v>42285</v>
      </c>
      <c r="E66" s="1069"/>
      <c r="F66" s="1069"/>
      <c r="G66" s="1069"/>
      <c r="H66" s="146"/>
      <c r="I66" s="146"/>
      <c r="J66" s="146"/>
      <c r="K66" s="146"/>
      <c r="L66" s="151"/>
      <c r="M66" s="146"/>
      <c r="N66" s="1063"/>
      <c r="O66" s="1987"/>
      <c r="P66" s="1987"/>
      <c r="Q66" s="1064"/>
      <c r="R66" s="151" t="s">
        <v>329</v>
      </c>
      <c r="S66" s="2176">
        <f ca="1">IF(S15=0,"",S15)</f>
        <v>42285</v>
      </c>
      <c r="T66" s="1069"/>
      <c r="U66" s="1069"/>
      <c r="V66" s="1069"/>
      <c r="W66" s="146"/>
      <c r="X66" s="146"/>
      <c r="Y66" s="146"/>
      <c r="Z66" s="146"/>
      <c r="AA66" s="151"/>
      <c r="AB66" s="146"/>
      <c r="AC66" s="1063"/>
    </row>
    <row r="67" spans="2:31" ht="15" customHeight="1" x14ac:dyDescent="0.25">
      <c r="B67" s="1064"/>
      <c r="C67" s="704"/>
      <c r="D67" s="704"/>
      <c r="E67" s="1068"/>
      <c r="F67" s="1070"/>
      <c r="G67" s="1071"/>
      <c r="H67" s="1072"/>
      <c r="I67" s="1068"/>
      <c r="J67" s="1068"/>
      <c r="K67" s="1068"/>
      <c r="L67" s="727"/>
      <c r="M67" s="727"/>
      <c r="N67" s="1063"/>
      <c r="O67" s="1987"/>
      <c r="P67" s="1987"/>
      <c r="Q67" s="1064"/>
      <c r="R67" s="704"/>
      <c r="S67" s="704"/>
      <c r="T67" s="1068"/>
      <c r="U67" s="1070"/>
      <c r="V67" s="1071"/>
      <c r="W67" s="1072"/>
      <c r="X67" s="1068"/>
      <c r="Y67" s="1068"/>
      <c r="Z67" s="1068"/>
      <c r="AA67" s="727"/>
      <c r="AB67" s="727"/>
      <c r="AC67" s="1063"/>
    </row>
    <row r="68" spans="2:31" ht="15.75" thickBot="1" x14ac:dyDescent="0.3">
      <c r="B68" s="1064"/>
      <c r="C68" s="2177" t="s">
        <v>330</v>
      </c>
      <c r="D68" s="2177"/>
      <c r="E68" s="1086"/>
      <c r="F68" s="146"/>
      <c r="G68" s="146"/>
      <c r="H68" s="146"/>
      <c r="I68" s="146"/>
      <c r="J68" s="146"/>
      <c r="K68" s="1074"/>
      <c r="L68" s="146"/>
      <c r="M68" s="146"/>
      <c r="N68" s="1063"/>
      <c r="O68" s="1987"/>
      <c r="P68" s="1987"/>
      <c r="Q68" s="1064"/>
      <c r="R68" s="2177" t="s">
        <v>330</v>
      </c>
      <c r="S68" s="2177"/>
      <c r="T68" s="1086"/>
      <c r="U68" s="146"/>
      <c r="V68" s="146"/>
      <c r="W68" s="146"/>
      <c r="X68" s="146"/>
      <c r="Y68" s="146"/>
      <c r="Z68" s="1074"/>
      <c r="AA68" s="146"/>
      <c r="AB68" s="146"/>
      <c r="AC68" s="1063"/>
    </row>
    <row r="69" spans="2:31" x14ac:dyDescent="0.25">
      <c r="B69" s="1064"/>
      <c r="C69" s="146"/>
      <c r="D69" s="146"/>
      <c r="E69" s="2178" t="s">
        <v>331</v>
      </c>
      <c r="F69" s="2179" t="s">
        <v>332</v>
      </c>
      <c r="G69" s="2180" t="s">
        <v>333</v>
      </c>
      <c r="H69" s="2179" t="s">
        <v>334</v>
      </c>
      <c r="I69" s="2180" t="s">
        <v>331</v>
      </c>
      <c r="J69" s="2179" t="s">
        <v>332</v>
      </c>
      <c r="K69" s="2180" t="s">
        <v>333</v>
      </c>
      <c r="L69" s="2179" t="s">
        <v>334</v>
      </c>
      <c r="M69" s="612" t="s">
        <v>345</v>
      </c>
      <c r="N69" s="1063"/>
      <c r="O69" s="1987"/>
      <c r="P69" s="1987"/>
      <c r="Q69" s="1064"/>
      <c r="R69" s="146"/>
      <c r="S69" s="146"/>
      <c r="T69" s="2178" t="s">
        <v>331</v>
      </c>
      <c r="U69" s="2179" t="s">
        <v>332</v>
      </c>
      <c r="V69" s="2180" t="s">
        <v>333</v>
      </c>
      <c r="W69" s="2179" t="s">
        <v>334</v>
      </c>
      <c r="X69" s="2180" t="s">
        <v>331</v>
      </c>
      <c r="Y69" s="2179" t="s">
        <v>332</v>
      </c>
      <c r="Z69" s="2180" t="s">
        <v>333</v>
      </c>
      <c r="AA69" s="2179" t="s">
        <v>334</v>
      </c>
      <c r="AB69" s="612" t="s">
        <v>345</v>
      </c>
      <c r="AC69" s="1063"/>
    </row>
    <row r="70" spans="2:31" ht="15.75" thickBot="1" x14ac:dyDescent="0.3">
      <c r="B70" s="1064"/>
      <c r="C70" s="147" t="s">
        <v>306</v>
      </c>
      <c r="D70" s="147"/>
      <c r="E70" s="1430">
        <v>43014</v>
      </c>
      <c r="F70" s="1431">
        <v>43101</v>
      </c>
      <c r="G70" s="1431">
        <v>43191</v>
      </c>
      <c r="H70" s="1431">
        <v>43282</v>
      </c>
      <c r="I70" s="1431">
        <v>43374</v>
      </c>
      <c r="J70" s="1431">
        <v>43466</v>
      </c>
      <c r="K70" s="1431">
        <v>43556</v>
      </c>
      <c r="L70" s="1432">
        <v>43647</v>
      </c>
      <c r="M70" s="613"/>
      <c r="N70" s="1063"/>
      <c r="O70" s="1987"/>
      <c r="P70" s="1987"/>
      <c r="Q70" s="1064"/>
      <c r="R70" s="147" t="s">
        <v>306</v>
      </c>
      <c r="S70" s="147"/>
      <c r="T70" s="1430">
        <v>43014</v>
      </c>
      <c r="U70" s="1431">
        <v>43101</v>
      </c>
      <c r="V70" s="1431">
        <v>43191</v>
      </c>
      <c r="W70" s="1431">
        <v>43282</v>
      </c>
      <c r="X70" s="1431">
        <v>43374</v>
      </c>
      <c r="Y70" s="1431">
        <v>43466</v>
      </c>
      <c r="Z70" s="1431">
        <v>43556</v>
      </c>
      <c r="AA70" s="1432">
        <v>43647</v>
      </c>
      <c r="AB70" s="613"/>
      <c r="AC70" s="1063"/>
    </row>
    <row r="71" spans="2:31" x14ac:dyDescent="0.25">
      <c r="B71" s="1064"/>
      <c r="C71" s="1076" t="str">
        <f>C20</f>
        <v>Rental/Other Income</v>
      </c>
      <c r="D71" s="1076"/>
      <c r="E71" s="2181">
        <v>0</v>
      </c>
      <c r="F71" s="2182">
        <v>0</v>
      </c>
      <c r="G71" s="2182">
        <v>0</v>
      </c>
      <c r="H71" s="2182">
        <v>0</v>
      </c>
      <c r="I71" s="2182">
        <v>0</v>
      </c>
      <c r="J71" s="2182">
        <v>0</v>
      </c>
      <c r="K71" s="2182">
        <v>0</v>
      </c>
      <c r="L71" s="2183">
        <v>0</v>
      </c>
      <c r="M71" s="611">
        <f>SUM(E20:L20)+SUM(E71:L71)</f>
        <v>0</v>
      </c>
      <c r="N71" s="1063"/>
      <c r="O71" s="1987"/>
      <c r="P71" s="1987"/>
      <c r="Q71" s="1064"/>
      <c r="R71" s="1076" t="str">
        <f>R20</f>
        <v>Rental/Other Income</v>
      </c>
      <c r="S71" s="1076"/>
      <c r="T71" s="2181">
        <v>0</v>
      </c>
      <c r="U71" s="2182">
        <v>0</v>
      </c>
      <c r="V71" s="2182">
        <v>0</v>
      </c>
      <c r="W71" s="2182">
        <v>0</v>
      </c>
      <c r="X71" s="2182">
        <v>0</v>
      </c>
      <c r="Y71" s="2182">
        <v>0</v>
      </c>
      <c r="Z71" s="2182">
        <v>0</v>
      </c>
      <c r="AA71" s="2183">
        <v>0</v>
      </c>
      <c r="AB71" s="611">
        <f>SUM(T20:AA20)+SUM(T71:AA71)</f>
        <v>0</v>
      </c>
      <c r="AC71" s="1063"/>
    </row>
    <row r="72" spans="2:31" x14ac:dyDescent="0.25">
      <c r="B72" s="1064"/>
      <c r="C72" s="1076" t="str">
        <f>C21</f>
        <v>Construction Loan</v>
      </c>
      <c r="D72" s="1076"/>
      <c r="E72" s="601">
        <f>3364853-586683+30</f>
        <v>2778200</v>
      </c>
      <c r="F72" s="602">
        <f>4331261+252098</f>
        <v>4583359</v>
      </c>
      <c r="G72" s="602">
        <v>4229112</v>
      </c>
      <c r="H72" s="602">
        <f>4150872-3415</f>
        <v>4147457</v>
      </c>
      <c r="I72" s="602">
        <f>3092320+729237+220000</f>
        <v>4041557</v>
      </c>
      <c r="J72" s="602">
        <v>0</v>
      </c>
      <c r="K72" s="602">
        <v>0</v>
      </c>
      <c r="L72" s="603">
        <v>0</v>
      </c>
      <c r="M72" s="610">
        <f>SUM(E21:L21)+SUM(E72:L72)</f>
        <v>19779685</v>
      </c>
      <c r="N72" s="1063"/>
      <c r="O72" s="1988"/>
      <c r="P72" s="1988"/>
      <c r="Q72" s="1064"/>
      <c r="R72" s="1076" t="str">
        <f>R21</f>
        <v>Construction Loan</v>
      </c>
      <c r="S72" s="1076"/>
      <c r="T72" s="601">
        <f>998163+1007976+921197-301435-1266917+890932</f>
        <v>2249916</v>
      </c>
      <c r="U72" s="602">
        <f>910712+912422+892465-814272-460+337869</f>
        <v>2238736</v>
      </c>
      <c r="V72" s="602">
        <f>906357+891506+882335+90078+630-250491</f>
        <v>2520415</v>
      </c>
      <c r="W72" s="602">
        <f>931844+20290+1018652+961531-217453</f>
        <v>2714864</v>
      </c>
      <c r="X72" s="602">
        <f>22241+22283+22325</f>
        <v>66849</v>
      </c>
      <c r="Y72" s="602">
        <f>121876+22595+22637+18062</f>
        <v>185170</v>
      </c>
      <c r="Z72" s="602"/>
      <c r="AA72" s="603">
        <v>0</v>
      </c>
      <c r="AB72" s="610">
        <f>SUM(T21:AA21)+SUM(T72:AA72)</f>
        <v>11176912</v>
      </c>
      <c r="AC72" s="1063"/>
      <c r="AE72" s="1674"/>
    </row>
    <row r="73" spans="2:31" x14ac:dyDescent="0.25">
      <c r="B73" s="1064"/>
      <c r="C73" s="1076" t="s">
        <v>1550</v>
      </c>
      <c r="D73" s="1076"/>
      <c r="E73" s="601">
        <v>0</v>
      </c>
      <c r="F73" s="602">
        <v>0</v>
      </c>
      <c r="G73" s="602">
        <v>0</v>
      </c>
      <c r="H73" s="602">
        <v>0</v>
      </c>
      <c r="I73" s="602">
        <v>0</v>
      </c>
      <c r="J73" s="602">
        <v>0</v>
      </c>
      <c r="K73" s="602">
        <v>0</v>
      </c>
      <c r="L73" s="603">
        <v>-19779685</v>
      </c>
      <c r="M73" s="163">
        <f>SUM(E22:L22)+SUM(E73:L73)</f>
        <v>-19779685</v>
      </c>
      <c r="N73" s="1063"/>
      <c r="O73" s="1987"/>
      <c r="P73" s="1987"/>
      <c r="Q73" s="1064"/>
      <c r="R73" s="1076" t="s">
        <v>1595</v>
      </c>
      <c r="S73" s="1076"/>
      <c r="T73" s="601">
        <v>0</v>
      </c>
      <c r="U73" s="602">
        <v>0</v>
      </c>
      <c r="V73" s="602">
        <v>0</v>
      </c>
      <c r="W73" s="602">
        <v>0</v>
      </c>
      <c r="X73" s="602">
        <v>0</v>
      </c>
      <c r="Y73" s="602">
        <v>0</v>
      </c>
      <c r="Z73" s="602">
        <v>-11176912</v>
      </c>
      <c r="AA73" s="603">
        <v>0</v>
      </c>
      <c r="AB73" s="163">
        <f>SUM(T22:AA22)+SUM(T73:AA73)</f>
        <v>-11176912</v>
      </c>
      <c r="AC73" s="1063"/>
      <c r="AE73" s="1674"/>
    </row>
    <row r="74" spans="2:31" ht="15.75" thickBot="1" x14ac:dyDescent="0.3">
      <c r="B74" s="1064"/>
      <c r="C74" s="1076" t="str">
        <f>C23</f>
        <v>Enter on 7A</v>
      </c>
      <c r="D74" s="1076"/>
      <c r="E74" s="604">
        <v>0</v>
      </c>
      <c r="F74" s="605">
        <v>0</v>
      </c>
      <c r="G74" s="605">
        <v>0</v>
      </c>
      <c r="H74" s="605">
        <v>0</v>
      </c>
      <c r="I74" s="605">
        <v>0</v>
      </c>
      <c r="J74" s="605">
        <v>0</v>
      </c>
      <c r="K74" s="605">
        <v>0</v>
      </c>
      <c r="L74" s="606">
        <v>0</v>
      </c>
      <c r="M74" s="164">
        <f>SUM(E23:L23)+SUM(E74:L74)</f>
        <v>0</v>
      </c>
      <c r="N74" s="1063"/>
      <c r="O74" s="1987"/>
      <c r="P74" s="1987"/>
      <c r="Q74" s="1064"/>
      <c r="R74" s="1076" t="str">
        <f>R23</f>
        <v>Enter on 7A</v>
      </c>
      <c r="S74" s="1076"/>
      <c r="T74" s="604">
        <v>0</v>
      </c>
      <c r="U74" s="605">
        <v>0</v>
      </c>
      <c r="V74" s="605">
        <v>0</v>
      </c>
      <c r="W74" s="605">
        <v>0</v>
      </c>
      <c r="X74" s="605">
        <v>0</v>
      </c>
      <c r="Y74" s="605">
        <v>0</v>
      </c>
      <c r="Z74" s="605">
        <v>0</v>
      </c>
      <c r="AA74" s="606">
        <v>0</v>
      </c>
      <c r="AB74" s="164">
        <f>SUM(T23:AA23)+SUM(T74:AA74)</f>
        <v>0</v>
      </c>
      <c r="AC74" s="1063"/>
      <c r="AD74" s="1674"/>
      <c r="AE74" s="1674"/>
    </row>
    <row r="75" spans="2:31" ht="15.75" thickBot="1" x14ac:dyDescent="0.3">
      <c r="B75" s="1064"/>
      <c r="C75" s="786"/>
      <c r="D75" s="159" t="s">
        <v>336</v>
      </c>
      <c r="E75" s="607">
        <f>+SUM(E71:E74)</f>
        <v>2778200</v>
      </c>
      <c r="F75" s="608">
        <f t="shared" ref="F75:L75" si="10">+SUM(F71:F74)</f>
        <v>4583359</v>
      </c>
      <c r="G75" s="608">
        <f t="shared" si="10"/>
        <v>4229112</v>
      </c>
      <c r="H75" s="608">
        <f t="shared" si="10"/>
        <v>4147457</v>
      </c>
      <c r="I75" s="608">
        <f t="shared" si="10"/>
        <v>4041557</v>
      </c>
      <c r="J75" s="608">
        <f t="shared" si="10"/>
        <v>0</v>
      </c>
      <c r="K75" s="608">
        <f t="shared" si="10"/>
        <v>0</v>
      </c>
      <c r="L75" s="609">
        <f t="shared" si="10"/>
        <v>-19779685</v>
      </c>
      <c r="M75" s="153">
        <f>SUM(M71:M74)</f>
        <v>0</v>
      </c>
      <c r="N75" s="1063"/>
      <c r="O75" s="1987"/>
      <c r="P75" s="1987"/>
      <c r="Q75" s="1064"/>
      <c r="R75" s="786"/>
      <c r="S75" s="159" t="s">
        <v>336</v>
      </c>
      <c r="T75" s="607">
        <f>SUM(T71:T74)</f>
        <v>2249916</v>
      </c>
      <c r="U75" s="608">
        <f t="shared" ref="U75:AA75" si="11">SUM(U71:U74)</f>
        <v>2238736</v>
      </c>
      <c r="V75" s="608">
        <f t="shared" si="11"/>
        <v>2520415</v>
      </c>
      <c r="W75" s="608">
        <f t="shared" si="11"/>
        <v>2714864</v>
      </c>
      <c r="X75" s="608">
        <f t="shared" si="11"/>
        <v>66849</v>
      </c>
      <c r="Y75" s="608">
        <f t="shared" si="11"/>
        <v>185170</v>
      </c>
      <c r="Z75" s="608">
        <f t="shared" si="11"/>
        <v>-11176912</v>
      </c>
      <c r="AA75" s="609">
        <f t="shared" si="11"/>
        <v>0</v>
      </c>
      <c r="AB75" s="153">
        <f>SUM(AB71:AB74)</f>
        <v>0</v>
      </c>
      <c r="AC75" s="1063"/>
      <c r="AE75" s="1674"/>
    </row>
    <row r="76" spans="2:31" ht="3.75" customHeight="1" x14ac:dyDescent="0.25">
      <c r="B76" s="1064"/>
      <c r="C76" s="148"/>
      <c r="D76" s="148"/>
      <c r="E76" s="295"/>
      <c r="F76" s="154"/>
      <c r="G76" s="154"/>
      <c r="H76" s="154"/>
      <c r="I76" s="154"/>
      <c r="J76" s="154"/>
      <c r="K76" s="154"/>
      <c r="L76" s="154"/>
      <c r="M76" s="154"/>
      <c r="N76" s="1063"/>
      <c r="O76" s="1987"/>
      <c r="P76" s="1987"/>
      <c r="Q76" s="1064"/>
      <c r="R76" s="148"/>
      <c r="S76" s="148"/>
      <c r="T76" s="295"/>
      <c r="U76" s="154"/>
      <c r="V76" s="154"/>
      <c r="W76" s="154"/>
      <c r="X76" s="154"/>
      <c r="Y76" s="154"/>
      <c r="Z76" s="154"/>
      <c r="AA76" s="154"/>
      <c r="AB76" s="154"/>
      <c r="AC76" s="1063"/>
      <c r="AE76" s="1674"/>
    </row>
    <row r="77" spans="2:31" ht="15.75" thickBot="1" x14ac:dyDescent="0.3">
      <c r="B77" s="1064"/>
      <c r="C77" s="147" t="s">
        <v>206</v>
      </c>
      <c r="D77" s="147"/>
      <c r="E77" s="295"/>
      <c r="F77" s="154"/>
      <c r="G77" s="154"/>
      <c r="H77" s="154"/>
      <c r="I77" s="154"/>
      <c r="J77" s="154"/>
      <c r="K77" s="154"/>
      <c r="L77" s="154"/>
      <c r="M77" s="154"/>
      <c r="N77" s="1063"/>
      <c r="O77" s="1989"/>
      <c r="P77" s="1990"/>
      <c r="Q77" s="1064"/>
      <c r="R77" s="147" t="s">
        <v>206</v>
      </c>
      <c r="S77" s="147"/>
      <c r="T77" s="295"/>
      <c r="U77" s="154"/>
      <c r="V77" s="154"/>
      <c r="W77" s="154"/>
      <c r="X77" s="154"/>
      <c r="Y77" s="154"/>
      <c r="Z77" s="154"/>
      <c r="AA77" s="154"/>
      <c r="AB77" s="154"/>
      <c r="AC77" s="1063"/>
      <c r="AE77" s="1674"/>
    </row>
    <row r="78" spans="2:31" x14ac:dyDescent="0.25">
      <c r="B78" s="1064"/>
      <c r="C78" s="1077" t="str">
        <f>C$27</f>
        <v>Permanent Tax-Exempt Bonds</v>
      </c>
      <c r="D78" s="1077"/>
      <c r="E78" s="664">
        <v>0</v>
      </c>
      <c r="F78" s="665">
        <v>0</v>
      </c>
      <c r="G78" s="665">
        <v>0</v>
      </c>
      <c r="H78" s="665">
        <v>0</v>
      </c>
      <c r="I78" s="665">
        <v>0</v>
      </c>
      <c r="J78" s="665">
        <v>0</v>
      </c>
      <c r="K78" s="665">
        <v>0</v>
      </c>
      <c r="L78" s="666">
        <f>5260826+771174</f>
        <v>6032000</v>
      </c>
      <c r="M78" s="162">
        <f t="shared" ref="M78:M85" si="12">SUM(E27:L27)+SUM(E78:L78)</f>
        <v>6032000</v>
      </c>
      <c r="N78" s="1063"/>
      <c r="O78" s="1991"/>
      <c r="P78" s="1992"/>
      <c r="Q78" s="1064"/>
      <c r="R78" s="1077" t="str">
        <f>R$27</f>
        <v>City of Seattle</v>
      </c>
      <c r="S78" s="1077"/>
      <c r="T78" s="664">
        <v>238000</v>
      </c>
      <c r="U78" s="665">
        <v>0</v>
      </c>
      <c r="V78" s="665">
        <v>0</v>
      </c>
      <c r="W78" s="665">
        <v>0</v>
      </c>
      <c r="X78" s="665">
        <v>0</v>
      </c>
      <c r="Y78" s="665">
        <f>224965</f>
        <v>224965</v>
      </c>
      <c r="Z78" s="665">
        <v>0</v>
      </c>
      <c r="AA78" s="666">
        <v>0</v>
      </c>
      <c r="AB78" s="162">
        <f t="shared" ref="AB78:AB85" si="13">SUM(T27:AA27)+SUM(T78:AA78)</f>
        <v>4075481</v>
      </c>
      <c r="AC78" s="1063"/>
      <c r="AE78" s="1674"/>
    </row>
    <row r="79" spans="2:31" x14ac:dyDescent="0.25">
      <c r="B79" s="1064"/>
      <c r="C79" s="1078" t="str">
        <f>C$28</f>
        <v>City of Seattle</v>
      </c>
      <c r="D79" s="1078"/>
      <c r="E79" s="667">
        <f>810525+558247+115000-445</f>
        <v>1483327</v>
      </c>
      <c r="F79" s="668">
        <v>0</v>
      </c>
      <c r="G79" s="668">
        <v>0</v>
      </c>
      <c r="H79" s="668">
        <v>0</v>
      </c>
      <c r="I79" s="668">
        <v>0</v>
      </c>
      <c r="J79" s="668">
        <v>0</v>
      </c>
      <c r="K79" s="668">
        <f>786130+71604</f>
        <v>857734</v>
      </c>
      <c r="L79" s="669">
        <v>0</v>
      </c>
      <c r="M79" s="163">
        <f t="shared" si="12"/>
        <v>8047467</v>
      </c>
      <c r="N79" s="1063"/>
      <c r="O79" s="1991"/>
      <c r="P79" s="1992"/>
      <c r="Q79" s="1064"/>
      <c r="R79" s="1078" t="str">
        <f>R$28</f>
        <v>Dept. of Commerce</v>
      </c>
      <c r="S79" s="1078"/>
      <c r="T79" s="667">
        <v>1568352</v>
      </c>
      <c r="U79" s="668">
        <v>814732</v>
      </c>
      <c r="V79" s="668">
        <v>0</v>
      </c>
      <c r="W79" s="668">
        <v>0</v>
      </c>
      <c r="X79" s="668">
        <v>0</v>
      </c>
      <c r="Y79" s="668">
        <v>39500</v>
      </c>
      <c r="Z79" s="668">
        <v>0</v>
      </c>
      <c r="AA79" s="669">
        <v>0</v>
      </c>
      <c r="AB79" s="163">
        <f t="shared" si="13"/>
        <v>3950000</v>
      </c>
      <c r="AC79" s="1063"/>
      <c r="AE79" s="1674"/>
    </row>
    <row r="80" spans="2:31" x14ac:dyDescent="0.25">
      <c r="B80" s="1064"/>
      <c r="C80" s="1078" t="str">
        <f>C$29</f>
        <v>Dept. of Commerce</v>
      </c>
      <c r="D80" s="1078"/>
      <c r="E80" s="667">
        <v>0</v>
      </c>
      <c r="F80" s="668">
        <v>0</v>
      </c>
      <c r="G80" s="668">
        <v>0</v>
      </c>
      <c r="H80" s="668">
        <v>0</v>
      </c>
      <c r="I80" s="668">
        <v>0</v>
      </c>
      <c r="J80" s="668">
        <v>0</v>
      </c>
      <c r="K80" s="668">
        <v>57500</v>
      </c>
      <c r="L80" s="669">
        <v>0</v>
      </c>
      <c r="M80" s="163">
        <f t="shared" si="12"/>
        <v>5750000</v>
      </c>
      <c r="N80" s="1063"/>
      <c r="O80" s="1991"/>
      <c r="P80" s="1992"/>
      <c r="Q80" s="1064"/>
      <c r="R80" s="1078" t="str">
        <f>R$29</f>
        <v>Deferred Developer Fee</v>
      </c>
      <c r="S80" s="1078"/>
      <c r="T80" s="667">
        <v>0</v>
      </c>
      <c r="U80" s="668">
        <v>0</v>
      </c>
      <c r="V80" s="668">
        <v>0</v>
      </c>
      <c r="W80" s="668">
        <v>0</v>
      </c>
      <c r="X80" s="668">
        <v>0</v>
      </c>
      <c r="Y80" s="668">
        <v>900000</v>
      </c>
      <c r="Z80" s="668">
        <v>0</v>
      </c>
      <c r="AA80" s="669">
        <v>0</v>
      </c>
      <c r="AB80" s="163">
        <f t="shared" si="13"/>
        <v>900000</v>
      </c>
      <c r="AC80" s="1063"/>
      <c r="AE80" s="1674"/>
    </row>
    <row r="81" spans="2:31" x14ac:dyDescent="0.25">
      <c r="B81" s="1064"/>
      <c r="C81" s="1078" t="str">
        <f>C$30</f>
        <v>Deferred Developer Fee</v>
      </c>
      <c r="D81" s="1078"/>
      <c r="E81" s="667">
        <v>0</v>
      </c>
      <c r="F81" s="668">
        <v>0</v>
      </c>
      <c r="G81" s="668">
        <v>0</v>
      </c>
      <c r="H81" s="668">
        <v>0</v>
      </c>
      <c r="I81" s="668">
        <v>0</v>
      </c>
      <c r="J81" s="668">
        <v>0</v>
      </c>
      <c r="K81" s="668">
        <v>350000</v>
      </c>
      <c r="L81" s="669">
        <v>0</v>
      </c>
      <c r="M81" s="163">
        <f t="shared" si="12"/>
        <v>350000</v>
      </c>
      <c r="N81" s="1063"/>
      <c r="O81" s="1991"/>
      <c r="P81" s="1992"/>
      <c r="Q81" s="1064"/>
      <c r="R81" s="1078" t="str">
        <f>R$30</f>
        <v>Historic Tax Credit</v>
      </c>
      <c r="S81" s="1078"/>
      <c r="T81" s="667">
        <v>0</v>
      </c>
      <c r="U81" s="668">
        <v>0</v>
      </c>
      <c r="V81" s="668">
        <v>0</v>
      </c>
      <c r="W81" s="668">
        <v>0</v>
      </c>
      <c r="X81" s="668">
        <v>0</v>
      </c>
      <c r="Y81" s="668">
        <v>0</v>
      </c>
      <c r="Z81" s="668">
        <f>3992689-440812+124397</f>
        <v>3676274</v>
      </c>
      <c r="AA81" s="669">
        <v>0</v>
      </c>
      <c r="AB81" s="163">
        <f t="shared" si="13"/>
        <v>4117086</v>
      </c>
      <c r="AC81" s="1063"/>
      <c r="AE81" s="1674"/>
    </row>
    <row r="82" spans="2:31" x14ac:dyDescent="0.25">
      <c r="B82" s="1064"/>
      <c r="C82" s="1078" t="str">
        <f>C$31</f>
        <v>Historic Tax Credit</v>
      </c>
      <c r="D82" s="1078"/>
      <c r="E82" s="667">
        <v>0</v>
      </c>
      <c r="F82" s="668">
        <v>0</v>
      </c>
      <c r="G82" s="668">
        <v>0</v>
      </c>
      <c r="H82" s="668">
        <v>0</v>
      </c>
      <c r="I82" s="668">
        <v>0</v>
      </c>
      <c r="J82" s="668">
        <v>0</v>
      </c>
      <c r="K82" s="668">
        <v>0</v>
      </c>
      <c r="L82" s="669">
        <f>5765844+201964-241</f>
        <v>5967567</v>
      </c>
      <c r="M82" s="163">
        <f t="shared" si="12"/>
        <v>6608217</v>
      </c>
      <c r="N82" s="1063"/>
      <c r="O82" s="1991"/>
      <c r="P82" s="1992"/>
      <c r="Q82" s="1064"/>
      <c r="R82" s="1078" t="s">
        <v>1594</v>
      </c>
      <c r="S82" s="1078"/>
      <c r="T82" s="667">
        <v>0</v>
      </c>
      <c r="U82" s="668">
        <v>0</v>
      </c>
      <c r="V82" s="668">
        <v>0</v>
      </c>
      <c r="W82" s="668">
        <v>0</v>
      </c>
      <c r="X82" s="668">
        <v>0</v>
      </c>
      <c r="Y82" s="668">
        <v>0</v>
      </c>
      <c r="Z82" s="668">
        <v>0</v>
      </c>
      <c r="AA82" s="669">
        <v>0</v>
      </c>
      <c r="AB82" s="163">
        <f t="shared" si="13"/>
        <v>0</v>
      </c>
      <c r="AC82" s="1063"/>
      <c r="AE82" s="1674"/>
    </row>
    <row r="83" spans="2:31" x14ac:dyDescent="0.25">
      <c r="B83" s="1064"/>
      <c r="C83" s="1079" t="str">
        <f>C$32</f>
        <v>LIHTC Equity - Calculate on 6E</v>
      </c>
      <c r="D83" s="1079"/>
      <c r="E83" s="667">
        <v>0</v>
      </c>
      <c r="F83" s="668">
        <v>0</v>
      </c>
      <c r="G83" s="668">
        <f>1310482-249263</f>
        <v>1061219</v>
      </c>
      <c r="H83" s="668">
        <v>0</v>
      </c>
      <c r="I83" s="668">
        <f>272332-220000</f>
        <v>52332</v>
      </c>
      <c r="J83" s="668">
        <f>39934+39934+39934</f>
        <v>119802</v>
      </c>
      <c r="K83" s="668">
        <f>39934+39934-40285</f>
        <v>39583</v>
      </c>
      <c r="L83" s="669">
        <f>39934+8332353+40288+187123+21978-1310482-339+220000+249263</f>
        <v>7780118</v>
      </c>
      <c r="M83" s="163">
        <f t="shared" si="12"/>
        <v>10013775</v>
      </c>
      <c r="N83" s="1063"/>
      <c r="O83" s="1991"/>
      <c r="P83" s="1992"/>
      <c r="Q83" s="1064"/>
      <c r="R83" s="1079" t="str">
        <f>R$32</f>
        <v>LIHTC Equity - Calculate on 6E</v>
      </c>
      <c r="S83" s="1079"/>
      <c r="T83" s="667">
        <v>0</v>
      </c>
      <c r="U83" s="668">
        <v>0</v>
      </c>
      <c r="V83" s="668"/>
      <c r="W83" s="668">
        <v>217453</v>
      </c>
      <c r="X83" s="668">
        <v>0</v>
      </c>
      <c r="Y83" s="668">
        <v>374888</v>
      </c>
      <c r="Z83" s="668">
        <f>8580478+152004-217453-350000-374888</f>
        <v>7790141</v>
      </c>
      <c r="AA83" s="669">
        <v>0</v>
      </c>
      <c r="AB83" s="163">
        <f t="shared" si="13"/>
        <v>8982482</v>
      </c>
      <c r="AC83" s="1063"/>
      <c r="AE83" s="1674"/>
    </row>
    <row r="84" spans="2:31" x14ac:dyDescent="0.25">
      <c r="B84" s="1064"/>
      <c r="C84" s="1078" t="str">
        <f>C$33</f>
        <v>GP Contribution/Interest</v>
      </c>
      <c r="D84" s="1078"/>
      <c r="E84" s="667">
        <v>0</v>
      </c>
      <c r="F84" s="668">
        <v>0</v>
      </c>
      <c r="G84" s="668">
        <v>0</v>
      </c>
      <c r="H84" s="668">
        <v>0</v>
      </c>
      <c r="I84" s="668">
        <v>0</v>
      </c>
      <c r="J84" s="668">
        <v>0</v>
      </c>
      <c r="K84" s="668">
        <v>56668</v>
      </c>
      <c r="L84" s="669">
        <v>0</v>
      </c>
      <c r="M84" s="163">
        <f t="shared" si="12"/>
        <v>56768</v>
      </c>
      <c r="N84" s="1063"/>
      <c r="O84" s="1991"/>
      <c r="P84" s="1992"/>
      <c r="Q84" s="1064"/>
      <c r="R84" s="1078" t="s">
        <v>1593</v>
      </c>
      <c r="S84" s="1078"/>
      <c r="T84" s="667">
        <v>0</v>
      </c>
      <c r="U84" s="668">
        <v>0</v>
      </c>
      <c r="V84" s="668">
        <v>0</v>
      </c>
      <c r="W84" s="668">
        <v>0</v>
      </c>
      <c r="X84" s="668">
        <v>39028</v>
      </c>
      <c r="Y84" s="668">
        <v>0</v>
      </c>
      <c r="Z84" s="668">
        <v>0</v>
      </c>
      <c r="AA84" s="669">
        <v>0</v>
      </c>
      <c r="AB84" s="163">
        <f t="shared" si="13"/>
        <v>39028</v>
      </c>
      <c r="AC84" s="1063"/>
      <c r="AE84" s="1674"/>
    </row>
    <row r="85" spans="2:31" ht="15.75" thickBot="1" x14ac:dyDescent="0.3">
      <c r="B85" s="1064"/>
      <c r="C85" s="1078" t="str">
        <f>C$34</f>
        <v>Enter on 7A</v>
      </c>
      <c r="D85" s="1078"/>
      <c r="E85" s="670">
        <v>0</v>
      </c>
      <c r="F85" s="671">
        <v>0</v>
      </c>
      <c r="G85" s="671">
        <v>0</v>
      </c>
      <c r="H85" s="671">
        <v>0</v>
      </c>
      <c r="I85" s="671">
        <v>0</v>
      </c>
      <c r="J85" s="671">
        <v>0</v>
      </c>
      <c r="K85" s="671">
        <v>0</v>
      </c>
      <c r="L85" s="672">
        <v>0</v>
      </c>
      <c r="M85" s="164">
        <f t="shared" si="12"/>
        <v>0</v>
      </c>
      <c r="N85" s="1063"/>
      <c r="O85" s="1991"/>
      <c r="P85" s="1992"/>
      <c r="Q85" s="1064"/>
      <c r="R85" s="1078" t="str">
        <f>R$34</f>
        <v>Enter on 7A</v>
      </c>
      <c r="S85" s="1078"/>
      <c r="T85" s="670">
        <v>0</v>
      </c>
      <c r="U85" s="671">
        <v>0</v>
      </c>
      <c r="V85" s="671">
        <v>0</v>
      </c>
      <c r="W85" s="671">
        <v>0</v>
      </c>
      <c r="X85" s="671">
        <v>0</v>
      </c>
      <c r="Y85" s="671">
        <v>0</v>
      </c>
      <c r="Z85" s="671">
        <v>0</v>
      </c>
      <c r="AA85" s="672">
        <v>0</v>
      </c>
      <c r="AB85" s="164">
        <f t="shared" si="13"/>
        <v>0</v>
      </c>
      <c r="AC85" s="1063"/>
      <c r="AE85" s="1674"/>
    </row>
    <row r="86" spans="2:31" ht="15.75" thickBot="1" x14ac:dyDescent="0.3">
      <c r="B86" s="1064"/>
      <c r="C86" s="704"/>
      <c r="D86" s="149" t="s">
        <v>336</v>
      </c>
      <c r="E86" s="165">
        <f>SUM(E78:E85)</f>
        <v>1483327</v>
      </c>
      <c r="F86" s="166">
        <f t="shared" ref="F86:L86" si="14">SUM(F78:F85)</f>
        <v>0</v>
      </c>
      <c r="G86" s="166">
        <f t="shared" si="14"/>
        <v>1061219</v>
      </c>
      <c r="H86" s="166">
        <f t="shared" si="14"/>
        <v>0</v>
      </c>
      <c r="I86" s="166">
        <f t="shared" si="14"/>
        <v>52332</v>
      </c>
      <c r="J86" s="166">
        <f t="shared" si="14"/>
        <v>119802</v>
      </c>
      <c r="K86" s="166">
        <f t="shared" si="14"/>
        <v>1361485</v>
      </c>
      <c r="L86" s="167">
        <f t="shared" si="14"/>
        <v>19779685</v>
      </c>
      <c r="M86" s="153">
        <f>SUM(M78:M85)</f>
        <v>36858227</v>
      </c>
      <c r="N86" s="1063"/>
      <c r="O86" s="2163"/>
      <c r="P86" s="1992"/>
      <c r="Q86" s="1064"/>
      <c r="R86" s="704"/>
      <c r="S86" s="149" t="s">
        <v>336</v>
      </c>
      <c r="T86" s="165">
        <f>SUM(T78:T85)</f>
        <v>1806352</v>
      </c>
      <c r="U86" s="166">
        <f t="shared" ref="U86:AA86" si="15">SUM(U78:U85)</f>
        <v>814732</v>
      </c>
      <c r="V86" s="166">
        <f t="shared" si="15"/>
        <v>0</v>
      </c>
      <c r="W86" s="166">
        <f t="shared" si="15"/>
        <v>217453</v>
      </c>
      <c r="X86" s="166">
        <f t="shared" si="15"/>
        <v>39028</v>
      </c>
      <c r="Y86" s="166">
        <f t="shared" si="15"/>
        <v>1539353</v>
      </c>
      <c r="Z86" s="166">
        <f t="shared" si="15"/>
        <v>11466415</v>
      </c>
      <c r="AA86" s="167">
        <f t="shared" si="15"/>
        <v>0</v>
      </c>
      <c r="AB86" s="153">
        <f>SUM(AB78:AB85)</f>
        <v>22064077</v>
      </c>
      <c r="AC86" s="1063"/>
      <c r="AE86" s="1674"/>
    </row>
    <row r="87" spans="2:31" ht="3.75" customHeight="1" thickBot="1" x14ac:dyDescent="0.3">
      <c r="B87" s="1064"/>
      <c r="C87" s="150"/>
      <c r="D87" s="150"/>
      <c r="E87" s="154"/>
      <c r="F87" s="154"/>
      <c r="G87" s="154"/>
      <c r="H87" s="154"/>
      <c r="I87" s="154"/>
      <c r="J87" s="154"/>
      <c r="K87" s="154"/>
      <c r="L87" s="154"/>
      <c r="M87" s="155"/>
      <c r="N87" s="1063"/>
      <c r="O87" s="1991"/>
      <c r="P87" s="1992"/>
      <c r="Q87" s="1064"/>
      <c r="R87" s="150"/>
      <c r="S87" s="150"/>
      <c r="T87" s="154"/>
      <c r="U87" s="154"/>
      <c r="V87" s="154"/>
      <c r="W87" s="154"/>
      <c r="X87" s="154"/>
      <c r="Y87" s="154"/>
      <c r="Z87" s="154"/>
      <c r="AA87" s="154"/>
      <c r="AB87" s="155"/>
      <c r="AC87" s="1063"/>
      <c r="AE87" s="1674"/>
    </row>
    <row r="88" spans="2:31" ht="15.75" thickBot="1" x14ac:dyDescent="0.3">
      <c r="B88" s="1064"/>
      <c r="C88" s="147" t="s">
        <v>337</v>
      </c>
      <c r="D88" s="147"/>
      <c r="E88" s="165">
        <f>E75+E86</f>
        <v>4261527</v>
      </c>
      <c r="F88" s="166">
        <f t="shared" ref="F88:L88" si="16">F75+F86</f>
        <v>4583359</v>
      </c>
      <c r="G88" s="166">
        <f t="shared" si="16"/>
        <v>5290331</v>
      </c>
      <c r="H88" s="166">
        <f t="shared" si="16"/>
        <v>4147457</v>
      </c>
      <c r="I88" s="166">
        <f t="shared" si="16"/>
        <v>4093889</v>
      </c>
      <c r="J88" s="166">
        <f t="shared" si="16"/>
        <v>119802</v>
      </c>
      <c r="K88" s="166">
        <f t="shared" si="16"/>
        <v>1361485</v>
      </c>
      <c r="L88" s="167">
        <f t="shared" si="16"/>
        <v>0</v>
      </c>
      <c r="M88" s="2184">
        <f>M75+M86</f>
        <v>36858227</v>
      </c>
      <c r="N88" s="1063"/>
      <c r="O88" s="1991"/>
      <c r="P88" s="1992"/>
      <c r="Q88" s="1064"/>
      <c r="R88" s="147" t="s">
        <v>337</v>
      </c>
      <c r="S88" s="147"/>
      <c r="T88" s="165">
        <f>T75+T86</f>
        <v>4056268</v>
      </c>
      <c r="U88" s="166">
        <f t="shared" ref="U88:AA88" si="17">U75+U86</f>
        <v>3053468</v>
      </c>
      <c r="V88" s="166">
        <f t="shared" si="17"/>
        <v>2520415</v>
      </c>
      <c r="W88" s="166">
        <f t="shared" si="17"/>
        <v>2932317</v>
      </c>
      <c r="X88" s="166">
        <f t="shared" si="17"/>
        <v>105877</v>
      </c>
      <c r="Y88" s="166">
        <f t="shared" si="17"/>
        <v>1724523</v>
      </c>
      <c r="Z88" s="166">
        <f t="shared" si="17"/>
        <v>289503</v>
      </c>
      <c r="AA88" s="167">
        <f t="shared" si="17"/>
        <v>0</v>
      </c>
      <c r="AB88" s="2184">
        <f>AB75+AB86</f>
        <v>22064077</v>
      </c>
      <c r="AC88" s="1063"/>
      <c r="AE88" s="1674"/>
    </row>
    <row r="89" spans="2:31" x14ac:dyDescent="0.25">
      <c r="B89" s="1064"/>
      <c r="C89" s="146"/>
      <c r="D89" s="146"/>
      <c r="E89" s="146"/>
      <c r="F89" s="146"/>
      <c r="G89" s="146"/>
      <c r="H89" s="146"/>
      <c r="I89" s="146"/>
      <c r="J89" s="1074"/>
      <c r="K89" s="146"/>
      <c r="L89" s="146"/>
      <c r="M89" s="156" t="s">
        <v>346</v>
      </c>
      <c r="N89" s="1063"/>
      <c r="O89" s="1987"/>
      <c r="P89" s="1987"/>
      <c r="Q89" s="1064"/>
      <c r="R89" s="146"/>
      <c r="S89" s="146"/>
      <c r="T89" s="146"/>
      <c r="U89" s="146"/>
      <c r="V89" s="146"/>
      <c r="W89" s="146"/>
      <c r="X89" s="146"/>
      <c r="Y89" s="1074"/>
      <c r="Z89" s="146"/>
      <c r="AA89" s="146"/>
      <c r="AB89" s="156" t="s">
        <v>346</v>
      </c>
      <c r="AC89" s="1063"/>
    </row>
    <row r="90" spans="2:31" ht="15.75" thickBot="1" x14ac:dyDescent="0.3">
      <c r="B90" s="1064"/>
      <c r="C90" s="2177" t="s">
        <v>338</v>
      </c>
      <c r="D90" s="2177"/>
      <c r="E90" s="295"/>
      <c r="F90" s="1087"/>
      <c r="G90" s="1087"/>
      <c r="H90" s="1087"/>
      <c r="I90" s="1087"/>
      <c r="J90" s="1087"/>
      <c r="K90" s="1074"/>
      <c r="L90" s="146"/>
      <c r="M90" s="146"/>
      <c r="N90" s="1063"/>
      <c r="O90" s="1987"/>
      <c r="P90" s="1987"/>
      <c r="Q90" s="1064"/>
      <c r="R90" s="2177" t="s">
        <v>338</v>
      </c>
      <c r="S90" s="2177"/>
      <c r="T90" s="295"/>
      <c r="U90" s="1087"/>
      <c r="V90" s="1087"/>
      <c r="W90" s="1087"/>
      <c r="X90" s="1087"/>
      <c r="Y90" s="1087"/>
      <c r="Z90" s="1074"/>
      <c r="AA90" s="146"/>
      <c r="AB90" s="146"/>
      <c r="AC90" s="1063"/>
    </row>
    <row r="91" spans="2:31" x14ac:dyDescent="0.25">
      <c r="B91" s="1064"/>
      <c r="C91" s="248" t="s">
        <v>23</v>
      </c>
      <c r="D91" s="248"/>
      <c r="E91" s="664">
        <v>0</v>
      </c>
      <c r="F91" s="665">
        <v>0</v>
      </c>
      <c r="G91" s="665">
        <v>0</v>
      </c>
      <c r="H91" s="665">
        <v>0</v>
      </c>
      <c r="I91" s="665">
        <v>0</v>
      </c>
      <c r="J91" s="665">
        <v>0</v>
      </c>
      <c r="K91" s="665">
        <v>0</v>
      </c>
      <c r="L91" s="666">
        <v>0</v>
      </c>
      <c r="M91" s="162">
        <f t="shared" ref="M91:M98" si="18">SUM(E40:L40)+SUM(E91:L91)</f>
        <v>28992</v>
      </c>
      <c r="N91" s="1063"/>
      <c r="O91" s="1987"/>
      <c r="P91" s="1987"/>
      <c r="Q91" s="1064"/>
      <c r="R91" s="248" t="s">
        <v>23</v>
      </c>
      <c r="S91" s="248"/>
      <c r="T91" s="664">
        <v>0</v>
      </c>
      <c r="U91" s="665">
        <v>0</v>
      </c>
      <c r="V91" s="665">
        <v>0</v>
      </c>
      <c r="W91" s="665">
        <v>0</v>
      </c>
      <c r="X91" s="665">
        <v>0</v>
      </c>
      <c r="Y91" s="665">
        <v>0</v>
      </c>
      <c r="Z91" s="665">
        <v>0</v>
      </c>
      <c r="AA91" s="666">
        <v>0</v>
      </c>
      <c r="AB91" s="162">
        <f t="shared" ref="AB91:AB98" si="19">SUM(T40:AA40)+SUM(T91:AA91)</f>
        <v>16008</v>
      </c>
      <c r="AC91" s="1063"/>
      <c r="AE91" s="1674"/>
    </row>
    <row r="92" spans="2:31" x14ac:dyDescent="0.25">
      <c r="B92" s="1064"/>
      <c r="C92" s="160" t="s">
        <v>339</v>
      </c>
      <c r="D92" s="160"/>
      <c r="E92" s="667">
        <f>1507594+1507594+1340467+111267+126218+126348-586653-988688</f>
        <v>3144147</v>
      </c>
      <c r="F92" s="668">
        <f>1340467+1340467+1360892+103342+103342+42102-500225</f>
        <v>3790387</v>
      </c>
      <c r="G92" s="668">
        <f>1360892+1360892+1340467+65109+17200+17200</f>
        <v>4161760</v>
      </c>
      <c r="H92" s="668">
        <f>1340467+1340467+1340467+17200+18920-1220000</f>
        <v>2837521</v>
      </c>
      <c r="I92" s="668">
        <f>1340467+1340467+49412+16732+49412+505678</f>
        <v>3302168</v>
      </c>
      <c r="J92" s="668">
        <v>0</v>
      </c>
      <c r="K92" s="668">
        <f>30770+266606</f>
        <v>297376</v>
      </c>
      <c r="L92" s="669">
        <v>0</v>
      </c>
      <c r="M92" s="163">
        <f t="shared" si="18"/>
        <v>29575038</v>
      </c>
      <c r="N92" s="1063"/>
      <c r="O92" s="1987"/>
      <c r="P92" s="1988"/>
      <c r="Q92" s="1064"/>
      <c r="R92" s="160" t="s">
        <v>339</v>
      </c>
      <c r="S92" s="160"/>
      <c r="T92" s="667">
        <f>932213+932213+843638+60679+68603+68673</f>
        <v>2906019</v>
      </c>
      <c r="U92" s="668">
        <f>843638+843638+854463+56479+56479+24022</f>
        <v>2678719</v>
      </c>
      <c r="V92" s="668">
        <f>854463+854463+843638+36216+19693+19693-237602</f>
        <v>2390564</v>
      </c>
      <c r="W92" s="668">
        <f>843638+843638+67455+17318+1081933</f>
        <v>2853982</v>
      </c>
      <c r="X92" s="668">
        <v>0</v>
      </c>
      <c r="Y92" s="668">
        <f>30771+237602</f>
        <v>268373</v>
      </c>
      <c r="Z92" s="668">
        <v>0</v>
      </c>
      <c r="AA92" s="669">
        <v>0</v>
      </c>
      <c r="AB92" s="163">
        <f t="shared" si="19"/>
        <v>17472658</v>
      </c>
      <c r="AC92" s="1063"/>
      <c r="AE92" s="1674"/>
    </row>
    <row r="93" spans="2:31" x14ac:dyDescent="0.25">
      <c r="B93" s="1064"/>
      <c r="C93" s="160" t="s">
        <v>340</v>
      </c>
      <c r="D93" s="160"/>
      <c r="E93" s="667">
        <v>0</v>
      </c>
      <c r="F93" s="668">
        <v>0</v>
      </c>
      <c r="G93" s="668">
        <v>0</v>
      </c>
      <c r="H93" s="668">
        <v>0</v>
      </c>
      <c r="I93" s="668">
        <v>0</v>
      </c>
      <c r="J93" s="668">
        <v>0</v>
      </c>
      <c r="K93" s="668">
        <v>0</v>
      </c>
      <c r="L93" s="669">
        <v>0</v>
      </c>
      <c r="M93" s="163">
        <f t="shared" si="18"/>
        <v>0</v>
      </c>
      <c r="N93" s="1063"/>
      <c r="O93" s="1987"/>
      <c r="P93" s="1988"/>
      <c r="Q93" s="1064"/>
      <c r="R93" s="160" t="s">
        <v>340</v>
      </c>
      <c r="S93" s="160"/>
      <c r="T93" s="667">
        <v>0</v>
      </c>
      <c r="U93" s="668">
        <v>0</v>
      </c>
      <c r="V93" s="668">
        <v>0</v>
      </c>
      <c r="W93" s="668">
        <v>0</v>
      </c>
      <c r="X93" s="668">
        <v>0</v>
      </c>
      <c r="Y93" s="668">
        <v>0</v>
      </c>
      <c r="Z93" s="668">
        <v>0</v>
      </c>
      <c r="AA93" s="669">
        <v>0</v>
      </c>
      <c r="AB93" s="163">
        <f t="shared" si="19"/>
        <v>0</v>
      </c>
      <c r="AC93" s="1063"/>
      <c r="AE93" s="1674"/>
    </row>
    <row r="94" spans="2:31" x14ac:dyDescent="0.25">
      <c r="B94" s="1064"/>
      <c r="C94" s="161" t="s">
        <v>200</v>
      </c>
      <c r="D94" s="161"/>
      <c r="E94" s="667">
        <f>1689+3938+7010+500+500+500</f>
        <v>14137</v>
      </c>
      <c r="F94" s="668">
        <f>10040+13076+16033+500+500+500</f>
        <v>40649</v>
      </c>
      <c r="G94" s="668">
        <f>19045+21963+24844+500+500+500</f>
        <v>67352</v>
      </c>
      <c r="H94" s="668">
        <f>27731+30628+33492+500+500+500-3415</f>
        <v>89936</v>
      </c>
      <c r="I94" s="668">
        <f>36464+36577+39934+500+500</f>
        <v>113975</v>
      </c>
      <c r="J94" s="668">
        <f>39934+39934+39934</f>
        <v>119802</v>
      </c>
      <c r="K94" s="668">
        <f>39934+39934+39934+42858</f>
        <v>162660</v>
      </c>
      <c r="L94" s="668"/>
      <c r="M94" s="163">
        <f t="shared" si="18"/>
        <v>914761</v>
      </c>
      <c r="N94" s="1063"/>
      <c r="O94" s="1987"/>
      <c r="P94" s="1988"/>
      <c r="Q94" s="1064"/>
      <c r="R94" s="161" t="s">
        <v>200</v>
      </c>
      <c r="S94" s="161"/>
      <c r="T94" s="667">
        <f>5270+7160+8887</f>
        <v>21317</v>
      </c>
      <c r="U94" s="668">
        <f>10595+12306+13979</f>
        <v>36880</v>
      </c>
      <c r="V94" s="668">
        <f>15678+17350+19004-6732</f>
        <v>45300</v>
      </c>
      <c r="W94" s="668">
        <f>20752+20290+22200+135495-120402</f>
        <v>78335</v>
      </c>
      <c r="X94" s="668">
        <f>22241+22283+22325</f>
        <v>66849</v>
      </c>
      <c r="Y94" s="668">
        <f>22552+22595+22637</f>
        <v>67784</v>
      </c>
      <c r="Z94" s="668">
        <v>22680</v>
      </c>
      <c r="AA94" s="669">
        <v>0</v>
      </c>
      <c r="AB94" s="163">
        <f t="shared" si="19"/>
        <v>438836</v>
      </c>
      <c r="AC94" s="1063"/>
      <c r="AE94" s="1674"/>
    </row>
    <row r="95" spans="2:31" x14ac:dyDescent="0.25">
      <c r="B95" s="1064"/>
      <c r="C95" s="161" t="s">
        <v>206</v>
      </c>
      <c r="D95" s="161"/>
      <c r="E95" s="667">
        <v>0</v>
      </c>
      <c r="F95" s="668">
        <v>0</v>
      </c>
      <c r="G95" s="668">
        <v>0</v>
      </c>
      <c r="H95" s="668">
        <v>0</v>
      </c>
      <c r="I95" s="668">
        <v>151420</v>
      </c>
      <c r="J95" s="668">
        <v>0</v>
      </c>
      <c r="K95" s="668">
        <v>0</v>
      </c>
      <c r="L95" s="669">
        <v>0</v>
      </c>
      <c r="M95" s="163">
        <f t="shared" si="18"/>
        <v>280662</v>
      </c>
      <c r="N95" s="1063"/>
      <c r="O95" s="1988"/>
      <c r="P95" s="1988"/>
      <c r="Q95" s="1064"/>
      <c r="R95" s="161" t="s">
        <v>206</v>
      </c>
      <c r="S95" s="161"/>
      <c r="T95" s="667">
        <v>28932</v>
      </c>
      <c r="U95" s="668">
        <v>89020</v>
      </c>
      <c r="V95" s="668">
        <f>90708-6157</f>
        <v>84551</v>
      </c>
      <c r="W95" s="668">
        <v>0</v>
      </c>
      <c r="X95" s="668">
        <v>0</v>
      </c>
      <c r="Y95" s="668">
        <v>0</v>
      </c>
      <c r="Z95" s="668">
        <v>0</v>
      </c>
      <c r="AA95" s="669">
        <v>0</v>
      </c>
      <c r="AB95" s="163">
        <f t="shared" si="19"/>
        <v>202503</v>
      </c>
      <c r="AC95" s="1063"/>
      <c r="AE95" s="1674"/>
    </row>
    <row r="96" spans="2:31" x14ac:dyDescent="0.25">
      <c r="B96" s="1064"/>
      <c r="C96" s="161" t="s">
        <v>214</v>
      </c>
      <c r="D96" s="161"/>
      <c r="E96" s="667">
        <v>0</v>
      </c>
      <c r="F96" s="668">
        <v>0</v>
      </c>
      <c r="G96" s="668">
        <v>0</v>
      </c>
      <c r="H96" s="668">
        <v>0</v>
      </c>
      <c r="I96" s="668">
        <f>423387+30800+72139</f>
        <v>526326</v>
      </c>
      <c r="J96" s="668">
        <v>0</v>
      </c>
      <c r="K96" s="668">
        <v>0</v>
      </c>
      <c r="L96" s="669">
        <v>0</v>
      </c>
      <c r="M96" s="163">
        <f t="shared" si="18"/>
        <v>526326</v>
      </c>
      <c r="N96" s="1063"/>
      <c r="O96" s="1987"/>
      <c r="P96" s="1988"/>
      <c r="Q96" s="1064"/>
      <c r="R96" s="161" t="s">
        <v>214</v>
      </c>
      <c r="S96" s="161"/>
      <c r="T96" s="667">
        <v>0</v>
      </c>
      <c r="U96" s="668">
        <v>0</v>
      </c>
      <c r="V96" s="668">
        <v>0</v>
      </c>
      <c r="W96" s="668">
        <v>0</v>
      </c>
      <c r="X96" s="668">
        <v>0</v>
      </c>
      <c r="Y96" s="668">
        <v>0</v>
      </c>
      <c r="Z96" s="668">
        <v>142496</v>
      </c>
      <c r="AA96" s="669">
        <v>0</v>
      </c>
      <c r="AB96" s="163">
        <f t="shared" si="19"/>
        <v>142496</v>
      </c>
      <c r="AC96" s="1063"/>
      <c r="AE96" s="1674"/>
    </row>
    <row r="97" spans="2:31" x14ac:dyDescent="0.25">
      <c r="B97" s="1064"/>
      <c r="C97" s="161" t="s">
        <v>217</v>
      </c>
      <c r="D97" s="161"/>
      <c r="E97" s="667">
        <f>988688+114555</f>
        <v>1103243</v>
      </c>
      <c r="F97" s="668">
        <f>500225+2835+249263</f>
        <v>752323</v>
      </c>
      <c r="G97" s="668">
        <f>1310482-249263</f>
        <v>1061219</v>
      </c>
      <c r="H97" s="668">
        <v>1220000</v>
      </c>
      <c r="I97" s="668">
        <v>0</v>
      </c>
      <c r="J97" s="668">
        <v>0</v>
      </c>
      <c r="K97" s="668">
        <f>732641+587853-358323+56668-117390</f>
        <v>901449</v>
      </c>
      <c r="L97" s="669"/>
      <c r="M97" s="163">
        <f t="shared" si="18"/>
        <v>5282448</v>
      </c>
      <c r="N97" s="1063"/>
      <c r="O97" s="1987"/>
      <c r="P97" s="1987"/>
      <c r="Q97" s="1064"/>
      <c r="R97" s="161" t="s">
        <v>217</v>
      </c>
      <c r="S97" s="161"/>
      <c r="T97" s="667">
        <f>862000+238000</f>
        <v>1100000</v>
      </c>
      <c r="U97" s="668">
        <v>248849</v>
      </c>
      <c r="V97" s="668"/>
      <c r="W97" s="668">
        <v>0</v>
      </c>
      <c r="X97" s="668">
        <v>39028</v>
      </c>
      <c r="Y97" s="668">
        <f>333018+666805+644543-18000-238000</f>
        <v>1388366</v>
      </c>
      <c r="Z97" s="668">
        <v>124327</v>
      </c>
      <c r="AA97" s="669">
        <v>0</v>
      </c>
      <c r="AB97" s="163">
        <f t="shared" si="19"/>
        <v>3791576</v>
      </c>
      <c r="AC97" s="1063"/>
      <c r="AE97" s="1674"/>
    </row>
    <row r="98" spans="2:31" x14ac:dyDescent="0.25">
      <c r="B98" s="1064"/>
      <c r="C98" s="161" t="s">
        <v>341</v>
      </c>
      <c r="D98" s="161"/>
      <c r="E98" s="1904">
        <v>0</v>
      </c>
      <c r="F98" s="1905">
        <v>0</v>
      </c>
      <c r="G98" s="1905">
        <v>0</v>
      </c>
      <c r="H98" s="1905">
        <v>0</v>
      </c>
      <c r="I98" s="1905">
        <v>0</v>
      </c>
      <c r="J98" s="1905">
        <v>0</v>
      </c>
      <c r="K98" s="1905">
        <v>0</v>
      </c>
      <c r="L98" s="1906"/>
      <c r="M98" s="163">
        <f t="shared" si="18"/>
        <v>250000</v>
      </c>
      <c r="N98" s="1063"/>
      <c r="O98" s="1988"/>
      <c r="P98" s="1987"/>
      <c r="Q98" s="1064"/>
      <c r="R98" s="161" t="s">
        <v>1594</v>
      </c>
      <c r="S98" s="161"/>
      <c r="T98" s="1904">
        <v>0</v>
      </c>
      <c r="U98" s="1905">
        <v>0</v>
      </c>
      <c r="V98" s="1905">
        <v>0</v>
      </c>
      <c r="W98" s="1905">
        <v>0</v>
      </c>
      <c r="X98" s="1905">
        <v>0</v>
      </c>
      <c r="Y98" s="1905">
        <v>0</v>
      </c>
      <c r="Z98" s="1905">
        <v>0</v>
      </c>
      <c r="AA98" s="1906">
        <v>0</v>
      </c>
      <c r="AB98" s="163">
        <f t="shared" si="19"/>
        <v>0</v>
      </c>
      <c r="AC98" s="1063"/>
      <c r="AE98" s="1674"/>
    </row>
    <row r="99" spans="2:31" ht="3.75" customHeight="1" thickBot="1" x14ac:dyDescent="0.3">
      <c r="B99" s="1064"/>
      <c r="C99" s="156"/>
      <c r="D99" s="156"/>
      <c r="E99" s="154"/>
      <c r="F99" s="154"/>
      <c r="G99" s="154"/>
      <c r="H99" s="154"/>
      <c r="I99" s="154"/>
      <c r="J99" s="154"/>
      <c r="K99" s="154"/>
      <c r="L99" s="154"/>
      <c r="M99" s="155"/>
      <c r="N99" s="1063"/>
      <c r="O99" s="1987"/>
      <c r="P99" s="1987"/>
      <c r="Q99" s="1064"/>
      <c r="R99" s="156"/>
      <c r="S99" s="156"/>
      <c r="T99" s="154"/>
      <c r="U99" s="154"/>
      <c r="V99" s="154"/>
      <c r="W99" s="154"/>
      <c r="X99" s="154"/>
      <c r="Y99" s="154"/>
      <c r="Z99" s="154"/>
      <c r="AA99" s="154"/>
      <c r="AB99" s="155"/>
      <c r="AC99" s="1063"/>
      <c r="AE99" s="1674"/>
    </row>
    <row r="100" spans="2:31" ht="15.75" thickBot="1" x14ac:dyDescent="0.3">
      <c r="B100" s="1064"/>
      <c r="C100" s="157" t="s">
        <v>342</v>
      </c>
      <c r="D100" s="157"/>
      <c r="E100" s="165">
        <f t="shared" ref="E100:M100" si="20">SUM(E91:E98)</f>
        <v>4261527</v>
      </c>
      <c r="F100" s="166">
        <f t="shared" si="20"/>
        <v>4583359</v>
      </c>
      <c r="G100" s="166">
        <f t="shared" si="20"/>
        <v>5290331</v>
      </c>
      <c r="H100" s="166">
        <f t="shared" si="20"/>
        <v>4147457</v>
      </c>
      <c r="I100" s="166">
        <f t="shared" si="20"/>
        <v>4093889</v>
      </c>
      <c r="J100" s="166">
        <f t="shared" si="20"/>
        <v>119802</v>
      </c>
      <c r="K100" s="166">
        <f t="shared" si="20"/>
        <v>1361485</v>
      </c>
      <c r="L100" s="167">
        <f t="shared" si="20"/>
        <v>0</v>
      </c>
      <c r="M100" s="158">
        <f t="shared" si="20"/>
        <v>36858227</v>
      </c>
      <c r="N100" s="1063"/>
      <c r="O100" s="2162"/>
      <c r="P100" s="1987"/>
      <c r="Q100" s="1064"/>
      <c r="R100" s="157" t="s">
        <v>342</v>
      </c>
      <c r="S100" s="157"/>
      <c r="T100" s="165">
        <f t="shared" ref="T100:AB100" si="21">SUM(T91:T98)</f>
        <v>4056268</v>
      </c>
      <c r="U100" s="166">
        <f t="shared" si="21"/>
        <v>3053468</v>
      </c>
      <c r="V100" s="166">
        <f t="shared" si="21"/>
        <v>2520415</v>
      </c>
      <c r="W100" s="166">
        <f t="shared" si="21"/>
        <v>2932317</v>
      </c>
      <c r="X100" s="166">
        <f t="shared" si="21"/>
        <v>105877</v>
      </c>
      <c r="Y100" s="166">
        <f t="shared" si="21"/>
        <v>1724523</v>
      </c>
      <c r="Z100" s="166">
        <f t="shared" si="21"/>
        <v>289503</v>
      </c>
      <c r="AA100" s="167">
        <f t="shared" si="21"/>
        <v>0</v>
      </c>
      <c r="AB100" s="158">
        <f t="shared" si="21"/>
        <v>22064077</v>
      </c>
      <c r="AC100" s="1063"/>
      <c r="AD100" s="2164"/>
      <c r="AE100" s="1674"/>
    </row>
    <row r="101" spans="2:31" ht="3.75" customHeight="1" thickBot="1" x14ac:dyDescent="0.3">
      <c r="B101" s="1064"/>
      <c r="C101" s="146"/>
      <c r="D101" s="146"/>
      <c r="E101" s="154"/>
      <c r="F101" s="154"/>
      <c r="G101" s="154"/>
      <c r="H101" s="154"/>
      <c r="I101" s="154"/>
      <c r="J101" s="1082"/>
      <c r="K101" s="146"/>
      <c r="L101" s="146"/>
      <c r="M101" s="156"/>
      <c r="N101" s="1063"/>
      <c r="O101" s="1987"/>
      <c r="P101" s="1987"/>
      <c r="Q101" s="1064"/>
      <c r="R101" s="146"/>
      <c r="S101" s="146"/>
      <c r="T101" s="154"/>
      <c r="U101" s="154"/>
      <c r="V101" s="154"/>
      <c r="W101" s="154"/>
      <c r="X101" s="154"/>
      <c r="Y101" s="1082"/>
      <c r="Z101" s="146"/>
      <c r="AA101" s="146"/>
      <c r="AB101" s="156"/>
      <c r="AC101" s="1063"/>
    </row>
    <row r="102" spans="2:31" ht="15.75" thickBot="1" x14ac:dyDescent="0.3">
      <c r="B102" s="1064"/>
      <c r="C102" s="151" t="s">
        <v>343</v>
      </c>
      <c r="D102" s="151"/>
      <c r="E102" s="165">
        <f t="shared" ref="E102:M102" si="22">E88-E100</f>
        <v>0</v>
      </c>
      <c r="F102" s="166">
        <f t="shared" si="22"/>
        <v>0</v>
      </c>
      <c r="G102" s="166">
        <f t="shared" si="22"/>
        <v>0</v>
      </c>
      <c r="H102" s="166">
        <f t="shared" si="22"/>
        <v>0</v>
      </c>
      <c r="I102" s="166">
        <f t="shared" si="22"/>
        <v>0</v>
      </c>
      <c r="J102" s="166">
        <f t="shared" si="22"/>
        <v>0</v>
      </c>
      <c r="K102" s="166">
        <f t="shared" si="22"/>
        <v>0</v>
      </c>
      <c r="L102" s="167">
        <f t="shared" si="22"/>
        <v>0</v>
      </c>
      <c r="M102" s="153">
        <f t="shared" si="22"/>
        <v>0</v>
      </c>
      <c r="N102" s="1063"/>
      <c r="O102" s="1987"/>
      <c r="P102" s="1987"/>
      <c r="Q102" s="1064"/>
      <c r="R102" s="151" t="s">
        <v>343</v>
      </c>
      <c r="S102" s="151"/>
      <c r="T102" s="165">
        <f t="shared" ref="T102:AB102" si="23">T88-T100</f>
        <v>0</v>
      </c>
      <c r="U102" s="166">
        <f t="shared" si="23"/>
        <v>0</v>
      </c>
      <c r="V102" s="166">
        <f t="shared" si="23"/>
        <v>0</v>
      </c>
      <c r="W102" s="166">
        <f t="shared" si="23"/>
        <v>0</v>
      </c>
      <c r="X102" s="166">
        <f t="shared" si="23"/>
        <v>0</v>
      </c>
      <c r="Y102" s="166">
        <f t="shared" si="23"/>
        <v>0</v>
      </c>
      <c r="Z102" s="166">
        <f t="shared" si="23"/>
        <v>0</v>
      </c>
      <c r="AA102" s="167">
        <f t="shared" si="23"/>
        <v>0</v>
      </c>
      <c r="AB102" s="153">
        <f t="shared" si="23"/>
        <v>0</v>
      </c>
      <c r="AC102" s="1063"/>
    </row>
    <row r="103" spans="2:31" ht="7.5" customHeight="1" x14ac:dyDescent="0.25">
      <c r="B103" s="1064"/>
      <c r="C103" s="146"/>
      <c r="D103" s="146"/>
      <c r="E103" s="146"/>
      <c r="F103" s="154"/>
      <c r="G103" s="154"/>
      <c r="H103" s="154"/>
      <c r="I103" s="154"/>
      <c r="J103" s="154"/>
      <c r="K103" s="154"/>
      <c r="L103" s="154"/>
      <c r="M103" s="154"/>
      <c r="N103" s="1063"/>
      <c r="O103" s="1987"/>
      <c r="P103" s="1987"/>
      <c r="Q103" s="1064"/>
      <c r="R103" s="146"/>
      <c r="S103" s="146"/>
      <c r="T103" s="146"/>
      <c r="U103" s="154"/>
      <c r="V103" s="154"/>
      <c r="W103" s="154"/>
      <c r="X103" s="154"/>
      <c r="Y103" s="154"/>
      <c r="Z103" s="154"/>
      <c r="AA103" s="154"/>
      <c r="AB103" s="154"/>
      <c r="AC103" s="1063"/>
    </row>
    <row r="104" spans="2:31" x14ac:dyDescent="0.25">
      <c r="B104" s="1064"/>
      <c r="C104" s="152" t="s">
        <v>344</v>
      </c>
      <c r="D104" s="146"/>
      <c r="E104" s="2185"/>
      <c r="F104" s="154"/>
      <c r="G104" s="154"/>
      <c r="H104" s="154"/>
      <c r="I104" s="154"/>
      <c r="J104" s="154"/>
      <c r="K104" s="154"/>
      <c r="L104" s="154"/>
      <c r="M104" s="154"/>
      <c r="N104" s="1063"/>
      <c r="Q104" s="1064"/>
      <c r="R104" s="152" t="s">
        <v>344</v>
      </c>
      <c r="S104" s="146"/>
      <c r="T104" s="2185"/>
      <c r="U104" s="154"/>
      <c r="V104" s="154"/>
      <c r="W104" s="154"/>
      <c r="X104" s="154"/>
      <c r="Y104" s="154"/>
      <c r="Z104" s="154"/>
      <c r="AA104" s="154"/>
      <c r="AB104" s="154"/>
      <c r="AC104" s="1063"/>
    </row>
    <row r="105" spans="2:31" ht="15" customHeight="1" x14ac:dyDescent="0.25">
      <c r="B105" s="1064"/>
      <c r="C105" s="2462"/>
      <c r="D105" s="2463"/>
      <c r="E105" s="2463"/>
      <c r="F105" s="2463"/>
      <c r="G105" s="2463"/>
      <c r="H105" s="2463"/>
      <c r="I105" s="2463"/>
      <c r="J105" s="2463"/>
      <c r="K105" s="2463"/>
      <c r="L105" s="2464"/>
      <c r="M105" s="704"/>
      <c r="N105" s="1063"/>
      <c r="Q105" s="1064"/>
      <c r="R105" s="2462"/>
      <c r="S105" s="2463"/>
      <c r="T105" s="2463"/>
      <c r="U105" s="2463"/>
      <c r="V105" s="2463"/>
      <c r="W105" s="2463"/>
      <c r="X105" s="2463"/>
      <c r="Y105" s="2463"/>
      <c r="Z105" s="2463"/>
      <c r="AA105" s="2464"/>
      <c r="AB105" s="704"/>
      <c r="AC105" s="1063"/>
    </row>
    <row r="106" spans="2:31" ht="15" customHeight="1" x14ac:dyDescent="0.25">
      <c r="B106" s="1064"/>
      <c r="C106" s="2465"/>
      <c r="D106" s="2466"/>
      <c r="E106" s="2466"/>
      <c r="F106" s="2466"/>
      <c r="G106" s="2466"/>
      <c r="H106" s="2466"/>
      <c r="I106" s="2466"/>
      <c r="J106" s="2466"/>
      <c r="K106" s="2466"/>
      <c r="L106" s="2467"/>
      <c r="M106" s="704"/>
      <c r="N106" s="1063"/>
      <c r="Q106" s="1064"/>
      <c r="R106" s="2465"/>
      <c r="S106" s="2466"/>
      <c r="T106" s="2466"/>
      <c r="U106" s="2466"/>
      <c r="V106" s="2466"/>
      <c r="W106" s="2466"/>
      <c r="X106" s="2466"/>
      <c r="Y106" s="2466"/>
      <c r="Z106" s="2466"/>
      <c r="AA106" s="2467"/>
      <c r="AB106" s="704"/>
      <c r="AC106" s="1063"/>
    </row>
    <row r="107" spans="2:31" x14ac:dyDescent="0.25">
      <c r="B107" s="1064"/>
      <c r="C107" s="2465"/>
      <c r="D107" s="2466"/>
      <c r="E107" s="2466"/>
      <c r="F107" s="2466"/>
      <c r="G107" s="2466"/>
      <c r="H107" s="2466"/>
      <c r="I107" s="2466"/>
      <c r="J107" s="2466"/>
      <c r="K107" s="2466"/>
      <c r="L107" s="2467"/>
      <c r="M107" s="704"/>
      <c r="N107" s="1063"/>
      <c r="Q107" s="1064"/>
      <c r="R107" s="2465"/>
      <c r="S107" s="2466"/>
      <c r="T107" s="2466"/>
      <c r="U107" s="2466"/>
      <c r="V107" s="2466"/>
      <c r="W107" s="2466"/>
      <c r="X107" s="2466"/>
      <c r="Y107" s="2466"/>
      <c r="Z107" s="2466"/>
      <c r="AA107" s="2467"/>
      <c r="AB107" s="704"/>
      <c r="AC107" s="1063"/>
    </row>
    <row r="108" spans="2:31" ht="15" customHeight="1" x14ac:dyDescent="0.25">
      <c r="B108" s="1064"/>
      <c r="C108" s="2468"/>
      <c r="D108" s="2469"/>
      <c r="E108" s="2469"/>
      <c r="F108" s="2469"/>
      <c r="G108" s="2469"/>
      <c r="H108" s="2469"/>
      <c r="I108" s="2469"/>
      <c r="J108" s="2469"/>
      <c r="K108" s="2469"/>
      <c r="L108" s="2470"/>
      <c r="M108" s="704"/>
      <c r="N108" s="1063"/>
      <c r="Q108" s="1064"/>
      <c r="R108" s="2468"/>
      <c r="S108" s="2469"/>
      <c r="T108" s="2469"/>
      <c r="U108" s="2469"/>
      <c r="V108" s="2469"/>
      <c r="W108" s="2469"/>
      <c r="X108" s="2469"/>
      <c r="Y108" s="2469"/>
      <c r="Z108" s="2469"/>
      <c r="AA108" s="2470"/>
      <c r="AB108" s="704"/>
      <c r="AC108" s="1063"/>
    </row>
    <row r="109" spans="2:31" ht="9" customHeight="1" thickBot="1" x14ac:dyDescent="0.3">
      <c r="B109" s="1083"/>
      <c r="C109" s="805"/>
      <c r="D109" s="805"/>
      <c r="E109" s="1088"/>
      <c r="F109" s="1088"/>
      <c r="G109" s="1088"/>
      <c r="H109" s="1088"/>
      <c r="I109" s="1088"/>
      <c r="J109" s="1088"/>
      <c r="K109" s="1088"/>
      <c r="L109" s="1088"/>
      <c r="M109" s="1088"/>
      <c r="N109" s="1085"/>
      <c r="Q109" s="1083"/>
      <c r="R109" s="805"/>
      <c r="S109" s="805"/>
      <c r="T109" s="1088"/>
      <c r="U109" s="1088"/>
      <c r="V109" s="1088"/>
      <c r="W109" s="1088"/>
      <c r="X109" s="1088"/>
      <c r="Y109" s="1088"/>
      <c r="Z109" s="1088"/>
      <c r="AA109" s="1088"/>
      <c r="AB109" s="1088"/>
      <c r="AC109" s="1085"/>
    </row>
  </sheetData>
  <sheetProtection algorithmName="SHA-512" hashValue="0r1kahJJ2O+tLr112xufBzdHpc0j0yB0lu/LI9IaVlqQu6lYrJcwBoADOLwT53xaEJJqoHklSl7sIvITjD3xrg==" saltValue="n7AM/aKi3e32aQIXv490QQ==" spinCount="100000" sheet="1" objects="1" scenarios="1" formatCells="0" formatColumns="0" formatRows="0" insertRows="0"/>
  <mergeCells count="6">
    <mergeCell ref="C54:L57"/>
    <mergeCell ref="C105:L108"/>
    <mergeCell ref="C62:M62"/>
    <mergeCell ref="R105:AA108"/>
    <mergeCell ref="R62:AB62"/>
    <mergeCell ref="R54:AA57"/>
  </mergeCells>
  <pageMargins left="0.7" right="0.7" top="0.75" bottom="0.75" header="0.3" footer="0.3"/>
  <pageSetup scale="75" fitToHeight="2" orientation="landscape" r:id="rId1"/>
  <headerFooter>
    <oddFooter>&amp;LForm 7B
Estimate of Cash Flow During Development&amp;CCFA Forms&amp;REdition: 2015
Version: 1.0</oddFooter>
  </headerFooter>
  <rowBreaks count="2" manualBreakCount="2">
    <brk id="59" min="1" max="13" man="1"/>
    <brk id="59" min="16" max="28"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D29"/>
  <sheetViews>
    <sheetView showGridLines="0" zoomScaleNormal="100" zoomScaleSheetLayoutView="90" workbookViewId="0">
      <selection activeCell="A25" sqref="A25"/>
    </sheetView>
  </sheetViews>
  <sheetFormatPr defaultColWidth="9.140625" defaultRowHeight="15" x14ac:dyDescent="0.25"/>
  <cols>
    <col min="1" max="2" width="1.7109375" style="806" customWidth="1"/>
    <col min="3" max="3" width="14.28515625" style="806" customWidth="1"/>
    <col min="4" max="4" width="8.5703125" style="806" customWidth="1"/>
    <col min="5" max="5" width="7" style="806" customWidth="1"/>
    <col min="6" max="8" width="9.28515625" style="806" bestFit="1" customWidth="1"/>
    <col min="9" max="9" width="11" style="806" customWidth="1"/>
    <col min="10" max="10" width="9.28515625" style="806" bestFit="1" customWidth="1"/>
    <col min="11" max="11" width="10.5703125" style="806" bestFit="1" customWidth="1"/>
    <col min="12" max="12" width="15.5703125" style="806" bestFit="1" customWidth="1"/>
    <col min="13" max="13" width="12" style="806" customWidth="1"/>
    <col min="14" max="14" width="15.42578125" style="806" customWidth="1"/>
    <col min="15" max="16" width="1.7109375" style="806" customWidth="1"/>
    <col min="17" max="17" width="1.85546875" style="806" customWidth="1"/>
    <col min="18" max="18" width="13.5703125" style="806" customWidth="1"/>
    <col min="19" max="19" width="9.28515625" style="806" bestFit="1" customWidth="1"/>
    <col min="20" max="20" width="8" style="806" customWidth="1"/>
    <col min="21" max="23" width="9.28515625" style="806" bestFit="1" customWidth="1"/>
    <col min="24" max="24" width="10.5703125" style="806" bestFit="1" customWidth="1"/>
    <col min="25" max="25" width="9.28515625" style="806" bestFit="1" customWidth="1"/>
    <col min="26" max="26" width="10.5703125" style="806" bestFit="1" customWidth="1"/>
    <col min="27" max="27" width="15.5703125" style="806" bestFit="1" customWidth="1"/>
    <col min="28" max="28" width="9.28515625" style="806" bestFit="1" customWidth="1"/>
    <col min="29" max="29" width="15.5703125" style="806" bestFit="1" customWidth="1"/>
    <col min="30" max="30" width="1.7109375" style="806" customWidth="1"/>
    <col min="31" max="16384" width="9.140625" style="806"/>
  </cols>
  <sheetData>
    <row r="1" spans="2:30" ht="9" customHeight="1" thickBot="1" x14ac:dyDescent="0.3"/>
    <row r="2" spans="2:30" ht="9" customHeight="1" x14ac:dyDescent="0.25">
      <c r="B2" s="249"/>
      <c r="C2" s="1317"/>
      <c r="D2" s="1317"/>
      <c r="E2" s="1318"/>
      <c r="F2" s="1318"/>
      <c r="G2" s="1317"/>
      <c r="H2" s="1317"/>
      <c r="I2" s="1317"/>
      <c r="J2" s="1317"/>
      <c r="K2" s="1317"/>
      <c r="L2" s="1317"/>
      <c r="M2" s="1317"/>
      <c r="N2" s="1317"/>
      <c r="O2" s="1319"/>
      <c r="P2" s="1317"/>
      <c r="Q2" s="249"/>
      <c r="R2" s="1317"/>
      <c r="S2" s="1317"/>
      <c r="T2" s="1318"/>
      <c r="U2" s="1318"/>
      <c r="V2" s="1317"/>
      <c r="W2" s="1317"/>
      <c r="X2" s="1317"/>
      <c r="Y2" s="1317"/>
      <c r="Z2" s="1317"/>
      <c r="AA2" s="1317"/>
      <c r="AB2" s="1317"/>
      <c r="AC2" s="1317"/>
      <c r="AD2" s="1319"/>
    </row>
    <row r="3" spans="2:30" ht="18.75" x14ac:dyDescent="0.25">
      <c r="B3" s="8"/>
      <c r="C3" s="2231" t="s">
        <v>1354</v>
      </c>
      <c r="D3" s="2231"/>
      <c r="E3" s="2231"/>
      <c r="F3" s="2231"/>
      <c r="G3" s="2231"/>
      <c r="H3" s="2231"/>
      <c r="I3" s="2231"/>
      <c r="J3" s="2231"/>
      <c r="K3" s="2231"/>
      <c r="L3" s="2231"/>
      <c r="M3" s="2231"/>
      <c r="N3" s="2231"/>
      <c r="O3" s="1320"/>
      <c r="P3" s="5"/>
      <c r="Q3" s="8"/>
      <c r="R3" s="2231" t="s">
        <v>1354</v>
      </c>
      <c r="S3" s="2231"/>
      <c r="T3" s="2231"/>
      <c r="U3" s="2231"/>
      <c r="V3" s="2231"/>
      <c r="W3" s="2231"/>
      <c r="X3" s="2231"/>
      <c r="Y3" s="2231"/>
      <c r="Z3" s="2231"/>
      <c r="AA3" s="2231"/>
      <c r="AB3" s="2231"/>
      <c r="AC3" s="2231"/>
      <c r="AD3" s="1320"/>
    </row>
    <row r="4" spans="2:30" x14ac:dyDescent="0.25">
      <c r="B4" s="8"/>
      <c r="C4" s="5"/>
      <c r="D4" s="5"/>
      <c r="E4" s="175"/>
      <c r="F4" s="175"/>
      <c r="G4" s="5"/>
      <c r="H4" s="5"/>
      <c r="I4" s="5"/>
      <c r="J4" s="5"/>
      <c r="K4" s="5"/>
      <c r="L4" s="5"/>
      <c r="M4" s="5"/>
      <c r="N4" s="5"/>
      <c r="O4" s="1320"/>
      <c r="P4" s="5"/>
      <c r="Q4" s="8"/>
      <c r="R4" s="5"/>
      <c r="S4" s="5"/>
      <c r="T4" s="175"/>
      <c r="U4" s="175"/>
      <c r="V4" s="5"/>
      <c r="W4" s="5"/>
      <c r="X4" s="5"/>
      <c r="Y4" s="5"/>
      <c r="Z4" s="5"/>
      <c r="AA4" s="5"/>
      <c r="AB4" s="5"/>
      <c r="AC4" s="5"/>
      <c r="AD4" s="1320"/>
    </row>
    <row r="5" spans="2:30" x14ac:dyDescent="0.25">
      <c r="B5" s="980"/>
      <c r="C5" s="810" t="s">
        <v>63</v>
      </c>
      <c r="D5" s="2471" t="str">
        <f>IF('1A'!G7="","Enter Project Name on Form 1A",'1A'!G7)</f>
        <v>Building 9 South (4%)</v>
      </c>
      <c r="E5" s="2471"/>
      <c r="F5" s="2471"/>
      <c r="G5" s="2471"/>
      <c r="H5" s="2471"/>
      <c r="I5" s="2471"/>
      <c r="J5" s="2471"/>
      <c r="K5" s="979"/>
      <c r="L5" s="979"/>
      <c r="M5" s="979"/>
      <c r="N5" s="979"/>
      <c r="O5" s="1029"/>
      <c r="P5" s="979"/>
      <c r="Q5" s="980"/>
      <c r="R5" s="810" t="s">
        <v>63</v>
      </c>
      <c r="S5" s="2471" t="str">
        <f>IF('1A'!G9="","Enter Project Name on Form 1A",'1A'!G9)</f>
        <v>Building 9 North (9%)</v>
      </c>
      <c r="T5" s="2471"/>
      <c r="U5" s="2471"/>
      <c r="V5" s="2471"/>
      <c r="W5" s="2471"/>
      <c r="X5" s="2471"/>
      <c r="Y5" s="2471"/>
      <c r="Z5" s="979"/>
      <c r="AA5" s="979"/>
      <c r="AB5" s="979"/>
      <c r="AC5" s="979"/>
      <c r="AD5" s="1029"/>
    </row>
    <row r="6" spans="2:30" ht="22.7" customHeight="1" thickBot="1" x14ac:dyDescent="0.3">
      <c r="B6" s="8"/>
      <c r="C6" s="5"/>
      <c r="D6" s="5"/>
      <c r="E6" s="175"/>
      <c r="F6" s="175"/>
      <c r="G6" s="5"/>
      <c r="H6" s="5"/>
      <c r="I6" s="5"/>
      <c r="J6" s="5"/>
      <c r="K6" s="5"/>
      <c r="L6" s="5"/>
      <c r="M6" s="5"/>
      <c r="N6" s="5"/>
      <c r="O6" s="1320"/>
      <c r="P6" s="5"/>
      <c r="Q6" s="8"/>
      <c r="R6" s="5"/>
      <c r="S6" s="5"/>
      <c r="T6" s="175"/>
      <c r="U6" s="175"/>
      <c r="V6" s="5"/>
      <c r="W6" s="5"/>
      <c r="X6" s="5"/>
      <c r="Y6" s="5"/>
      <c r="Z6" s="5"/>
      <c r="AA6" s="5"/>
      <c r="AB6" s="5"/>
      <c r="AC6" s="5"/>
      <c r="AD6" s="1320"/>
    </row>
    <row r="7" spans="2:30" ht="57" thickBot="1" x14ac:dyDescent="0.3">
      <c r="B7" s="8"/>
      <c r="C7" s="1321" t="s">
        <v>347</v>
      </c>
      <c r="D7" s="1322" t="s">
        <v>655</v>
      </c>
      <c r="E7" s="1322" t="s">
        <v>348</v>
      </c>
      <c r="F7" s="1323" t="s">
        <v>1062</v>
      </c>
      <c r="G7" s="1324" t="s">
        <v>349</v>
      </c>
      <c r="H7" s="1322" t="s">
        <v>350</v>
      </c>
      <c r="I7" s="1324" t="s">
        <v>351</v>
      </c>
      <c r="J7" s="1324" t="s">
        <v>352</v>
      </c>
      <c r="K7" s="1322" t="s">
        <v>353</v>
      </c>
      <c r="L7" s="1324" t="s">
        <v>354</v>
      </c>
      <c r="M7" s="1324" t="s">
        <v>355</v>
      </c>
      <c r="N7" s="1325" t="s">
        <v>356</v>
      </c>
      <c r="O7" s="176"/>
      <c r="P7" s="175"/>
      <c r="Q7" s="8"/>
      <c r="R7" s="1321" t="s">
        <v>347</v>
      </c>
      <c r="S7" s="1322" t="s">
        <v>655</v>
      </c>
      <c r="T7" s="1322" t="s">
        <v>348</v>
      </c>
      <c r="U7" s="1323" t="s">
        <v>1062</v>
      </c>
      <c r="V7" s="1324" t="s">
        <v>349</v>
      </c>
      <c r="W7" s="1322" t="s">
        <v>350</v>
      </c>
      <c r="X7" s="1324" t="s">
        <v>351</v>
      </c>
      <c r="Y7" s="1324" t="s">
        <v>352</v>
      </c>
      <c r="Z7" s="1322" t="s">
        <v>353</v>
      </c>
      <c r="AA7" s="1324" t="s">
        <v>354</v>
      </c>
      <c r="AB7" s="1324" t="s">
        <v>355</v>
      </c>
      <c r="AC7" s="1325" t="s">
        <v>356</v>
      </c>
      <c r="AD7" s="176"/>
    </row>
    <row r="8" spans="2:30" x14ac:dyDescent="0.25">
      <c r="B8" s="8"/>
      <c r="C8" s="1305">
        <v>0.5</v>
      </c>
      <c r="D8" s="1306">
        <v>12</v>
      </c>
      <c r="E8" s="1306" t="s">
        <v>1278</v>
      </c>
      <c r="F8" s="1307">
        <v>515</v>
      </c>
      <c r="G8" s="1308">
        <v>800</v>
      </c>
      <c r="H8" s="1308">
        <v>40</v>
      </c>
      <c r="I8" s="1326">
        <f>G8+H8</f>
        <v>840</v>
      </c>
      <c r="J8" s="1308">
        <v>0</v>
      </c>
      <c r="K8" s="1326">
        <f>I8+J8</f>
        <v>840</v>
      </c>
      <c r="L8" s="1326">
        <f>D8*G8*12</f>
        <v>115200</v>
      </c>
      <c r="M8" s="1326">
        <f>D8*J8*12</f>
        <v>0</v>
      </c>
      <c r="N8" s="1327">
        <f>L8+M8</f>
        <v>115200</v>
      </c>
      <c r="O8" s="176"/>
      <c r="P8" s="175"/>
      <c r="Q8" s="8"/>
      <c r="R8" s="1305">
        <v>0.3</v>
      </c>
      <c r="S8" s="1306">
        <v>3</v>
      </c>
      <c r="T8" s="1306" t="s">
        <v>1278</v>
      </c>
      <c r="U8" s="1307">
        <v>605</v>
      </c>
      <c r="V8" s="1308">
        <v>464</v>
      </c>
      <c r="W8" s="1308">
        <v>40</v>
      </c>
      <c r="X8" s="1326">
        <f>V8+W8</f>
        <v>504</v>
      </c>
      <c r="Y8" s="1308">
        <v>0</v>
      </c>
      <c r="Z8" s="1326">
        <f>X8+Y8</f>
        <v>504</v>
      </c>
      <c r="AA8" s="1326">
        <f>S8*V8*12</f>
        <v>16704</v>
      </c>
      <c r="AB8" s="1326">
        <f>S8*Y8*12</f>
        <v>0</v>
      </c>
      <c r="AC8" s="1327">
        <f>AA8+AB8</f>
        <v>16704</v>
      </c>
      <c r="AD8" s="176"/>
    </row>
    <row r="9" spans="2:30" x14ac:dyDescent="0.25">
      <c r="B9" s="8"/>
      <c r="C9" s="1309">
        <v>0.6</v>
      </c>
      <c r="D9" s="1310">
        <v>18</v>
      </c>
      <c r="E9" s="1310" t="s">
        <v>1278</v>
      </c>
      <c r="F9" s="1310">
        <v>682</v>
      </c>
      <c r="G9" s="1311">
        <v>949</v>
      </c>
      <c r="H9" s="1311">
        <v>40</v>
      </c>
      <c r="I9" s="1328">
        <f t="shared" ref="I9:I20" si="0">G9+H9</f>
        <v>989</v>
      </c>
      <c r="J9" s="1311">
        <v>0</v>
      </c>
      <c r="K9" s="1328">
        <f t="shared" ref="K9:K20" si="1">I9+J9</f>
        <v>989</v>
      </c>
      <c r="L9" s="1328">
        <f t="shared" ref="L9:L20" si="2">D9*G9*12</f>
        <v>204984</v>
      </c>
      <c r="M9" s="1328">
        <f t="shared" ref="M9:M20" si="3">D9*J9*12</f>
        <v>0</v>
      </c>
      <c r="N9" s="1329">
        <f t="shared" ref="N9:N20" si="4">L9+M9</f>
        <v>204984</v>
      </c>
      <c r="O9" s="176"/>
      <c r="P9" s="175"/>
      <c r="Q9" s="8"/>
      <c r="R9" s="1309">
        <v>0.5</v>
      </c>
      <c r="S9" s="1310">
        <v>2</v>
      </c>
      <c r="T9" s="1310" t="s">
        <v>1278</v>
      </c>
      <c r="U9" s="1310">
        <v>605</v>
      </c>
      <c r="V9" s="1311">
        <v>800</v>
      </c>
      <c r="W9" s="1311">
        <v>40</v>
      </c>
      <c r="X9" s="1328">
        <f t="shared" ref="X9:X20" si="5">V9+W9</f>
        <v>840</v>
      </c>
      <c r="Y9" s="1311">
        <v>0</v>
      </c>
      <c r="Z9" s="1328">
        <f t="shared" ref="Z9:Z20" si="6">X9+Y9</f>
        <v>840</v>
      </c>
      <c r="AA9" s="1328">
        <f t="shared" ref="AA9:AA20" si="7">S9*V9*12</f>
        <v>19200</v>
      </c>
      <c r="AB9" s="1328">
        <f t="shared" ref="AB9:AB20" si="8">S9*Y9*12</f>
        <v>0</v>
      </c>
      <c r="AC9" s="1329">
        <f t="shared" ref="AC9:AC20" si="9">AA9+AB9</f>
        <v>19200</v>
      </c>
      <c r="AD9" s="176"/>
    </row>
    <row r="10" spans="2:30" x14ac:dyDescent="0.25">
      <c r="B10" s="8"/>
      <c r="C10" s="1309">
        <v>0.5</v>
      </c>
      <c r="D10" s="1310">
        <v>25</v>
      </c>
      <c r="E10" s="1310" t="s">
        <v>1279</v>
      </c>
      <c r="F10" s="1310">
        <v>816</v>
      </c>
      <c r="G10" s="1311">
        <v>943</v>
      </c>
      <c r="H10" s="1311">
        <v>65</v>
      </c>
      <c r="I10" s="1328">
        <f t="shared" si="0"/>
        <v>1008</v>
      </c>
      <c r="J10" s="1311">
        <v>0</v>
      </c>
      <c r="K10" s="1328">
        <f t="shared" si="1"/>
        <v>1008</v>
      </c>
      <c r="L10" s="1328">
        <f t="shared" si="2"/>
        <v>282900</v>
      </c>
      <c r="M10" s="1328">
        <f t="shared" si="3"/>
        <v>0</v>
      </c>
      <c r="N10" s="1329">
        <f t="shared" si="4"/>
        <v>282900</v>
      </c>
      <c r="O10" s="176"/>
      <c r="P10" s="175"/>
      <c r="Q10" s="8"/>
      <c r="R10" s="1309">
        <v>0.3</v>
      </c>
      <c r="S10" s="1310">
        <v>13</v>
      </c>
      <c r="T10" s="1310" t="s">
        <v>1279</v>
      </c>
      <c r="U10" s="1310">
        <v>820</v>
      </c>
      <c r="V10" s="1311">
        <v>540</v>
      </c>
      <c r="W10" s="1311">
        <v>65</v>
      </c>
      <c r="X10" s="1328">
        <f t="shared" si="5"/>
        <v>605</v>
      </c>
      <c r="Y10" s="1311">
        <v>0</v>
      </c>
      <c r="Z10" s="1328">
        <f t="shared" si="6"/>
        <v>605</v>
      </c>
      <c r="AA10" s="1328">
        <f t="shared" si="7"/>
        <v>84240</v>
      </c>
      <c r="AB10" s="1328">
        <f t="shared" si="8"/>
        <v>0</v>
      </c>
      <c r="AC10" s="1329">
        <f t="shared" si="9"/>
        <v>84240</v>
      </c>
      <c r="AD10" s="176"/>
    </row>
    <row r="11" spans="2:30" x14ac:dyDescent="0.25">
      <c r="B11" s="8"/>
      <c r="C11" s="1309">
        <v>0.6</v>
      </c>
      <c r="D11" s="1310">
        <v>33</v>
      </c>
      <c r="E11" s="1310" t="s">
        <v>1279</v>
      </c>
      <c r="F11" s="1310">
        <v>957</v>
      </c>
      <c r="G11" s="1311">
        <v>1122</v>
      </c>
      <c r="H11" s="1311">
        <v>65</v>
      </c>
      <c r="I11" s="1328">
        <f t="shared" si="0"/>
        <v>1187</v>
      </c>
      <c r="J11" s="1311">
        <v>0</v>
      </c>
      <c r="K11" s="1328">
        <f t="shared" si="1"/>
        <v>1187</v>
      </c>
      <c r="L11" s="1328">
        <f t="shared" si="2"/>
        <v>444312</v>
      </c>
      <c r="M11" s="1328">
        <f t="shared" si="3"/>
        <v>0</v>
      </c>
      <c r="N11" s="1329">
        <f t="shared" si="4"/>
        <v>444312</v>
      </c>
      <c r="O11" s="1320"/>
      <c r="P11" s="5"/>
      <c r="Q11" s="8"/>
      <c r="R11" s="1309">
        <v>0.5</v>
      </c>
      <c r="S11" s="1310">
        <v>13</v>
      </c>
      <c r="T11" s="1310" t="s">
        <v>1279</v>
      </c>
      <c r="U11" s="1310">
        <v>820</v>
      </c>
      <c r="V11" s="1311">
        <v>943</v>
      </c>
      <c r="W11" s="1311">
        <v>65</v>
      </c>
      <c r="X11" s="1328">
        <f t="shared" si="5"/>
        <v>1008</v>
      </c>
      <c r="Y11" s="1311">
        <v>0</v>
      </c>
      <c r="Z11" s="1328">
        <f t="shared" si="6"/>
        <v>1008</v>
      </c>
      <c r="AA11" s="1328">
        <f t="shared" si="7"/>
        <v>147108</v>
      </c>
      <c r="AB11" s="1328">
        <f t="shared" si="8"/>
        <v>0</v>
      </c>
      <c r="AC11" s="1329">
        <f t="shared" si="9"/>
        <v>147108</v>
      </c>
      <c r="AD11" s="1320"/>
    </row>
    <row r="12" spans="2:30" x14ac:dyDescent="0.25">
      <c r="B12" s="8"/>
      <c r="C12" s="1309"/>
      <c r="D12" s="1310"/>
      <c r="E12" s="1310"/>
      <c r="F12" s="1310"/>
      <c r="G12" s="1311">
        <v>0</v>
      </c>
      <c r="H12" s="1311">
        <v>0</v>
      </c>
      <c r="I12" s="1328">
        <f t="shared" si="0"/>
        <v>0</v>
      </c>
      <c r="J12" s="1311">
        <v>0</v>
      </c>
      <c r="K12" s="1328">
        <f t="shared" si="1"/>
        <v>0</v>
      </c>
      <c r="L12" s="1328">
        <f t="shared" si="2"/>
        <v>0</v>
      </c>
      <c r="M12" s="1328">
        <f t="shared" si="3"/>
        <v>0</v>
      </c>
      <c r="N12" s="1329">
        <f t="shared" si="4"/>
        <v>0</v>
      </c>
      <c r="O12" s="1320"/>
      <c r="P12" s="5"/>
      <c r="Q12" s="8"/>
      <c r="R12" s="1309">
        <v>0.3</v>
      </c>
      <c r="S12" s="1310">
        <v>4</v>
      </c>
      <c r="T12" s="1310" t="s">
        <v>1280</v>
      </c>
      <c r="U12" s="1310">
        <v>1298</v>
      </c>
      <c r="V12" s="1311">
        <v>594</v>
      </c>
      <c r="W12" s="1311">
        <v>105</v>
      </c>
      <c r="X12" s="1328">
        <f t="shared" si="5"/>
        <v>699</v>
      </c>
      <c r="Y12" s="1311">
        <v>0</v>
      </c>
      <c r="Z12" s="1328">
        <f t="shared" si="6"/>
        <v>699</v>
      </c>
      <c r="AA12" s="1328">
        <f t="shared" si="7"/>
        <v>28512</v>
      </c>
      <c r="AB12" s="1328">
        <f t="shared" si="8"/>
        <v>0</v>
      </c>
      <c r="AC12" s="1329">
        <f t="shared" si="9"/>
        <v>28512</v>
      </c>
      <c r="AD12" s="1320"/>
    </row>
    <row r="13" spans="2:30" x14ac:dyDescent="0.25">
      <c r="B13" s="8"/>
      <c r="C13" s="1309"/>
      <c r="D13" s="1310"/>
      <c r="E13" s="1310"/>
      <c r="F13" s="1310"/>
      <c r="G13" s="1311">
        <v>0</v>
      </c>
      <c r="H13" s="1311">
        <v>0</v>
      </c>
      <c r="I13" s="1328">
        <f t="shared" si="0"/>
        <v>0</v>
      </c>
      <c r="J13" s="1311">
        <v>0</v>
      </c>
      <c r="K13" s="1328">
        <f t="shared" si="1"/>
        <v>0</v>
      </c>
      <c r="L13" s="1328">
        <f t="shared" si="2"/>
        <v>0</v>
      </c>
      <c r="M13" s="1328">
        <f t="shared" si="3"/>
        <v>0</v>
      </c>
      <c r="N13" s="1329">
        <f t="shared" si="4"/>
        <v>0</v>
      </c>
      <c r="O13" s="1320"/>
      <c r="P13" s="5"/>
      <c r="Q13" s="8"/>
      <c r="R13" s="1309">
        <v>0.5</v>
      </c>
      <c r="S13" s="1310">
        <v>5</v>
      </c>
      <c r="T13" s="1310" t="s">
        <v>1280</v>
      </c>
      <c r="U13" s="1310">
        <v>1586</v>
      </c>
      <c r="V13" s="1311">
        <v>1060</v>
      </c>
      <c r="W13" s="1311">
        <v>105</v>
      </c>
      <c r="X13" s="1328">
        <f t="shared" si="5"/>
        <v>1165</v>
      </c>
      <c r="Y13" s="1311">
        <v>0</v>
      </c>
      <c r="Z13" s="1328">
        <f t="shared" si="6"/>
        <v>1165</v>
      </c>
      <c r="AA13" s="1328">
        <f t="shared" si="7"/>
        <v>63600</v>
      </c>
      <c r="AB13" s="1328">
        <f t="shared" si="8"/>
        <v>0</v>
      </c>
      <c r="AC13" s="1329">
        <f t="shared" si="9"/>
        <v>63600</v>
      </c>
      <c r="AD13" s="1320"/>
    </row>
    <row r="14" spans="2:30" x14ac:dyDescent="0.25">
      <c r="B14" s="8"/>
      <c r="C14" s="1309"/>
      <c r="D14" s="1310"/>
      <c r="E14" s="1310"/>
      <c r="F14" s="1310"/>
      <c r="G14" s="1311">
        <v>0</v>
      </c>
      <c r="H14" s="1311">
        <v>0</v>
      </c>
      <c r="I14" s="1328">
        <f t="shared" si="0"/>
        <v>0</v>
      </c>
      <c r="J14" s="1311">
        <v>0</v>
      </c>
      <c r="K14" s="1328">
        <f t="shared" si="1"/>
        <v>0</v>
      </c>
      <c r="L14" s="1328">
        <f t="shared" si="2"/>
        <v>0</v>
      </c>
      <c r="M14" s="1328">
        <f t="shared" si="3"/>
        <v>0</v>
      </c>
      <c r="N14" s="1329">
        <f t="shared" si="4"/>
        <v>0</v>
      </c>
      <c r="O14" s="1320"/>
      <c r="P14" s="5"/>
      <c r="Q14" s="8"/>
      <c r="R14" s="1309"/>
      <c r="S14" s="1310"/>
      <c r="T14" s="1310"/>
      <c r="U14" s="1310"/>
      <c r="V14" s="1311">
        <v>0</v>
      </c>
      <c r="W14" s="1311">
        <v>0</v>
      </c>
      <c r="X14" s="1328">
        <f t="shared" si="5"/>
        <v>0</v>
      </c>
      <c r="Y14" s="1311">
        <v>0</v>
      </c>
      <c r="Z14" s="1328">
        <f t="shared" si="6"/>
        <v>0</v>
      </c>
      <c r="AA14" s="1328">
        <f t="shared" si="7"/>
        <v>0</v>
      </c>
      <c r="AB14" s="1328">
        <f t="shared" si="8"/>
        <v>0</v>
      </c>
      <c r="AC14" s="1329">
        <f t="shared" si="9"/>
        <v>0</v>
      </c>
      <c r="AD14" s="1320"/>
    </row>
    <row r="15" spans="2:30" x14ac:dyDescent="0.25">
      <c r="B15" s="8"/>
      <c r="C15" s="1309"/>
      <c r="D15" s="1310"/>
      <c r="E15" s="1310"/>
      <c r="F15" s="1310"/>
      <c r="G15" s="1311">
        <v>0</v>
      </c>
      <c r="H15" s="1311">
        <v>0</v>
      </c>
      <c r="I15" s="1328">
        <f t="shared" si="0"/>
        <v>0</v>
      </c>
      <c r="J15" s="1311">
        <v>0</v>
      </c>
      <c r="K15" s="1328">
        <f t="shared" si="1"/>
        <v>0</v>
      </c>
      <c r="L15" s="1328">
        <f t="shared" si="2"/>
        <v>0</v>
      </c>
      <c r="M15" s="1328">
        <f t="shared" si="3"/>
        <v>0</v>
      </c>
      <c r="N15" s="1329">
        <f t="shared" si="4"/>
        <v>0</v>
      </c>
      <c r="O15" s="1320"/>
      <c r="P15" s="5"/>
      <c r="Q15" s="8"/>
      <c r="R15" s="1309"/>
      <c r="S15" s="1310"/>
      <c r="T15" s="1310"/>
      <c r="U15" s="1310"/>
      <c r="V15" s="1311">
        <v>0</v>
      </c>
      <c r="W15" s="1311">
        <v>0</v>
      </c>
      <c r="X15" s="1328">
        <f t="shared" si="5"/>
        <v>0</v>
      </c>
      <c r="Y15" s="1311">
        <v>0</v>
      </c>
      <c r="Z15" s="1328">
        <f t="shared" si="6"/>
        <v>0</v>
      </c>
      <c r="AA15" s="1328">
        <f t="shared" si="7"/>
        <v>0</v>
      </c>
      <c r="AB15" s="1328">
        <f t="shared" si="8"/>
        <v>0</v>
      </c>
      <c r="AC15" s="1329">
        <f t="shared" si="9"/>
        <v>0</v>
      </c>
      <c r="AD15" s="1320"/>
    </row>
    <row r="16" spans="2:30" x14ac:dyDescent="0.25">
      <c r="B16" s="8"/>
      <c r="C16" s="1309"/>
      <c r="D16" s="1310"/>
      <c r="E16" s="1310"/>
      <c r="F16" s="1310"/>
      <c r="G16" s="1311">
        <v>0</v>
      </c>
      <c r="H16" s="1311">
        <v>0</v>
      </c>
      <c r="I16" s="1328">
        <f t="shared" si="0"/>
        <v>0</v>
      </c>
      <c r="J16" s="1311">
        <v>0</v>
      </c>
      <c r="K16" s="1328">
        <f t="shared" si="1"/>
        <v>0</v>
      </c>
      <c r="L16" s="1328">
        <f t="shared" si="2"/>
        <v>0</v>
      </c>
      <c r="M16" s="1328">
        <f t="shared" si="3"/>
        <v>0</v>
      </c>
      <c r="N16" s="1329">
        <f t="shared" si="4"/>
        <v>0</v>
      </c>
      <c r="O16" s="1320"/>
      <c r="P16" s="5"/>
      <c r="Q16" s="8"/>
      <c r="R16" s="1309"/>
      <c r="S16" s="1310"/>
      <c r="T16" s="1310"/>
      <c r="U16" s="1310"/>
      <c r="V16" s="1311">
        <v>0</v>
      </c>
      <c r="W16" s="1311">
        <v>0</v>
      </c>
      <c r="X16" s="1328">
        <f t="shared" si="5"/>
        <v>0</v>
      </c>
      <c r="Y16" s="1311">
        <v>0</v>
      </c>
      <c r="Z16" s="1328">
        <f t="shared" si="6"/>
        <v>0</v>
      </c>
      <c r="AA16" s="1328">
        <f t="shared" si="7"/>
        <v>0</v>
      </c>
      <c r="AB16" s="1328">
        <f t="shared" si="8"/>
        <v>0</v>
      </c>
      <c r="AC16" s="1329">
        <f t="shared" si="9"/>
        <v>0</v>
      </c>
      <c r="AD16" s="1320"/>
    </row>
    <row r="17" spans="2:30" x14ac:dyDescent="0.25">
      <c r="B17" s="8"/>
      <c r="C17" s="1309"/>
      <c r="D17" s="1310"/>
      <c r="E17" s="1310"/>
      <c r="F17" s="1310"/>
      <c r="G17" s="1311">
        <v>0</v>
      </c>
      <c r="H17" s="1311">
        <v>0</v>
      </c>
      <c r="I17" s="1328">
        <f t="shared" si="0"/>
        <v>0</v>
      </c>
      <c r="J17" s="1311">
        <v>0</v>
      </c>
      <c r="K17" s="1328">
        <f t="shared" si="1"/>
        <v>0</v>
      </c>
      <c r="L17" s="1328">
        <f t="shared" si="2"/>
        <v>0</v>
      </c>
      <c r="M17" s="1328">
        <f t="shared" si="3"/>
        <v>0</v>
      </c>
      <c r="N17" s="1329">
        <f t="shared" si="4"/>
        <v>0</v>
      </c>
      <c r="O17" s="176"/>
      <c r="P17" s="175"/>
      <c r="Q17" s="8"/>
      <c r="R17" s="1309"/>
      <c r="S17" s="1310"/>
      <c r="T17" s="1310"/>
      <c r="U17" s="1310"/>
      <c r="V17" s="1311">
        <v>0</v>
      </c>
      <c r="W17" s="1311">
        <v>0</v>
      </c>
      <c r="X17" s="1328">
        <f t="shared" si="5"/>
        <v>0</v>
      </c>
      <c r="Y17" s="1311">
        <v>0</v>
      </c>
      <c r="Z17" s="1328">
        <f t="shared" si="6"/>
        <v>0</v>
      </c>
      <c r="AA17" s="1328">
        <f t="shared" si="7"/>
        <v>0</v>
      </c>
      <c r="AB17" s="1328">
        <f t="shared" si="8"/>
        <v>0</v>
      </c>
      <c r="AC17" s="1329">
        <f t="shared" si="9"/>
        <v>0</v>
      </c>
      <c r="AD17" s="176"/>
    </row>
    <row r="18" spans="2:30" x14ac:dyDescent="0.25">
      <c r="B18" s="8"/>
      <c r="C18" s="1309"/>
      <c r="D18" s="1310"/>
      <c r="E18" s="1310"/>
      <c r="F18" s="1310"/>
      <c r="G18" s="1311">
        <v>0</v>
      </c>
      <c r="H18" s="1311">
        <v>0</v>
      </c>
      <c r="I18" s="1328">
        <f t="shared" si="0"/>
        <v>0</v>
      </c>
      <c r="J18" s="1311">
        <v>0</v>
      </c>
      <c r="K18" s="1328">
        <f t="shared" si="1"/>
        <v>0</v>
      </c>
      <c r="L18" s="1328">
        <f t="shared" si="2"/>
        <v>0</v>
      </c>
      <c r="M18" s="1328">
        <f t="shared" si="3"/>
        <v>0</v>
      </c>
      <c r="N18" s="1329">
        <f t="shared" si="4"/>
        <v>0</v>
      </c>
      <c r="O18" s="176"/>
      <c r="P18" s="175"/>
      <c r="Q18" s="8"/>
      <c r="R18" s="1309"/>
      <c r="S18" s="1310"/>
      <c r="T18" s="1310"/>
      <c r="U18" s="1310"/>
      <c r="V18" s="1311">
        <v>0</v>
      </c>
      <c r="W18" s="1311">
        <v>0</v>
      </c>
      <c r="X18" s="1328">
        <f t="shared" si="5"/>
        <v>0</v>
      </c>
      <c r="Y18" s="1311">
        <v>0</v>
      </c>
      <c r="Z18" s="1328">
        <f t="shared" si="6"/>
        <v>0</v>
      </c>
      <c r="AA18" s="1328">
        <f t="shared" si="7"/>
        <v>0</v>
      </c>
      <c r="AB18" s="1328">
        <f t="shared" si="8"/>
        <v>0</v>
      </c>
      <c r="AC18" s="1329">
        <f t="shared" si="9"/>
        <v>0</v>
      </c>
      <c r="AD18" s="176"/>
    </row>
    <row r="19" spans="2:30" x14ac:dyDescent="0.25">
      <c r="B19" s="8"/>
      <c r="C19" s="1309"/>
      <c r="D19" s="1310"/>
      <c r="E19" s="1310"/>
      <c r="F19" s="1310"/>
      <c r="G19" s="1311">
        <v>0</v>
      </c>
      <c r="H19" s="1311">
        <v>0</v>
      </c>
      <c r="I19" s="1328">
        <f t="shared" si="0"/>
        <v>0</v>
      </c>
      <c r="J19" s="1311">
        <v>0</v>
      </c>
      <c r="K19" s="1328">
        <f t="shared" si="1"/>
        <v>0</v>
      </c>
      <c r="L19" s="1328">
        <f t="shared" si="2"/>
        <v>0</v>
      </c>
      <c r="M19" s="1328">
        <f t="shared" si="3"/>
        <v>0</v>
      </c>
      <c r="N19" s="1329">
        <f t="shared" si="4"/>
        <v>0</v>
      </c>
      <c r="O19" s="176"/>
      <c r="P19" s="175"/>
      <c r="Q19" s="8"/>
      <c r="R19" s="1309"/>
      <c r="S19" s="1310"/>
      <c r="T19" s="1310"/>
      <c r="U19" s="1310"/>
      <c r="V19" s="1311">
        <v>0</v>
      </c>
      <c r="W19" s="1311">
        <v>0</v>
      </c>
      <c r="X19" s="1328">
        <f t="shared" si="5"/>
        <v>0</v>
      </c>
      <c r="Y19" s="1311">
        <v>0</v>
      </c>
      <c r="Z19" s="1328">
        <f t="shared" si="6"/>
        <v>0</v>
      </c>
      <c r="AA19" s="1328">
        <f t="shared" si="7"/>
        <v>0</v>
      </c>
      <c r="AB19" s="1328">
        <f t="shared" si="8"/>
        <v>0</v>
      </c>
      <c r="AC19" s="1329">
        <f t="shared" si="9"/>
        <v>0</v>
      </c>
      <c r="AD19" s="176"/>
    </row>
    <row r="20" spans="2:30" x14ac:dyDescent="0.25">
      <c r="B20" s="8"/>
      <c r="C20" s="1309"/>
      <c r="D20" s="1310"/>
      <c r="E20" s="1310"/>
      <c r="F20" s="1310"/>
      <c r="G20" s="1311">
        <v>0</v>
      </c>
      <c r="H20" s="1311">
        <v>0</v>
      </c>
      <c r="I20" s="1328">
        <f t="shared" si="0"/>
        <v>0</v>
      </c>
      <c r="J20" s="1311">
        <v>0</v>
      </c>
      <c r="K20" s="1328">
        <f t="shared" si="1"/>
        <v>0</v>
      </c>
      <c r="L20" s="1328">
        <f t="shared" si="2"/>
        <v>0</v>
      </c>
      <c r="M20" s="1328">
        <f t="shared" si="3"/>
        <v>0</v>
      </c>
      <c r="N20" s="1329">
        <f t="shared" si="4"/>
        <v>0</v>
      </c>
      <c r="O20" s="176"/>
      <c r="P20" s="175"/>
      <c r="Q20" s="8"/>
      <c r="R20" s="1309"/>
      <c r="S20" s="1310"/>
      <c r="T20" s="1310"/>
      <c r="U20" s="1310"/>
      <c r="V20" s="1311">
        <v>0</v>
      </c>
      <c r="W20" s="1311">
        <v>0</v>
      </c>
      <c r="X20" s="1328">
        <f t="shared" si="5"/>
        <v>0</v>
      </c>
      <c r="Y20" s="1311">
        <v>0</v>
      </c>
      <c r="Z20" s="1328">
        <f t="shared" si="6"/>
        <v>0</v>
      </c>
      <c r="AA20" s="1328">
        <f t="shared" si="7"/>
        <v>0</v>
      </c>
      <c r="AB20" s="1328">
        <f t="shared" si="8"/>
        <v>0</v>
      </c>
      <c r="AC20" s="1329">
        <f t="shared" si="9"/>
        <v>0</v>
      </c>
      <c r="AD20" s="176"/>
    </row>
    <row r="21" spans="2:30" ht="24" x14ac:dyDescent="0.25">
      <c r="B21" s="8"/>
      <c r="C21" s="1330" t="s">
        <v>357</v>
      </c>
      <c r="D21" s="1312"/>
      <c r="E21" s="1310"/>
      <c r="F21" s="1312"/>
      <c r="G21" s="1331"/>
      <c r="H21" s="1332"/>
      <c r="I21" s="1332"/>
      <c r="J21" s="1332"/>
      <c r="K21" s="1332"/>
      <c r="L21" s="1332"/>
      <c r="M21" s="1332"/>
      <c r="N21" s="1333"/>
      <c r="O21" s="176"/>
      <c r="P21" s="175"/>
      <c r="Q21" s="8"/>
      <c r="R21" s="1330" t="s">
        <v>357</v>
      </c>
      <c r="S21" s="1312"/>
      <c r="T21" s="1310"/>
      <c r="U21" s="1312"/>
      <c r="V21" s="1331"/>
      <c r="W21" s="1332"/>
      <c r="X21" s="1332"/>
      <c r="Y21" s="1332"/>
      <c r="Z21" s="1332"/>
      <c r="AA21" s="1332"/>
      <c r="AB21" s="1332"/>
      <c r="AC21" s="1333"/>
      <c r="AD21" s="176"/>
    </row>
    <row r="22" spans="2:30" ht="28.5" customHeight="1" thickBot="1" x14ac:dyDescent="0.3">
      <c r="B22" s="8"/>
      <c r="C22" s="1334" t="s">
        <v>656</v>
      </c>
      <c r="D22" s="1313"/>
      <c r="E22" s="1314"/>
      <c r="F22" s="1315"/>
      <c r="G22" s="1316">
        <v>0</v>
      </c>
      <c r="H22" s="1316">
        <v>0</v>
      </c>
      <c r="I22" s="1335">
        <f>G22+H22</f>
        <v>0</v>
      </c>
      <c r="J22" s="1316">
        <v>0</v>
      </c>
      <c r="K22" s="1335">
        <f>I22+J22</f>
        <v>0</v>
      </c>
      <c r="L22" s="1335">
        <f>D22*G22*12</f>
        <v>0</v>
      </c>
      <c r="M22" s="1335">
        <f>D22*J22*12</f>
        <v>0</v>
      </c>
      <c r="N22" s="1336">
        <f>L22+M22</f>
        <v>0</v>
      </c>
      <c r="O22" s="176"/>
      <c r="P22" s="175"/>
      <c r="Q22" s="8"/>
      <c r="R22" s="1334" t="s">
        <v>656</v>
      </c>
      <c r="S22" s="1313"/>
      <c r="T22" s="1314"/>
      <c r="U22" s="1315"/>
      <c r="V22" s="1316">
        <v>0</v>
      </c>
      <c r="W22" s="1316">
        <v>0</v>
      </c>
      <c r="X22" s="1335">
        <f>V22+W22</f>
        <v>0</v>
      </c>
      <c r="Y22" s="1316">
        <v>0</v>
      </c>
      <c r="Z22" s="1335">
        <f>X22+Y22</f>
        <v>0</v>
      </c>
      <c r="AA22" s="1335">
        <f>S22*V22*12</f>
        <v>0</v>
      </c>
      <c r="AB22" s="1335">
        <f>S22*Y22*12</f>
        <v>0</v>
      </c>
      <c r="AC22" s="1336">
        <f>AA22+AB22</f>
        <v>0</v>
      </c>
      <c r="AD22" s="176"/>
    </row>
    <row r="23" spans="2:30" ht="16.5" thickTop="1" thickBot="1" x14ac:dyDescent="0.3">
      <c r="B23" s="8"/>
      <c r="C23" s="1337" t="s">
        <v>101</v>
      </c>
      <c r="D23" s="1338">
        <f>SUM(D8:D22)</f>
        <v>88</v>
      </c>
      <c r="E23" s="1339"/>
      <c r="F23" s="1340"/>
      <c r="G23" s="1341"/>
      <c r="H23" s="1341"/>
      <c r="I23" s="1342"/>
      <c r="J23" s="1342"/>
      <c r="K23" s="1342"/>
      <c r="L23" s="1343">
        <f>SUM(L8:L20)+L22</f>
        <v>1047396</v>
      </c>
      <c r="M23" s="1344">
        <f>SUM(M8:M20)+M22</f>
        <v>0</v>
      </c>
      <c r="N23" s="1345">
        <f>SUM(N8:N20)+N22</f>
        <v>1047396</v>
      </c>
      <c r="O23" s="176"/>
      <c r="P23" s="175"/>
      <c r="Q23" s="8"/>
      <c r="R23" s="1337" t="s">
        <v>101</v>
      </c>
      <c r="S23" s="1338">
        <f>SUM(S8:S22)</f>
        <v>40</v>
      </c>
      <c r="T23" s="1339"/>
      <c r="U23" s="1340"/>
      <c r="V23" s="1341"/>
      <c r="W23" s="1341"/>
      <c r="X23" s="1342"/>
      <c r="Y23" s="1342"/>
      <c r="Z23" s="1342"/>
      <c r="AA23" s="1343">
        <f>SUM(AA8:AA20)+AA22</f>
        <v>359364</v>
      </c>
      <c r="AB23" s="1344">
        <f>SUM(AB8:AB20)+AB22</f>
        <v>0</v>
      </c>
      <c r="AC23" s="1345">
        <f>SUM(AC8:AC20)+AC22</f>
        <v>359364</v>
      </c>
      <c r="AD23" s="176"/>
    </row>
    <row r="24" spans="2:30" x14ac:dyDescent="0.25">
      <c r="B24" s="8"/>
      <c r="C24" s="1346"/>
      <c r="D24" s="1347"/>
      <c r="E24" s="1348"/>
      <c r="F24" s="1348"/>
      <c r="G24" s="1348"/>
      <c r="H24" s="1348"/>
      <c r="I24" s="1348"/>
      <c r="J24" s="1348"/>
      <c r="K24" s="1348"/>
      <c r="L24" s="1349"/>
      <c r="M24" s="1350" t="str">
        <f>IF(M23&lt;&gt;'8B'!H18,"WARNING: Gross Rent Subsidy does not Match Rent Subsidy Sources (Form 8B)","")</f>
        <v/>
      </c>
      <c r="N24" s="1349"/>
      <c r="O24" s="176"/>
      <c r="P24" s="175"/>
      <c r="Q24" s="8"/>
      <c r="R24" s="1346"/>
      <c r="S24" s="1347"/>
      <c r="T24" s="1348"/>
      <c r="U24" s="1348"/>
      <c r="V24" s="1348"/>
      <c r="W24" s="1348"/>
      <c r="X24" s="1348"/>
      <c r="Y24" s="1348"/>
      <c r="Z24" s="1348"/>
      <c r="AA24" s="1349"/>
      <c r="AB24" s="1350" t="str">
        <f>IF(AB23&lt;&gt;'8B'!V18,"WARNING: Gross Rent Subsidy does not Match Rent Subsidy Sources (Form 8B)","")</f>
        <v/>
      </c>
      <c r="AC24" s="1349"/>
      <c r="AD24" s="176"/>
    </row>
    <row r="25" spans="2:30" ht="9" customHeight="1" thickBot="1" x14ac:dyDescent="0.3">
      <c r="B25" s="9"/>
      <c r="C25" s="1351"/>
      <c r="D25" s="1351"/>
      <c r="E25" s="1351"/>
      <c r="F25" s="1351"/>
      <c r="G25" s="1351"/>
      <c r="H25" s="1351"/>
      <c r="I25" s="1351"/>
      <c r="J25" s="1351"/>
      <c r="K25" s="1351"/>
      <c r="L25" s="1351"/>
      <c r="M25" s="1352"/>
      <c r="N25" s="1351"/>
      <c r="O25" s="11"/>
      <c r="P25" s="10"/>
      <c r="Q25" s="9"/>
      <c r="R25" s="1351"/>
      <c r="S25" s="1351"/>
      <c r="T25" s="1351"/>
      <c r="U25" s="1351"/>
      <c r="V25" s="1351"/>
      <c r="W25" s="1351"/>
      <c r="X25" s="1351"/>
      <c r="Y25" s="1351"/>
      <c r="Z25" s="1351"/>
      <c r="AA25" s="1351"/>
      <c r="AB25" s="1352"/>
      <c r="AC25" s="1351"/>
      <c r="AD25" s="11"/>
    </row>
    <row r="27" spans="2:30" x14ac:dyDescent="0.25">
      <c r="N27" s="1977"/>
    </row>
    <row r="28" spans="2:30" x14ac:dyDescent="0.25">
      <c r="N28" s="1977"/>
    </row>
    <row r="29" spans="2:30" x14ac:dyDescent="0.25">
      <c r="N29" s="1977"/>
    </row>
  </sheetData>
  <sheetProtection algorithmName="SHA-512" hashValue="/0FTsYV467OkgciLMqbyTUw+I/keJBUfAAoxPGSLQqSTxjnJfyQZG7+LCIhiB3dwyPEMNDMCWSKOYG6Aw+20Dw==" saltValue="JWbgaOWtzPp5SbDxyyHnWg==" spinCount="100000" sheet="1" objects="1" scenarios="1" formatCells="0" formatColumns="0" formatRows="0" insertRows="0"/>
  <mergeCells count="4">
    <mergeCell ref="C3:N3"/>
    <mergeCell ref="D5:J5"/>
    <mergeCell ref="R3:AC3"/>
    <mergeCell ref="S5:Y5"/>
  </mergeCells>
  <dataValidations count="2">
    <dataValidation type="list" allowBlank="1" showInputMessage="1" showErrorMessage="1" sqref="C8:C20 R8:R20">
      <formula1>"25%,30%,35%,40%,45%,50%,55%,60%,65%,80%"</formula1>
    </dataValidation>
    <dataValidation type="list" allowBlank="1" showInputMessage="1" showErrorMessage="1" sqref="E8:E22 T8:T22">
      <formula1>"Beds,Studio,SRO,1 BR,2 BR,3 BR,4 BR,5+ BR"</formula1>
    </dataValidation>
  </dataValidations>
  <pageMargins left="0.7" right="0.7" top="0.75" bottom="0.75" header="0.3" footer="0.3"/>
  <pageSetup scale="90" orientation="landscape" r:id="rId1"/>
  <headerFooter>
    <oddFooter>&amp;LForm 8A
Proposed Rents and AMIs Served&amp;CCFA Forms&amp;REdition: 2015
Version: 1.0</oddFooter>
  </headerFooter>
  <colBreaks count="1" manualBreakCount="1">
    <brk id="16" min="1" max="24" man="1"/>
  </colBreaks>
  <extLst>
    <ext xmlns:x14="http://schemas.microsoft.com/office/spreadsheetml/2009/9/main" uri="{78C0D931-6437-407d-A8EE-F0AAD7539E65}">
      <x14:conditionalFormattings>
        <x14:conditionalFormatting xmlns:xm="http://schemas.microsoft.com/office/excel/2006/main">
          <x14:cfRule type="expression" priority="2" id="{1581DC51-1810-4ADE-8BDC-C3545D7711A6}">
            <xm:f>$M$23&lt;&gt;'8B'!$H$18</xm:f>
            <x14:dxf>
              <font>
                <color rgb="FF990000"/>
              </font>
              <fill>
                <patternFill>
                  <bgColor theme="5" tint="0.79998168889431442"/>
                </patternFill>
              </fill>
            </x14:dxf>
          </x14:cfRule>
          <xm:sqref>M23</xm:sqref>
        </x14:conditionalFormatting>
        <x14:conditionalFormatting xmlns:xm="http://schemas.microsoft.com/office/excel/2006/main">
          <x14:cfRule type="expression" priority="1" id="{832CACF8-5838-4724-AF38-86C9DC2CC3E5}">
            <xm:f>$M$23&lt;&gt;'8B'!$H$18</xm:f>
            <x14:dxf>
              <font>
                <color rgb="FF990000"/>
              </font>
              <fill>
                <patternFill>
                  <bgColor theme="5" tint="0.79998168889431442"/>
                </patternFill>
              </fill>
            </x14:dxf>
          </x14:cfRule>
          <xm:sqref>AB23</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J37"/>
  <sheetViews>
    <sheetView showGridLines="0" zoomScaleNormal="100" workbookViewId="0">
      <selection activeCell="H1" sqref="H1"/>
    </sheetView>
  </sheetViews>
  <sheetFormatPr defaultColWidth="9.140625" defaultRowHeight="15" x14ac:dyDescent="0.25"/>
  <cols>
    <col min="1" max="2" width="1.7109375" style="735" customWidth="1"/>
    <col min="3" max="3" width="14.28515625" style="735" customWidth="1"/>
    <col min="4" max="4" width="28.5703125" style="735" customWidth="1"/>
    <col min="5" max="5" width="9.140625" style="735"/>
    <col min="6" max="8" width="17.140625" style="735" customWidth="1"/>
    <col min="9" max="9" width="20" style="735" customWidth="1"/>
    <col min="10" max="10" width="1.7109375" style="735" customWidth="1"/>
    <col min="11" max="16384" width="9.140625" style="735"/>
  </cols>
  <sheetData>
    <row r="5" spans="2:10" ht="9" customHeight="1" thickBot="1" x14ac:dyDescent="0.3"/>
    <row r="6" spans="2:10" ht="9" customHeight="1" x14ac:dyDescent="0.3">
      <c r="B6" s="1100"/>
      <c r="C6" s="1101"/>
      <c r="D6" s="1101"/>
      <c r="E6" s="1101"/>
      <c r="F6" s="1101"/>
      <c r="G6" s="1101"/>
      <c r="H6" s="1101"/>
      <c r="I6" s="1101"/>
      <c r="J6" s="1102"/>
    </row>
    <row r="7" spans="2:10" ht="18.75" x14ac:dyDescent="0.3">
      <c r="B7" s="1103"/>
      <c r="C7" s="2323" t="s">
        <v>1263</v>
      </c>
      <c r="D7" s="2323"/>
      <c r="E7" s="2323"/>
      <c r="F7" s="2323"/>
      <c r="G7" s="2323"/>
      <c r="H7" s="2323"/>
      <c r="I7" s="2323"/>
      <c r="J7" s="1025"/>
    </row>
    <row r="8" spans="2:10" ht="18.75" x14ac:dyDescent="0.3">
      <c r="B8" s="1103"/>
      <c r="C8" s="297"/>
      <c r="D8" s="297"/>
      <c r="E8" s="297"/>
      <c r="F8" s="297"/>
      <c r="G8" s="297"/>
      <c r="H8" s="297"/>
      <c r="I8" s="297"/>
      <c r="J8" s="1025"/>
    </row>
    <row r="9" spans="2:10" x14ac:dyDescent="0.25">
      <c r="B9" s="252"/>
      <c r="C9" s="1104" t="s">
        <v>63</v>
      </c>
      <c r="D9" s="1105" t="str">
        <f>IF('1A'!G5="","Enter Project Name on Form 1A",'1A'!G5)</f>
        <v xml:space="preserve">Building 9 </v>
      </c>
      <c r="E9" s="1106"/>
      <c r="F9" s="1105"/>
      <c r="G9" s="1105"/>
      <c r="H9" s="250"/>
      <c r="I9" s="250"/>
      <c r="J9" s="251"/>
    </row>
    <row r="10" spans="2:10" x14ac:dyDescent="0.25">
      <c r="B10" s="252"/>
      <c r="C10" s="715"/>
      <c r="D10" s="715"/>
      <c r="E10" s="715"/>
      <c r="F10" s="250"/>
      <c r="G10" s="250"/>
      <c r="H10" s="250"/>
      <c r="I10" s="250"/>
      <c r="J10" s="251"/>
    </row>
    <row r="11" spans="2:10" ht="15.75" thickBot="1" x14ac:dyDescent="0.3">
      <c r="B11" s="252"/>
      <c r="C11" s="1107" t="s">
        <v>358</v>
      </c>
      <c r="D11" s="1107"/>
      <c r="E11" s="715"/>
      <c r="F11" s="250"/>
      <c r="G11" s="250"/>
      <c r="H11" s="250"/>
      <c r="I11" s="250"/>
      <c r="J11" s="251"/>
    </row>
    <row r="12" spans="2:10" ht="15" customHeight="1" x14ac:dyDescent="0.25">
      <c r="B12" s="252"/>
      <c r="C12" s="2493" t="s">
        <v>307</v>
      </c>
      <c r="D12" s="2499"/>
      <c r="E12" s="2495"/>
      <c r="F12" s="2504" t="s">
        <v>359</v>
      </c>
      <c r="G12" s="2505" t="s">
        <v>360</v>
      </c>
      <c r="H12" s="2504" t="s">
        <v>361</v>
      </c>
      <c r="I12" s="2504" t="s">
        <v>362</v>
      </c>
      <c r="J12" s="251"/>
    </row>
    <row r="13" spans="2:10" ht="15.75" thickBot="1" x14ac:dyDescent="0.3">
      <c r="B13" s="252"/>
      <c r="C13" s="2496"/>
      <c r="D13" s="2500"/>
      <c r="E13" s="2501"/>
      <c r="F13" s="2503"/>
      <c r="G13" s="2506"/>
      <c r="H13" s="2503"/>
      <c r="I13" s="2503"/>
      <c r="J13" s="251"/>
    </row>
    <row r="14" spans="2:10" x14ac:dyDescent="0.25">
      <c r="B14" s="252"/>
      <c r="C14" s="2484"/>
      <c r="D14" s="2485"/>
      <c r="E14" s="2486"/>
      <c r="F14" s="1089">
        <v>0</v>
      </c>
      <c r="G14" s="1089">
        <v>0</v>
      </c>
      <c r="H14" s="262">
        <f>SUM(F14:G14)</f>
        <v>0</v>
      </c>
      <c r="I14" s="1540"/>
      <c r="J14" s="251"/>
    </row>
    <row r="15" spans="2:10" x14ac:dyDescent="0.25">
      <c r="B15" s="252"/>
      <c r="C15" s="2487"/>
      <c r="D15" s="2488"/>
      <c r="E15" s="2489"/>
      <c r="F15" s="1091">
        <v>0</v>
      </c>
      <c r="G15" s="1091">
        <v>0</v>
      </c>
      <c r="H15" s="263">
        <f>SUM(F15:G15)</f>
        <v>0</v>
      </c>
      <c r="I15" s="1541"/>
      <c r="J15" s="251"/>
    </row>
    <row r="16" spans="2:10" x14ac:dyDescent="0.25">
      <c r="B16" s="252"/>
      <c r="C16" s="2487"/>
      <c r="D16" s="2488"/>
      <c r="E16" s="2489"/>
      <c r="F16" s="1091">
        <v>0</v>
      </c>
      <c r="G16" s="1091">
        <v>0</v>
      </c>
      <c r="H16" s="263">
        <f>SUM(F16:G16)</f>
        <v>0</v>
      </c>
      <c r="I16" s="1541"/>
      <c r="J16" s="251"/>
    </row>
    <row r="17" spans="2:10" ht="15.75" thickBot="1" x14ac:dyDescent="0.3">
      <c r="B17" s="252"/>
      <c r="C17" s="2490"/>
      <c r="D17" s="2491"/>
      <c r="E17" s="2492"/>
      <c r="F17" s="1093">
        <v>0</v>
      </c>
      <c r="G17" s="1093">
        <v>0</v>
      </c>
      <c r="H17" s="264">
        <f>SUM(F17:G17)</f>
        <v>0</v>
      </c>
      <c r="I17" s="1542"/>
      <c r="J17" s="251"/>
    </row>
    <row r="18" spans="2:10" ht="16.5" thickTop="1" thickBot="1" x14ac:dyDescent="0.3">
      <c r="B18" s="252"/>
      <c r="C18" s="2472" t="s">
        <v>363</v>
      </c>
      <c r="D18" s="2473"/>
      <c r="E18" s="2474"/>
      <c r="F18" s="258">
        <f>SUM(F14:F17)</f>
        <v>0</v>
      </c>
      <c r="G18" s="258">
        <f>SUM(G14:G17)</f>
        <v>0</v>
      </c>
      <c r="H18" s="676">
        <f>SUM(H14:H17)</f>
        <v>0</v>
      </c>
      <c r="I18" s="1543"/>
      <c r="J18" s="251"/>
    </row>
    <row r="19" spans="2:10" x14ac:dyDescent="0.25">
      <c r="B19" s="252"/>
      <c r="C19" s="715"/>
      <c r="D19" s="715"/>
      <c r="E19" s="715"/>
      <c r="F19" s="250"/>
      <c r="G19" s="250"/>
      <c r="H19" s="253" t="s">
        <v>35</v>
      </c>
      <c r="I19" s="250"/>
      <c r="J19" s="251"/>
    </row>
    <row r="20" spans="2:10" ht="15.75" thickBot="1" x14ac:dyDescent="0.3">
      <c r="B20" s="252"/>
      <c r="C20" s="1107" t="s">
        <v>364</v>
      </c>
      <c r="D20" s="1107"/>
      <c r="E20" s="715"/>
      <c r="F20" s="250"/>
      <c r="G20" s="250"/>
      <c r="H20" s="250"/>
      <c r="I20" s="250"/>
      <c r="J20" s="251"/>
    </row>
    <row r="21" spans="2:10" x14ac:dyDescent="0.25">
      <c r="B21" s="252"/>
      <c r="C21" s="2493" t="s">
        <v>307</v>
      </c>
      <c r="D21" s="2494"/>
      <c r="E21" s="2495"/>
      <c r="F21" s="2502" t="s">
        <v>359</v>
      </c>
      <c r="G21" s="2502" t="s">
        <v>360</v>
      </c>
      <c r="H21" s="2502" t="s">
        <v>361</v>
      </c>
      <c r="I21" s="2502" t="s">
        <v>362</v>
      </c>
      <c r="J21" s="251"/>
    </row>
    <row r="22" spans="2:10" ht="15.75" thickBot="1" x14ac:dyDescent="0.3">
      <c r="B22" s="252"/>
      <c r="C22" s="2496"/>
      <c r="D22" s="2497"/>
      <c r="E22" s="2498"/>
      <c r="F22" s="2503"/>
      <c r="G22" s="2503"/>
      <c r="H22" s="2503"/>
      <c r="I22" s="2503"/>
      <c r="J22" s="251"/>
    </row>
    <row r="23" spans="2:10" x14ac:dyDescent="0.25">
      <c r="B23" s="252"/>
      <c r="C23" s="2475"/>
      <c r="D23" s="2476"/>
      <c r="E23" s="2477"/>
      <c r="F23" s="1095">
        <v>0</v>
      </c>
      <c r="G23" s="1095">
        <v>0</v>
      </c>
      <c r="H23" s="265">
        <f>SUM(F23:G23)</f>
        <v>0</v>
      </c>
      <c r="I23" s="1090"/>
      <c r="J23" s="251"/>
    </row>
    <row r="24" spans="2:10" x14ac:dyDescent="0.25">
      <c r="B24" s="252"/>
      <c r="C24" s="2478"/>
      <c r="D24" s="2479"/>
      <c r="E24" s="2480"/>
      <c r="F24" s="1096">
        <v>0</v>
      </c>
      <c r="G24" s="1096">
        <v>0</v>
      </c>
      <c r="H24" s="266">
        <f>SUM(F24:G24)</f>
        <v>0</v>
      </c>
      <c r="I24" s="1092"/>
      <c r="J24" s="251"/>
    </row>
    <row r="25" spans="2:10" x14ac:dyDescent="0.25">
      <c r="B25" s="252"/>
      <c r="C25" s="2478"/>
      <c r="D25" s="2479"/>
      <c r="E25" s="2480"/>
      <c r="F25" s="1096">
        <v>0</v>
      </c>
      <c r="G25" s="1096">
        <v>0</v>
      </c>
      <c r="H25" s="266">
        <f>SUM(F25:G25)</f>
        <v>0</v>
      </c>
      <c r="I25" s="1092"/>
      <c r="J25" s="251"/>
    </row>
    <row r="26" spans="2:10" x14ac:dyDescent="0.25">
      <c r="B26" s="252"/>
      <c r="C26" s="2478"/>
      <c r="D26" s="2479"/>
      <c r="E26" s="2480"/>
      <c r="F26" s="1096">
        <v>0</v>
      </c>
      <c r="G26" s="1096">
        <v>0</v>
      </c>
      <c r="H26" s="266">
        <f>SUM(F26:G26)</f>
        <v>0</v>
      </c>
      <c r="I26" s="1092"/>
      <c r="J26" s="251"/>
    </row>
    <row r="27" spans="2:10" ht="15.75" thickBot="1" x14ac:dyDescent="0.3">
      <c r="B27" s="252"/>
      <c r="C27" s="2481"/>
      <c r="D27" s="2482"/>
      <c r="E27" s="2483"/>
      <c r="F27" s="1097">
        <v>0</v>
      </c>
      <c r="G27" s="1097">
        <v>0</v>
      </c>
      <c r="H27" s="267">
        <f>SUM(F27:G27)</f>
        <v>0</v>
      </c>
      <c r="I27" s="1094"/>
      <c r="J27" s="251"/>
    </row>
    <row r="28" spans="2:10" ht="16.5" thickTop="1" thickBot="1" x14ac:dyDescent="0.3">
      <c r="B28" s="252"/>
      <c r="C28" s="2472" t="s">
        <v>657</v>
      </c>
      <c r="D28" s="2473"/>
      <c r="E28" s="2474"/>
      <c r="F28" s="259">
        <f>SUM(F23:F27)</f>
        <v>0</v>
      </c>
      <c r="G28" s="259">
        <f>SUM(G23:G27)</f>
        <v>0</v>
      </c>
      <c r="H28" s="260">
        <f>SUM(H23:H27)</f>
        <v>0</v>
      </c>
      <c r="I28" s="1098"/>
      <c r="J28" s="251"/>
    </row>
    <row r="29" spans="2:10" x14ac:dyDescent="0.25">
      <c r="B29" s="252"/>
      <c r="C29" s="715"/>
      <c r="D29" s="715"/>
      <c r="E29" s="715"/>
      <c r="F29" s="250"/>
      <c r="G29" s="250"/>
      <c r="H29" s="250"/>
      <c r="I29" s="250"/>
      <c r="J29" s="251"/>
    </row>
    <row r="30" spans="2:10" ht="15.75" thickBot="1" x14ac:dyDescent="0.3">
      <c r="B30" s="252"/>
      <c r="C30" s="1107" t="s">
        <v>366</v>
      </c>
      <c r="D30" s="1107"/>
      <c r="E30" s="715"/>
      <c r="F30" s="250"/>
      <c r="G30" s="250"/>
      <c r="H30" s="250"/>
      <c r="I30" s="250"/>
      <c r="J30" s="251"/>
    </row>
    <row r="31" spans="2:10" x14ac:dyDescent="0.25">
      <c r="B31" s="252"/>
      <c r="C31" s="2493" t="s">
        <v>307</v>
      </c>
      <c r="D31" s="2494"/>
      <c r="E31" s="2495"/>
      <c r="F31" s="2502" t="s">
        <v>359</v>
      </c>
      <c r="G31" s="2502" t="s">
        <v>360</v>
      </c>
      <c r="H31" s="2502" t="s">
        <v>361</v>
      </c>
      <c r="I31" s="2502" t="s">
        <v>362</v>
      </c>
      <c r="J31" s="251"/>
    </row>
    <row r="32" spans="2:10" ht="15.75" thickBot="1" x14ac:dyDescent="0.3">
      <c r="B32" s="252"/>
      <c r="C32" s="2496"/>
      <c r="D32" s="2497"/>
      <c r="E32" s="2498"/>
      <c r="F32" s="2503"/>
      <c r="G32" s="2503"/>
      <c r="H32" s="2503"/>
      <c r="I32" s="2503"/>
      <c r="J32" s="251"/>
    </row>
    <row r="33" spans="2:10" x14ac:dyDescent="0.25">
      <c r="B33" s="252"/>
      <c r="C33" s="2475"/>
      <c r="D33" s="2476"/>
      <c r="E33" s="2477"/>
      <c r="F33" s="1089">
        <v>0</v>
      </c>
      <c r="G33" s="1089">
        <v>0</v>
      </c>
      <c r="H33" s="262">
        <f>SUM(F33:G33)</f>
        <v>0</v>
      </c>
      <c r="I33" s="1090"/>
      <c r="J33" s="251"/>
    </row>
    <row r="34" spans="2:10" x14ac:dyDescent="0.25">
      <c r="B34" s="252"/>
      <c r="C34" s="2478"/>
      <c r="D34" s="2479"/>
      <c r="E34" s="2480"/>
      <c r="F34" s="1091">
        <v>0</v>
      </c>
      <c r="G34" s="1091">
        <v>0</v>
      </c>
      <c r="H34" s="263">
        <f>SUM(F34:G34)</f>
        <v>0</v>
      </c>
      <c r="I34" s="1092"/>
      <c r="J34" s="251"/>
    </row>
    <row r="35" spans="2:10" ht="15.75" thickBot="1" x14ac:dyDescent="0.3">
      <c r="B35" s="252"/>
      <c r="C35" s="2481"/>
      <c r="D35" s="2482"/>
      <c r="E35" s="2483"/>
      <c r="F35" s="1093">
        <v>0</v>
      </c>
      <c r="G35" s="1093">
        <v>0</v>
      </c>
      <c r="H35" s="264">
        <f>SUM(F35:G35)</f>
        <v>0</v>
      </c>
      <c r="I35" s="1094"/>
      <c r="J35" s="251"/>
    </row>
    <row r="36" spans="2:10" ht="16.5" thickTop="1" thickBot="1" x14ac:dyDescent="0.3">
      <c r="B36" s="252"/>
      <c r="C36" s="2472" t="s">
        <v>658</v>
      </c>
      <c r="D36" s="2473"/>
      <c r="E36" s="2474"/>
      <c r="F36" s="258">
        <f>SUM(F33:F35)</f>
        <v>0</v>
      </c>
      <c r="G36" s="258">
        <f>SUM(G33:G35)</f>
        <v>0</v>
      </c>
      <c r="H36" s="261">
        <f>SUM(H33:H35)</f>
        <v>0</v>
      </c>
      <c r="I36" s="1099"/>
      <c r="J36" s="251"/>
    </row>
    <row r="37" spans="2:10" ht="9" customHeight="1" thickBot="1" x14ac:dyDescent="0.3">
      <c r="B37" s="254"/>
      <c r="C37" s="255"/>
      <c r="D37" s="255"/>
      <c r="E37" s="255"/>
      <c r="F37" s="256"/>
      <c r="G37" s="256"/>
      <c r="H37" s="256"/>
      <c r="I37" s="256"/>
      <c r="J37" s="257"/>
    </row>
  </sheetData>
  <sheetProtection algorithmName="SHA-512" hashValue="RmH36JYhJnF29uGYlq+YGyvrvO9TpM+DsCjnWxNH5suGvaBejwBdXYLfMqKbe+wUAQJdbrxnfhp9Qf9wvV/pnQ==" saltValue="rJEnABgGXI4ctz9wC6eLfg==" spinCount="100000" sheet="1" objects="1" scenarios="1" formatCells="0" formatColumns="0" formatRows="0" insertRows="0"/>
  <mergeCells count="31">
    <mergeCell ref="I31:I32"/>
    <mergeCell ref="F12:F13"/>
    <mergeCell ref="G12:G13"/>
    <mergeCell ref="H12:H13"/>
    <mergeCell ref="I12:I13"/>
    <mergeCell ref="I21:I22"/>
    <mergeCell ref="C31:E32"/>
    <mergeCell ref="C12:E13"/>
    <mergeCell ref="F31:F32"/>
    <mergeCell ref="G31:G32"/>
    <mergeCell ref="H31:H32"/>
    <mergeCell ref="H21:H22"/>
    <mergeCell ref="G21:G22"/>
    <mergeCell ref="F21:F22"/>
    <mergeCell ref="C21:E22"/>
    <mergeCell ref="C7:I7"/>
    <mergeCell ref="C28:E28"/>
    <mergeCell ref="C36:E36"/>
    <mergeCell ref="C18:E18"/>
    <mergeCell ref="C33:E33"/>
    <mergeCell ref="C34:E34"/>
    <mergeCell ref="C35:E35"/>
    <mergeCell ref="C26:E26"/>
    <mergeCell ref="C27:E27"/>
    <mergeCell ref="C14:E14"/>
    <mergeCell ref="C15:E15"/>
    <mergeCell ref="C23:E23"/>
    <mergeCell ref="C24:E24"/>
    <mergeCell ref="C25:E25"/>
    <mergeCell ref="C16:E16"/>
    <mergeCell ref="C17:E17"/>
  </mergeCells>
  <pageMargins left="0.7" right="0.7" top="0.75" bottom="0.75" header="0.3" footer="0.3"/>
  <pageSetup scale="96" orientation="landscape" r:id="rId1"/>
  <headerFooter>
    <oddFooter>&amp;LForm 8B
Operating, Service and Rent Subsidy Sources&amp;CCFA Forms&amp;REdition: 2015
Version: 1.0</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Z39"/>
  <sheetViews>
    <sheetView showGridLines="0" zoomScaleNormal="100" workbookViewId="0">
      <selection activeCell="C9" sqref="C9:K9"/>
    </sheetView>
  </sheetViews>
  <sheetFormatPr defaultColWidth="9.140625" defaultRowHeight="15" x14ac:dyDescent="0.25"/>
  <cols>
    <col min="1" max="1" width="1.7109375" style="806" customWidth="1"/>
    <col min="2" max="2" width="5.28515625" style="806" customWidth="1"/>
    <col min="3" max="3" width="14.28515625" style="806" customWidth="1"/>
    <col min="4" max="4" width="10" style="806" customWidth="1"/>
    <col min="5" max="5" width="12.5703125" style="806" customWidth="1"/>
    <col min="6" max="6" width="11.42578125" style="806" customWidth="1"/>
    <col min="7" max="7" width="9.140625" style="806"/>
    <col min="8" max="8" width="11.42578125" style="806" customWidth="1"/>
    <col min="9" max="9" width="9.140625" style="806"/>
    <col min="10" max="10" width="8.28515625" style="806" customWidth="1"/>
    <col min="11" max="11" width="12.42578125" style="806" customWidth="1"/>
    <col min="12" max="14" width="1.7109375" style="806" customWidth="1"/>
    <col min="15" max="15" width="5.42578125" style="806" customWidth="1"/>
    <col min="16" max="16" width="14" style="806" customWidth="1"/>
    <col min="17" max="17" width="16.7109375" style="806" customWidth="1"/>
    <col min="18" max="18" width="12.28515625" style="806" customWidth="1"/>
    <col min="19" max="19" width="10.5703125" style="806" customWidth="1"/>
    <col min="20" max="20" width="9.140625" style="806"/>
    <col min="21" max="21" width="11.28515625" style="806" customWidth="1"/>
    <col min="22" max="22" width="9.140625" style="806"/>
    <col min="23" max="23" width="10.28515625" style="806" customWidth="1"/>
    <col min="24" max="24" width="11.42578125" style="806" customWidth="1"/>
    <col min="25" max="25" width="2" style="806" customWidth="1"/>
    <col min="26" max="26" width="14.42578125" style="806" bestFit="1" customWidth="1"/>
    <col min="27" max="16384" width="9.140625" style="806"/>
  </cols>
  <sheetData>
    <row r="7" spans="2:26" ht="13.7" customHeight="1" thickBot="1" x14ac:dyDescent="0.3"/>
    <row r="8" spans="2:26" ht="9" customHeight="1" x14ac:dyDescent="0.25">
      <c r="B8" s="282"/>
      <c r="C8" s="283"/>
      <c r="D8" s="283"/>
      <c r="E8" s="284"/>
      <c r="F8" s="284"/>
      <c r="G8" s="285"/>
      <c r="H8" s="286"/>
      <c r="I8" s="286"/>
      <c r="J8" s="287"/>
      <c r="K8" s="285"/>
      <c r="L8" s="289"/>
      <c r="M8" s="841"/>
      <c r="O8" s="282"/>
      <c r="P8" s="283"/>
      <c r="Q8" s="283"/>
      <c r="R8" s="284"/>
      <c r="S8" s="284"/>
      <c r="T8" s="285"/>
      <c r="U8" s="286"/>
      <c r="V8" s="286"/>
      <c r="W8" s="287"/>
      <c r="X8" s="285"/>
      <c r="Y8" s="289"/>
    </row>
    <row r="9" spans="2:26" ht="18.75" x14ac:dyDescent="0.3">
      <c r="B9" s="290"/>
      <c r="C9" s="2208" t="s">
        <v>367</v>
      </c>
      <c r="D9" s="2208"/>
      <c r="E9" s="2208"/>
      <c r="F9" s="2208"/>
      <c r="G9" s="2208"/>
      <c r="H9" s="2208"/>
      <c r="I9" s="2208"/>
      <c r="J9" s="2208"/>
      <c r="K9" s="2208"/>
      <c r="L9" s="251"/>
      <c r="M9" s="841"/>
      <c r="O9" s="290"/>
      <c r="P9" s="2208" t="s">
        <v>367</v>
      </c>
      <c r="Q9" s="2208"/>
      <c r="R9" s="2208"/>
      <c r="S9" s="2208"/>
      <c r="T9" s="2208"/>
      <c r="U9" s="2208"/>
      <c r="V9" s="2208"/>
      <c r="W9" s="2208"/>
      <c r="X9" s="2208"/>
      <c r="Y9" s="843"/>
    </row>
    <row r="10" spans="2:26" x14ac:dyDescent="0.25">
      <c r="B10" s="290"/>
      <c r="C10" s="250"/>
      <c r="D10" s="250"/>
      <c r="E10" s="291"/>
      <c r="F10" s="291"/>
      <c r="G10" s="292"/>
      <c r="H10" s="293"/>
      <c r="I10" s="293"/>
      <c r="J10" s="294"/>
      <c r="K10" s="292"/>
      <c r="L10" s="251"/>
      <c r="M10" s="841"/>
      <c r="O10" s="290"/>
      <c r="P10" s="841"/>
      <c r="Q10" s="841"/>
      <c r="R10" s="847"/>
      <c r="S10" s="847"/>
      <c r="T10" s="292"/>
      <c r="U10" s="293"/>
      <c r="V10" s="293"/>
      <c r="W10" s="294"/>
      <c r="X10" s="292"/>
      <c r="Y10" s="843"/>
    </row>
    <row r="11" spans="2:26" x14ac:dyDescent="0.25">
      <c r="B11" s="290"/>
      <c r="C11" s="1108" t="s">
        <v>1</v>
      </c>
      <c r="D11" s="978" t="str">
        <f>IF('1A'!G7="","Enter Project Name on Form 1A",'1A'!G7)</f>
        <v>Building 9 South (4%)</v>
      </c>
      <c r="E11" s="978"/>
      <c r="F11" s="978"/>
      <c r="G11" s="978"/>
      <c r="H11" s="978"/>
      <c r="I11" s="1109"/>
      <c r="J11" s="175"/>
      <c r="K11" s="175"/>
      <c r="L11" s="251"/>
      <c r="M11" s="841"/>
      <c r="O11" s="290"/>
      <c r="P11" s="1108" t="s">
        <v>1</v>
      </c>
      <c r="Q11" s="1670" t="str">
        <f>IF('1A'!G9="","Enter Project Name on Form 1A",'1A'!G9)</f>
        <v>Building 9 North (9%)</v>
      </c>
      <c r="R11" s="1670"/>
      <c r="S11" s="1670"/>
      <c r="T11" s="1670"/>
      <c r="U11" s="1670"/>
      <c r="V11" s="1109"/>
      <c r="W11" s="175"/>
      <c r="X11" s="175"/>
      <c r="Y11" s="843"/>
    </row>
    <row r="12" spans="2:26" ht="22.7" customHeight="1" thickBot="1" x14ac:dyDescent="0.3">
      <c r="B12" s="290"/>
      <c r="C12" s="297"/>
      <c r="D12" s="297"/>
      <c r="E12" s="297"/>
      <c r="F12" s="297"/>
      <c r="G12" s="297"/>
      <c r="H12" s="297"/>
      <c r="I12" s="297"/>
      <c r="J12" s="297"/>
      <c r="K12" s="297"/>
      <c r="L12" s="251"/>
      <c r="M12" s="841"/>
      <c r="O12" s="290"/>
      <c r="P12" s="1669"/>
      <c r="Q12" s="1669"/>
      <c r="R12" s="1669"/>
      <c r="S12" s="1669"/>
      <c r="T12" s="1669"/>
      <c r="U12" s="1669"/>
      <c r="V12" s="1669"/>
      <c r="W12" s="1669"/>
      <c r="X12" s="1669"/>
      <c r="Y12" s="843"/>
    </row>
    <row r="13" spans="2:26" ht="16.5" thickBot="1" x14ac:dyDescent="0.3">
      <c r="B13" s="290"/>
      <c r="C13" s="1110" t="s">
        <v>368</v>
      </c>
      <c r="D13" s="1111"/>
      <c r="E13" s="1111"/>
      <c r="F13" s="1111"/>
      <c r="G13" s="1111"/>
      <c r="H13" s="1111"/>
      <c r="I13" s="1111"/>
      <c r="J13" s="1111"/>
      <c r="K13" s="1112"/>
      <c r="L13" s="251"/>
      <c r="M13" s="841"/>
      <c r="O13" s="290"/>
      <c r="P13" s="1110" t="s">
        <v>368</v>
      </c>
      <c r="Q13" s="1111"/>
      <c r="R13" s="1111"/>
      <c r="S13" s="1111"/>
      <c r="T13" s="1111"/>
      <c r="U13" s="1111"/>
      <c r="V13" s="1111"/>
      <c r="W13" s="1111"/>
      <c r="X13" s="1112"/>
      <c r="Y13" s="843"/>
    </row>
    <row r="14" spans="2:26" ht="78" thickBot="1" x14ac:dyDescent="0.3">
      <c r="B14" s="290"/>
      <c r="C14" s="2511" t="s">
        <v>369</v>
      </c>
      <c r="D14" s="2512"/>
      <c r="E14" s="1113" t="s">
        <v>370</v>
      </c>
      <c r="F14" s="1114" t="s">
        <v>371</v>
      </c>
      <c r="G14" s="1115" t="s">
        <v>372</v>
      </c>
      <c r="H14" s="1114" t="s">
        <v>373</v>
      </c>
      <c r="I14" s="1114" t="s">
        <v>374</v>
      </c>
      <c r="J14" s="1115" t="s">
        <v>375</v>
      </c>
      <c r="K14" s="1116" t="s">
        <v>376</v>
      </c>
      <c r="L14" s="251"/>
      <c r="M14" s="841"/>
      <c r="O14" s="290"/>
      <c r="P14" s="2511" t="s">
        <v>369</v>
      </c>
      <c r="Q14" s="2512"/>
      <c r="R14" s="1113" t="s">
        <v>370</v>
      </c>
      <c r="S14" s="1114" t="s">
        <v>371</v>
      </c>
      <c r="T14" s="1115" t="s">
        <v>372</v>
      </c>
      <c r="U14" s="1114" t="s">
        <v>373</v>
      </c>
      <c r="V14" s="1114" t="s">
        <v>374</v>
      </c>
      <c r="W14" s="1115" t="s">
        <v>375</v>
      </c>
      <c r="X14" s="1116" t="s">
        <v>376</v>
      </c>
      <c r="Y14" s="843"/>
    </row>
    <row r="15" spans="2:26" x14ac:dyDescent="0.25">
      <c r="B15" s="299"/>
      <c r="C15" s="2509" t="s">
        <v>1536</v>
      </c>
      <c r="D15" s="2510"/>
      <c r="E15" s="652" t="s">
        <v>1419</v>
      </c>
      <c r="F15" s="653">
        <v>58437.5</v>
      </c>
      <c r="G15" s="654">
        <v>1</v>
      </c>
      <c r="H15" s="655">
        <f>F15*G15</f>
        <v>58437.5</v>
      </c>
      <c r="I15" s="654">
        <v>0.3</v>
      </c>
      <c r="J15" s="655">
        <f>H15*I15</f>
        <v>17531.25</v>
      </c>
      <c r="K15" s="656">
        <f>H15+J15</f>
        <v>75968.75</v>
      </c>
      <c r="L15" s="301"/>
      <c r="M15" s="318"/>
      <c r="O15" s="299"/>
      <c r="P15" s="2509" t="s">
        <v>1538</v>
      </c>
      <c r="Q15" s="2510"/>
      <c r="R15" s="652" t="s">
        <v>1419</v>
      </c>
      <c r="S15" s="653">
        <v>26562.5</v>
      </c>
      <c r="T15" s="654">
        <v>1</v>
      </c>
      <c r="U15" s="655">
        <f>S15*T15</f>
        <v>26562.5</v>
      </c>
      <c r="V15" s="654">
        <v>0.3</v>
      </c>
      <c r="W15" s="655">
        <f>U15*V15</f>
        <v>7968.75</v>
      </c>
      <c r="X15" s="656">
        <f>U15+W15</f>
        <v>34531.25</v>
      </c>
      <c r="Y15" s="301"/>
      <c r="Z15" s="1896"/>
    </row>
    <row r="16" spans="2:26" x14ac:dyDescent="0.25">
      <c r="B16" s="290"/>
      <c r="C16" s="2507" t="s">
        <v>1552</v>
      </c>
      <c r="D16" s="2508"/>
      <c r="E16" s="269" t="s">
        <v>1419</v>
      </c>
      <c r="F16" s="270">
        <v>57062.5</v>
      </c>
      <c r="G16" s="171">
        <v>1</v>
      </c>
      <c r="H16" s="278">
        <f>F16*G16</f>
        <v>57062.5</v>
      </c>
      <c r="I16" s="654">
        <v>0.3</v>
      </c>
      <c r="J16" s="278">
        <f>H16*I16</f>
        <v>17118.75</v>
      </c>
      <c r="K16" s="280">
        <f>H16+J16</f>
        <v>74181.25</v>
      </c>
      <c r="L16" s="305"/>
      <c r="M16" s="317"/>
      <c r="O16" s="290"/>
      <c r="P16" s="2507" t="s">
        <v>1551</v>
      </c>
      <c r="Q16" s="2508"/>
      <c r="R16" s="269" t="s">
        <v>1419</v>
      </c>
      <c r="S16" s="270">
        <v>25937.5</v>
      </c>
      <c r="T16" s="171">
        <v>1</v>
      </c>
      <c r="U16" s="278">
        <f>S16*T16</f>
        <v>25937.5</v>
      </c>
      <c r="V16" s="654">
        <v>0.3</v>
      </c>
      <c r="W16" s="278">
        <f>U16*V16</f>
        <v>7781.25</v>
      </c>
      <c r="X16" s="280">
        <f>U16+W16</f>
        <v>33718.75</v>
      </c>
      <c r="Y16" s="305"/>
      <c r="Z16" s="1895"/>
    </row>
    <row r="17" spans="2:26" x14ac:dyDescent="0.25">
      <c r="B17" s="290"/>
      <c r="C17" s="2507" t="s">
        <v>1588</v>
      </c>
      <c r="D17" s="2508"/>
      <c r="E17" s="269" t="s">
        <v>1419</v>
      </c>
      <c r="F17" s="270">
        <v>440</v>
      </c>
      <c r="G17" s="171">
        <v>1</v>
      </c>
      <c r="H17" s="278">
        <f>F17*G17</f>
        <v>440</v>
      </c>
      <c r="I17" s="171">
        <v>0</v>
      </c>
      <c r="J17" s="278">
        <f>H17*I17</f>
        <v>0</v>
      </c>
      <c r="K17" s="280">
        <f>H17+J17</f>
        <v>440</v>
      </c>
      <c r="L17" s="305"/>
      <c r="M17" s="317"/>
      <c r="O17" s="290"/>
      <c r="P17" s="2507" t="s">
        <v>1588</v>
      </c>
      <c r="Q17" s="2508"/>
      <c r="R17" s="269" t="s">
        <v>1419</v>
      </c>
      <c r="S17" s="270">
        <v>200</v>
      </c>
      <c r="T17" s="171">
        <v>1</v>
      </c>
      <c r="U17" s="278">
        <f>S17*T17</f>
        <v>200</v>
      </c>
      <c r="V17" s="171">
        <v>0</v>
      </c>
      <c r="W17" s="278">
        <f>U17*V17</f>
        <v>0</v>
      </c>
      <c r="X17" s="280">
        <f>U17+W17</f>
        <v>200</v>
      </c>
      <c r="Y17" s="305"/>
      <c r="Z17" s="1897"/>
    </row>
    <row r="18" spans="2:26" x14ac:dyDescent="0.25">
      <c r="B18" s="290"/>
      <c r="C18" s="2507" t="s">
        <v>1588</v>
      </c>
      <c r="D18" s="2508"/>
      <c r="E18" s="269" t="s">
        <v>1419</v>
      </c>
      <c r="F18" s="270">
        <f>13200</f>
        <v>13200</v>
      </c>
      <c r="G18" s="171">
        <v>1</v>
      </c>
      <c r="H18" s="278">
        <f>F18*G18</f>
        <v>13200</v>
      </c>
      <c r="I18" s="171">
        <v>0</v>
      </c>
      <c r="J18" s="278">
        <f>H18*I18</f>
        <v>0</v>
      </c>
      <c r="K18" s="280">
        <f>H18+J18</f>
        <v>13200</v>
      </c>
      <c r="L18" s="251"/>
      <c r="M18" s="841"/>
      <c r="O18" s="290"/>
      <c r="P18" s="2507" t="s">
        <v>1588</v>
      </c>
      <c r="Q18" s="2508"/>
      <c r="R18" s="269" t="s">
        <v>1419</v>
      </c>
      <c r="S18" s="270">
        <v>6000</v>
      </c>
      <c r="T18" s="171">
        <v>1</v>
      </c>
      <c r="U18" s="278">
        <f>S18*T18</f>
        <v>6000</v>
      </c>
      <c r="V18" s="171">
        <v>0</v>
      </c>
      <c r="W18" s="278">
        <f>U18*V18</f>
        <v>0</v>
      </c>
      <c r="X18" s="280">
        <f>U18+W18</f>
        <v>6000</v>
      </c>
      <c r="Y18" s="843"/>
    </row>
    <row r="19" spans="2:26" ht="15.75" thickBot="1" x14ac:dyDescent="0.3">
      <c r="B19" s="290"/>
      <c r="C19" s="2518"/>
      <c r="D19" s="2519"/>
      <c r="E19" s="271"/>
      <c r="F19" s="272">
        <v>0</v>
      </c>
      <c r="G19" s="172">
        <v>0</v>
      </c>
      <c r="H19" s="279">
        <f>F19*G19</f>
        <v>0</v>
      </c>
      <c r="I19" s="172">
        <v>0</v>
      </c>
      <c r="J19" s="279">
        <f>H19*I19</f>
        <v>0</v>
      </c>
      <c r="K19" s="281">
        <f>H19+J19</f>
        <v>0</v>
      </c>
      <c r="L19" s="251"/>
      <c r="M19" s="841"/>
      <c r="O19" s="290"/>
      <c r="P19" s="2518"/>
      <c r="Q19" s="2519"/>
      <c r="R19" s="271"/>
      <c r="S19" s="272">
        <v>0</v>
      </c>
      <c r="T19" s="172">
        <v>0</v>
      </c>
      <c r="U19" s="279">
        <f>S19*T19</f>
        <v>0</v>
      </c>
      <c r="V19" s="172">
        <v>0</v>
      </c>
      <c r="W19" s="279">
        <f>U19*V19</f>
        <v>0</v>
      </c>
      <c r="X19" s="281">
        <f>U19+W19</f>
        <v>0</v>
      </c>
      <c r="Y19" s="843"/>
    </row>
    <row r="20" spans="2:26" ht="17.25" thickTop="1" thickBot="1" x14ac:dyDescent="0.3">
      <c r="B20" s="290"/>
      <c r="C20" s="274" t="s">
        <v>377</v>
      </c>
      <c r="D20" s="275"/>
      <c r="E20" s="275"/>
      <c r="F20" s="275"/>
      <c r="G20" s="275"/>
      <c r="H20" s="169"/>
      <c r="I20" s="169"/>
      <c r="J20" s="170"/>
      <c r="K20" s="173">
        <f>SUM(K15:K19)</f>
        <v>163790</v>
      </c>
      <c r="L20" s="251"/>
      <c r="M20" s="841"/>
      <c r="O20" s="1729"/>
      <c r="P20" s="274" t="s">
        <v>377</v>
      </c>
      <c r="Q20" s="275"/>
      <c r="R20" s="275"/>
      <c r="S20" s="275"/>
      <c r="T20" s="275"/>
      <c r="U20" s="169"/>
      <c r="V20" s="169"/>
      <c r="W20" s="170"/>
      <c r="X20" s="173">
        <f>SUM(X15:X19)</f>
        <v>74450</v>
      </c>
      <c r="Y20" s="843"/>
    </row>
    <row r="21" spans="2:26" ht="15" customHeight="1" thickBot="1" x14ac:dyDescent="0.3">
      <c r="B21" s="290"/>
      <c r="C21" s="1117"/>
      <c r="D21" s="250"/>
      <c r="E21" s="291"/>
      <c r="F21" s="1118"/>
      <c r="G21" s="1119"/>
      <c r="H21" s="1118"/>
      <c r="I21" s="1119"/>
      <c r="J21" s="1739"/>
      <c r="K21" s="1118"/>
      <c r="L21" s="1120"/>
      <c r="M21" s="1118"/>
      <c r="O21" s="290"/>
      <c r="P21" s="1117"/>
      <c r="Q21" s="841"/>
      <c r="R21" s="847"/>
      <c r="S21" s="1118"/>
      <c r="T21" s="1119"/>
      <c r="U21" s="1118"/>
      <c r="V21" s="1119"/>
      <c r="W21" s="1739"/>
      <c r="X21" s="1118"/>
      <c r="Y21" s="1120"/>
    </row>
    <row r="22" spans="2:26" ht="16.5" thickBot="1" x14ac:dyDescent="0.3">
      <c r="B22" s="290"/>
      <c r="C22" s="2515" t="s">
        <v>378</v>
      </c>
      <c r="D22" s="2516"/>
      <c r="E22" s="2516"/>
      <c r="F22" s="2516"/>
      <c r="G22" s="2516"/>
      <c r="H22" s="2516"/>
      <c r="I22" s="2516"/>
      <c r="J22" s="2516"/>
      <c r="K22" s="2517"/>
      <c r="L22" s="251"/>
      <c r="M22" s="841"/>
      <c r="O22" s="290"/>
      <c r="P22" s="2515" t="s">
        <v>378</v>
      </c>
      <c r="Q22" s="2516"/>
      <c r="R22" s="2516"/>
      <c r="S22" s="2516"/>
      <c r="T22" s="2516"/>
      <c r="U22" s="2516"/>
      <c r="V22" s="2516"/>
      <c r="W22" s="2516"/>
      <c r="X22" s="2517"/>
      <c r="Y22" s="843"/>
    </row>
    <row r="23" spans="2:26" ht="78" thickBot="1" x14ac:dyDescent="0.3">
      <c r="B23" s="290"/>
      <c r="C23" s="2511" t="s">
        <v>369</v>
      </c>
      <c r="D23" s="2512"/>
      <c r="E23" s="1113" t="s">
        <v>370</v>
      </c>
      <c r="F23" s="1114" t="s">
        <v>371</v>
      </c>
      <c r="G23" s="1115" t="s">
        <v>372</v>
      </c>
      <c r="H23" s="1114" t="s">
        <v>373</v>
      </c>
      <c r="I23" s="1114" t="s">
        <v>374</v>
      </c>
      <c r="J23" s="1115" t="s">
        <v>375</v>
      </c>
      <c r="K23" s="1116" t="s">
        <v>376</v>
      </c>
      <c r="L23" s="251"/>
      <c r="M23" s="841"/>
      <c r="O23" s="290"/>
      <c r="P23" s="2511" t="s">
        <v>369</v>
      </c>
      <c r="Q23" s="2512"/>
      <c r="R23" s="1113" t="s">
        <v>370</v>
      </c>
      <c r="S23" s="1114" t="s">
        <v>371</v>
      </c>
      <c r="T23" s="1115" t="s">
        <v>372</v>
      </c>
      <c r="U23" s="1114" t="s">
        <v>373</v>
      </c>
      <c r="V23" s="1114" t="s">
        <v>374</v>
      </c>
      <c r="W23" s="1115" t="s">
        <v>375</v>
      </c>
      <c r="X23" s="1116" t="s">
        <v>376</v>
      </c>
      <c r="Y23" s="843"/>
    </row>
    <row r="24" spans="2:26" x14ac:dyDescent="0.25">
      <c r="B24" s="299"/>
      <c r="C24" s="2513" t="s">
        <v>1539</v>
      </c>
      <c r="D24" s="2514"/>
      <c r="E24" s="657" t="s">
        <v>1419</v>
      </c>
      <c r="F24" s="653">
        <v>50688</v>
      </c>
      <c r="G24" s="654">
        <v>1</v>
      </c>
      <c r="H24" s="655">
        <f>F24*G24</f>
        <v>50688</v>
      </c>
      <c r="I24" s="654">
        <v>0</v>
      </c>
      <c r="J24" s="655">
        <f>H24*I24</f>
        <v>0</v>
      </c>
      <c r="K24" s="656">
        <f>H24+J24</f>
        <v>50688</v>
      </c>
      <c r="L24" s="301"/>
      <c r="M24" s="318"/>
      <c r="O24" s="299"/>
      <c r="P24" s="2513" t="s">
        <v>1539</v>
      </c>
      <c r="Q24" s="2514"/>
      <c r="R24" s="657" t="s">
        <v>1419</v>
      </c>
      <c r="S24" s="653">
        <v>39460</v>
      </c>
      <c r="T24" s="654">
        <v>1</v>
      </c>
      <c r="U24" s="655">
        <f>S24*T24</f>
        <v>39460</v>
      </c>
      <c r="V24" s="654">
        <v>0</v>
      </c>
      <c r="W24" s="655">
        <f>U24*V24</f>
        <v>0</v>
      </c>
      <c r="X24" s="656">
        <f>U24+W24</f>
        <v>39460</v>
      </c>
      <c r="Y24" s="301"/>
    </row>
    <row r="25" spans="2:26" x14ac:dyDescent="0.25">
      <c r="B25" s="290"/>
      <c r="C25" s="2507"/>
      <c r="D25" s="2508"/>
      <c r="E25" s="269"/>
      <c r="F25" s="270">
        <v>0</v>
      </c>
      <c r="G25" s="171">
        <v>0</v>
      </c>
      <c r="H25" s="278">
        <f>F25*G25</f>
        <v>0</v>
      </c>
      <c r="I25" s="171">
        <v>0</v>
      </c>
      <c r="J25" s="278">
        <f>H25*I25</f>
        <v>0</v>
      </c>
      <c r="K25" s="280">
        <f>H25+J25</f>
        <v>0</v>
      </c>
      <c r="L25" s="251"/>
      <c r="M25" s="841"/>
      <c r="O25" s="290"/>
      <c r="P25" s="2507"/>
      <c r="Q25" s="2508"/>
      <c r="R25" s="269"/>
      <c r="S25" s="270">
        <v>0</v>
      </c>
      <c r="T25" s="171">
        <v>0</v>
      </c>
      <c r="U25" s="278">
        <f>S25*T25</f>
        <v>0</v>
      </c>
      <c r="V25" s="171">
        <v>0</v>
      </c>
      <c r="W25" s="278">
        <f>U25*V25</f>
        <v>0</v>
      </c>
      <c r="X25" s="280">
        <f>U25+W25</f>
        <v>0</v>
      </c>
      <c r="Y25" s="843"/>
    </row>
    <row r="26" spans="2:26" x14ac:dyDescent="0.25">
      <c r="B26" s="290"/>
      <c r="C26" s="2507"/>
      <c r="D26" s="2508"/>
      <c r="E26" s="269"/>
      <c r="F26" s="270">
        <v>0</v>
      </c>
      <c r="G26" s="171">
        <v>0</v>
      </c>
      <c r="H26" s="278">
        <f>F26*G26</f>
        <v>0</v>
      </c>
      <c r="I26" s="171">
        <v>0</v>
      </c>
      <c r="J26" s="278">
        <f>H26*I26</f>
        <v>0</v>
      </c>
      <c r="K26" s="280">
        <f>H26+J26</f>
        <v>0</v>
      </c>
      <c r="L26" s="305"/>
      <c r="M26" s="317"/>
      <c r="O26" s="290"/>
      <c r="P26" s="2507"/>
      <c r="Q26" s="2508"/>
      <c r="R26" s="269"/>
      <c r="S26" s="270">
        <v>0</v>
      </c>
      <c r="T26" s="171">
        <v>0</v>
      </c>
      <c r="U26" s="278">
        <f>S26*T26</f>
        <v>0</v>
      </c>
      <c r="V26" s="171">
        <v>0</v>
      </c>
      <c r="W26" s="278">
        <f>U26*V26</f>
        <v>0</v>
      </c>
      <c r="X26" s="280">
        <f>U26+W26</f>
        <v>0</v>
      </c>
      <c r="Y26" s="305"/>
    </row>
    <row r="27" spans="2:26" x14ac:dyDescent="0.25">
      <c r="B27" s="290"/>
      <c r="C27" s="2507"/>
      <c r="D27" s="2508"/>
      <c r="E27" s="269"/>
      <c r="F27" s="270">
        <v>0</v>
      </c>
      <c r="G27" s="171">
        <v>0</v>
      </c>
      <c r="H27" s="278">
        <f>F27*G27</f>
        <v>0</v>
      </c>
      <c r="I27" s="171">
        <v>0</v>
      </c>
      <c r="J27" s="278">
        <f>H27*I27</f>
        <v>0</v>
      </c>
      <c r="K27" s="280">
        <f>H27+J27</f>
        <v>0</v>
      </c>
      <c r="L27" s="251"/>
      <c r="M27" s="841"/>
      <c r="O27" s="290"/>
      <c r="P27" s="2507"/>
      <c r="Q27" s="2508"/>
      <c r="R27" s="269"/>
      <c r="S27" s="270">
        <v>0</v>
      </c>
      <c r="T27" s="171">
        <v>0</v>
      </c>
      <c r="U27" s="278">
        <f>S27*T27</f>
        <v>0</v>
      </c>
      <c r="V27" s="171">
        <v>0</v>
      </c>
      <c r="W27" s="278">
        <f>U27*V27</f>
        <v>0</v>
      </c>
      <c r="X27" s="280">
        <f>U27+W27</f>
        <v>0</v>
      </c>
      <c r="Y27" s="843"/>
    </row>
    <row r="28" spans="2:26" ht="15.75" thickBot="1" x14ac:dyDescent="0.3">
      <c r="B28" s="290"/>
      <c r="C28" s="2518"/>
      <c r="D28" s="2519"/>
      <c r="E28" s="271"/>
      <c r="F28" s="273">
        <v>0</v>
      </c>
      <c r="G28" s="172">
        <v>0</v>
      </c>
      <c r="H28" s="279">
        <f>F28*G28</f>
        <v>0</v>
      </c>
      <c r="I28" s="172">
        <v>0</v>
      </c>
      <c r="J28" s="279">
        <f>H28*I28</f>
        <v>0</v>
      </c>
      <c r="K28" s="281">
        <f>H28+J28</f>
        <v>0</v>
      </c>
      <c r="L28" s="251"/>
      <c r="M28" s="841"/>
      <c r="O28" s="290"/>
      <c r="P28" s="2518"/>
      <c r="Q28" s="2519"/>
      <c r="R28" s="271"/>
      <c r="S28" s="273">
        <v>0</v>
      </c>
      <c r="T28" s="172">
        <v>0</v>
      </c>
      <c r="U28" s="279">
        <f>S28*T28</f>
        <v>0</v>
      </c>
      <c r="V28" s="172">
        <v>0</v>
      </c>
      <c r="W28" s="279">
        <f>U28*V28</f>
        <v>0</v>
      </c>
      <c r="X28" s="281">
        <f>U28+W28</f>
        <v>0</v>
      </c>
      <c r="Y28" s="843"/>
    </row>
    <row r="29" spans="2:26" ht="17.25" thickTop="1" thickBot="1" x14ac:dyDescent="0.3">
      <c r="B29" s="290"/>
      <c r="C29" s="274" t="s">
        <v>379</v>
      </c>
      <c r="D29" s="275"/>
      <c r="E29" s="275"/>
      <c r="F29" s="275"/>
      <c r="G29" s="275"/>
      <c r="H29" s="169"/>
      <c r="I29" s="169"/>
      <c r="J29" s="170"/>
      <c r="K29" s="173">
        <f>SUM(K24:K28)</f>
        <v>50688</v>
      </c>
      <c r="L29" s="251"/>
      <c r="M29" s="841"/>
      <c r="O29" s="290"/>
      <c r="P29" s="274" t="s">
        <v>379</v>
      </c>
      <c r="Q29" s="275"/>
      <c r="R29" s="275"/>
      <c r="S29" s="275"/>
      <c r="T29" s="275"/>
      <c r="U29" s="169"/>
      <c r="V29" s="169"/>
      <c r="W29" s="170"/>
      <c r="X29" s="173">
        <f>SUM(X24:X28)</f>
        <v>39460</v>
      </c>
      <c r="Y29" s="843"/>
    </row>
    <row r="30" spans="2:26" ht="7.5" customHeight="1" thickBot="1" x14ac:dyDescent="0.3">
      <c r="B30" s="290"/>
      <c r="C30" s="250"/>
      <c r="D30" s="250"/>
      <c r="E30" s="291"/>
      <c r="F30" s="291"/>
      <c r="G30" s="292"/>
      <c r="H30" s="293"/>
      <c r="I30" s="293"/>
      <c r="J30" s="294"/>
      <c r="K30" s="292"/>
      <c r="L30" s="251"/>
      <c r="M30" s="841"/>
      <c r="O30" s="290"/>
      <c r="P30" s="841"/>
      <c r="Q30" s="841"/>
      <c r="R30" s="847"/>
      <c r="S30" s="847"/>
      <c r="T30" s="292"/>
      <c r="U30" s="293"/>
      <c r="V30" s="293"/>
      <c r="W30" s="294"/>
      <c r="X30" s="292"/>
      <c r="Y30" s="843"/>
    </row>
    <row r="31" spans="2:26" ht="17.25" thickTop="1" thickBot="1" x14ac:dyDescent="0.3">
      <c r="B31" s="310"/>
      <c r="C31" s="274" t="s">
        <v>380</v>
      </c>
      <c r="D31" s="275"/>
      <c r="E31" s="275"/>
      <c r="F31" s="275"/>
      <c r="G31" s="275"/>
      <c r="H31" s="169"/>
      <c r="I31" s="169"/>
      <c r="J31" s="170"/>
      <c r="K31" s="173">
        <f>K20+K29</f>
        <v>214478</v>
      </c>
      <c r="L31" s="251"/>
      <c r="M31" s="841"/>
      <c r="O31" s="310"/>
      <c r="P31" s="274" t="s">
        <v>380</v>
      </c>
      <c r="Q31" s="275"/>
      <c r="R31" s="275"/>
      <c r="S31" s="275"/>
      <c r="T31" s="275"/>
      <c r="U31" s="169"/>
      <c r="V31" s="169"/>
      <c r="W31" s="170"/>
      <c r="X31" s="173">
        <f>X20+X29</f>
        <v>113910</v>
      </c>
      <c r="Y31" s="843"/>
    </row>
    <row r="32" spans="2:26" ht="7.5" customHeight="1" x14ac:dyDescent="0.25">
      <c r="B32" s="310"/>
      <c r="C32" s="319"/>
      <c r="D32" s="319"/>
      <c r="E32" s="319"/>
      <c r="F32" s="319"/>
      <c r="G32" s="319"/>
      <c r="H32" s="331"/>
      <c r="I32" s="331"/>
      <c r="J32" s="332"/>
      <c r="K32" s="332"/>
      <c r="L32" s="251"/>
      <c r="M32" s="841"/>
      <c r="O32" s="310"/>
      <c r="P32" s="319"/>
      <c r="Q32" s="319"/>
      <c r="R32" s="319"/>
      <c r="S32" s="319"/>
      <c r="T32" s="319"/>
      <c r="U32" s="331"/>
      <c r="V32" s="331"/>
      <c r="W32" s="332"/>
      <c r="X32" s="332"/>
      <c r="Y32" s="843"/>
    </row>
    <row r="33" spans="2:25" ht="16.5" thickBot="1" x14ac:dyDescent="0.3">
      <c r="B33" s="290"/>
      <c r="C33" s="1121" t="s">
        <v>654</v>
      </c>
      <c r="D33" s="1121"/>
      <c r="E33" s="1121"/>
      <c r="F33" s="1121"/>
      <c r="G33" s="1121"/>
      <c r="H33" s="1121"/>
      <c r="I33" s="1121"/>
      <c r="J33" s="1121"/>
      <c r="K33" s="1121"/>
      <c r="L33" s="251"/>
      <c r="M33" s="841"/>
      <c r="O33" s="290"/>
      <c r="P33" s="1121" t="s">
        <v>654</v>
      </c>
      <c r="Q33" s="1121"/>
      <c r="R33" s="1121"/>
      <c r="S33" s="1121"/>
      <c r="T33" s="1121"/>
      <c r="U33" s="1121"/>
      <c r="V33" s="1121"/>
      <c r="W33" s="1121"/>
      <c r="X33" s="1121"/>
      <c r="Y33" s="843"/>
    </row>
    <row r="34" spans="2:25" x14ac:dyDescent="0.25">
      <c r="B34" s="290"/>
      <c r="C34" s="2520" t="s">
        <v>1616</v>
      </c>
      <c r="D34" s="2521"/>
      <c r="E34" s="2521"/>
      <c r="F34" s="2521"/>
      <c r="G34" s="2521"/>
      <c r="H34" s="2521"/>
      <c r="I34" s="2521"/>
      <c r="J34" s="2521"/>
      <c r="K34" s="2522"/>
      <c r="L34" s="251"/>
      <c r="M34" s="841"/>
      <c r="O34" s="290"/>
      <c r="P34" s="2520" t="s">
        <v>1596</v>
      </c>
      <c r="Q34" s="2521"/>
      <c r="R34" s="2521"/>
      <c r="S34" s="2521"/>
      <c r="T34" s="2521"/>
      <c r="U34" s="2521"/>
      <c r="V34" s="2521"/>
      <c r="W34" s="2521"/>
      <c r="X34" s="2522"/>
      <c r="Y34" s="843"/>
    </row>
    <row r="35" spans="2:25" x14ac:dyDescent="0.25">
      <c r="B35" s="290"/>
      <c r="C35" s="2214"/>
      <c r="D35" s="2215"/>
      <c r="E35" s="2215"/>
      <c r="F35" s="2215"/>
      <c r="G35" s="2215"/>
      <c r="H35" s="2215"/>
      <c r="I35" s="2215"/>
      <c r="J35" s="2215"/>
      <c r="K35" s="2216"/>
      <c r="L35" s="251"/>
      <c r="M35" s="841"/>
      <c r="O35" s="290"/>
      <c r="P35" s="2214"/>
      <c r="Q35" s="2215"/>
      <c r="R35" s="2215"/>
      <c r="S35" s="2215"/>
      <c r="T35" s="2215"/>
      <c r="U35" s="2215"/>
      <c r="V35" s="2215"/>
      <c r="W35" s="2215"/>
      <c r="X35" s="2216"/>
      <c r="Y35" s="843"/>
    </row>
    <row r="36" spans="2:25" x14ac:dyDescent="0.25">
      <c r="B36" s="290"/>
      <c r="C36" s="2214"/>
      <c r="D36" s="2215"/>
      <c r="E36" s="2215"/>
      <c r="F36" s="2215"/>
      <c r="G36" s="2215"/>
      <c r="H36" s="2215"/>
      <c r="I36" s="2215"/>
      <c r="J36" s="2215"/>
      <c r="K36" s="2216"/>
      <c r="L36" s="251"/>
      <c r="M36" s="841"/>
      <c r="O36" s="290"/>
      <c r="P36" s="2214"/>
      <c r="Q36" s="2215"/>
      <c r="R36" s="2215"/>
      <c r="S36" s="2215"/>
      <c r="T36" s="2215"/>
      <c r="U36" s="2215"/>
      <c r="V36" s="2215"/>
      <c r="W36" s="2215"/>
      <c r="X36" s="2216"/>
      <c r="Y36" s="843"/>
    </row>
    <row r="37" spans="2:25" x14ac:dyDescent="0.25">
      <c r="B37" s="290"/>
      <c r="C37" s="2214"/>
      <c r="D37" s="2215"/>
      <c r="E37" s="2215"/>
      <c r="F37" s="2215"/>
      <c r="G37" s="2215"/>
      <c r="H37" s="2215"/>
      <c r="I37" s="2215"/>
      <c r="J37" s="2215"/>
      <c r="K37" s="2216"/>
      <c r="L37" s="251"/>
      <c r="M37" s="841"/>
      <c r="O37" s="290"/>
      <c r="P37" s="2214"/>
      <c r="Q37" s="2215"/>
      <c r="R37" s="2215"/>
      <c r="S37" s="2215"/>
      <c r="T37" s="2215"/>
      <c r="U37" s="2215"/>
      <c r="V37" s="2215"/>
      <c r="W37" s="2215"/>
      <c r="X37" s="2216"/>
      <c r="Y37" s="843"/>
    </row>
    <row r="38" spans="2:25" x14ac:dyDescent="0.25">
      <c r="B38" s="290"/>
      <c r="C38" s="2217"/>
      <c r="D38" s="2218"/>
      <c r="E38" s="2218"/>
      <c r="F38" s="2218"/>
      <c r="G38" s="2218"/>
      <c r="H38" s="2218"/>
      <c r="I38" s="2218"/>
      <c r="J38" s="2218"/>
      <c r="K38" s="2219"/>
      <c r="L38" s="251"/>
      <c r="M38" s="841"/>
      <c r="O38" s="290"/>
      <c r="P38" s="2217"/>
      <c r="Q38" s="2218"/>
      <c r="R38" s="2218"/>
      <c r="S38" s="2218"/>
      <c r="T38" s="2218"/>
      <c r="U38" s="2218"/>
      <c r="V38" s="2218"/>
      <c r="W38" s="2218"/>
      <c r="X38" s="2219"/>
      <c r="Y38" s="843"/>
    </row>
    <row r="39" spans="2:25" ht="9" customHeight="1" thickBot="1" x14ac:dyDescent="0.3">
      <c r="B39" s="1122"/>
      <c r="C39" s="1123"/>
      <c r="D39" s="1123"/>
      <c r="E39" s="1123"/>
      <c r="F39" s="1123"/>
      <c r="G39" s="1123"/>
      <c r="H39" s="1123"/>
      <c r="I39" s="1123"/>
      <c r="J39" s="1123"/>
      <c r="K39" s="1123"/>
      <c r="L39" s="257"/>
      <c r="M39" s="841"/>
      <c r="O39" s="1122"/>
      <c r="P39" s="1123"/>
      <c r="Q39" s="1123"/>
      <c r="R39" s="1123"/>
      <c r="S39" s="1123"/>
      <c r="T39" s="1123"/>
      <c r="U39" s="1123"/>
      <c r="V39" s="1123"/>
      <c r="W39" s="1123"/>
      <c r="X39" s="1123"/>
      <c r="Y39" s="257"/>
    </row>
  </sheetData>
  <sheetProtection algorithmName="SHA-512" hashValue="A5Xhh+UaOtjFORU9WuLJkCrIZ+odf6Nab5EIC1LxNpXabJDsR79frab1B0gmhuNcs5//n4vyeTk2d5SM9LPtRw==" saltValue="7HkPmYpN1JQEYRWNmFXd/w==" spinCount="100000" sheet="1" objects="1" scenarios="1" formatCells="0" formatColumns="0" formatRows="0" insertRows="0"/>
  <mergeCells count="30">
    <mergeCell ref="C9:K9"/>
    <mergeCell ref="C27:D27"/>
    <mergeCell ref="C28:D28"/>
    <mergeCell ref="C22:K22"/>
    <mergeCell ref="C34:K38"/>
    <mergeCell ref="C15:D15"/>
    <mergeCell ref="C16:D16"/>
    <mergeCell ref="C18:D18"/>
    <mergeCell ref="C19:D19"/>
    <mergeCell ref="C17:D17"/>
    <mergeCell ref="C14:D14"/>
    <mergeCell ref="C23:D23"/>
    <mergeCell ref="C26:D26"/>
    <mergeCell ref="C24:D24"/>
    <mergeCell ref="C25:D25"/>
    <mergeCell ref="P34:X38"/>
    <mergeCell ref="P28:Q28"/>
    <mergeCell ref="P27:Q27"/>
    <mergeCell ref="P26:Q26"/>
    <mergeCell ref="P25:Q25"/>
    <mergeCell ref="P24:Q24"/>
    <mergeCell ref="P23:Q23"/>
    <mergeCell ref="P22:X22"/>
    <mergeCell ref="P19:Q19"/>
    <mergeCell ref="P18:Q18"/>
    <mergeCell ref="P17:Q17"/>
    <mergeCell ref="P16:Q16"/>
    <mergeCell ref="P15:Q15"/>
    <mergeCell ref="P14:Q14"/>
    <mergeCell ref="P9:X9"/>
  </mergeCells>
  <pageMargins left="1" right="1" top="1" bottom="1" header="0.5" footer="0.5"/>
  <pageSetup scale="79" orientation="landscape" r:id="rId1"/>
  <headerFooter>
    <oddFooter>&amp;LForm 8C
Operating Personnel Expenses&amp;CCFA Forms&amp;REdition: 2015
Version: 1.0</oddFooter>
  </headerFooter>
  <colBreaks count="1" manualBreakCount="1">
    <brk id="12"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Q51"/>
  <sheetViews>
    <sheetView showGridLines="0" zoomScaleNormal="100" workbookViewId="0">
      <selection activeCell="A13" sqref="A13"/>
    </sheetView>
  </sheetViews>
  <sheetFormatPr defaultColWidth="9.140625" defaultRowHeight="15" x14ac:dyDescent="0.25"/>
  <cols>
    <col min="1" max="2" width="1.7109375" style="735" customWidth="1"/>
    <col min="3" max="3" width="14.28515625" style="735" customWidth="1"/>
    <col min="4" max="4" width="17.140625" style="735" customWidth="1"/>
    <col min="5" max="5" width="14.28515625" style="735" customWidth="1"/>
    <col min="6" max="9" width="9.140625" style="735"/>
    <col min="10" max="10" width="11" style="735" customWidth="1"/>
    <col min="11" max="11" width="11.28515625" style="735" customWidth="1"/>
    <col min="12" max="12" width="2.85546875" style="735" customWidth="1"/>
    <col min="13" max="16" width="11.42578125" style="735" customWidth="1"/>
    <col min="17" max="17" width="1.7109375" style="735" customWidth="1"/>
    <col min="18" max="16384" width="9.140625" style="735"/>
  </cols>
  <sheetData>
    <row r="11" spans="2:17" ht="9" customHeight="1" thickBot="1" x14ac:dyDescent="0.3"/>
    <row r="12" spans="2:17" ht="9" customHeight="1" x14ac:dyDescent="0.25">
      <c r="B12" s="282"/>
      <c r="C12" s="283"/>
      <c r="D12" s="283"/>
      <c r="E12" s="284"/>
      <c r="F12" s="284"/>
      <c r="G12" s="285"/>
      <c r="H12" s="286"/>
      <c r="I12" s="286"/>
      <c r="J12" s="287"/>
      <c r="K12" s="285"/>
      <c r="L12" s="285"/>
      <c r="M12" s="288"/>
      <c r="N12" s="284"/>
      <c r="O12" s="285"/>
      <c r="P12" s="285"/>
      <c r="Q12" s="289"/>
    </row>
    <row r="13" spans="2:17" ht="18.75" x14ac:dyDescent="0.3">
      <c r="B13" s="290"/>
      <c r="C13" s="2208" t="s">
        <v>381</v>
      </c>
      <c r="D13" s="2208"/>
      <c r="E13" s="2208"/>
      <c r="F13" s="2208"/>
      <c r="G13" s="2208"/>
      <c r="H13" s="2208"/>
      <c r="I13" s="2208"/>
      <c r="J13" s="2208"/>
      <c r="K13" s="2208"/>
      <c r="L13" s="2208"/>
      <c r="M13" s="2208"/>
      <c r="N13" s="2208"/>
      <c r="O13" s="2208"/>
      <c r="P13" s="2208"/>
      <c r="Q13" s="251"/>
    </row>
    <row r="14" spans="2:17" x14ac:dyDescent="0.25">
      <c r="B14" s="290"/>
      <c r="C14" s="250"/>
      <c r="D14" s="250"/>
      <c r="E14" s="291"/>
      <c r="F14" s="291"/>
      <c r="G14" s="292"/>
      <c r="H14" s="293"/>
      <c r="I14" s="293"/>
      <c r="J14" s="294"/>
      <c r="K14" s="292"/>
      <c r="L14" s="292"/>
      <c r="M14" s="295"/>
      <c r="N14" s="291"/>
      <c r="O14" s="292"/>
      <c r="P14" s="1038"/>
      <c r="Q14" s="251"/>
    </row>
    <row r="15" spans="2:17" x14ac:dyDescent="0.25">
      <c r="B15" s="290"/>
      <c r="C15" s="1104" t="s">
        <v>1</v>
      </c>
      <c r="D15" s="978" t="str">
        <f>IF('1A'!G7="","Enter Project Name on Form 1A",'1A'!G7)</f>
        <v>Building 9 South (4%)</v>
      </c>
      <c r="E15" s="1106"/>
      <c r="F15" s="978"/>
      <c r="G15" s="978"/>
      <c r="H15" s="978"/>
      <c r="I15" s="978"/>
      <c r="J15" s="978"/>
      <c r="K15" s="978"/>
      <c r="L15" s="250"/>
      <c r="M15" s="250"/>
      <c r="N15" s="250"/>
      <c r="O15" s="250"/>
      <c r="P15" s="1038"/>
      <c r="Q15" s="335"/>
    </row>
    <row r="16" spans="2:17" x14ac:dyDescent="0.25">
      <c r="B16" s="290"/>
      <c r="C16" s="297"/>
      <c r="D16" s="297"/>
      <c r="E16" s="297"/>
      <c r="F16" s="297"/>
      <c r="G16" s="297"/>
      <c r="H16" s="297"/>
      <c r="I16" s="297"/>
      <c r="J16" s="297"/>
      <c r="K16" s="297"/>
      <c r="L16" s="297"/>
      <c r="M16" s="1038"/>
      <c r="N16" s="1038"/>
      <c r="O16" s="1038"/>
      <c r="P16" s="1038"/>
      <c r="Q16" s="251"/>
    </row>
    <row r="17" spans="2:17" ht="15.75" thickBot="1" x14ac:dyDescent="0.3">
      <c r="B17" s="290"/>
      <c r="C17" s="714"/>
      <c r="D17" s="714"/>
      <c r="E17" s="714"/>
      <c r="F17" s="714"/>
      <c r="G17" s="714"/>
      <c r="H17" s="714"/>
      <c r="I17" s="714"/>
      <c r="J17" s="714"/>
      <c r="K17" s="714"/>
      <c r="L17" s="298"/>
      <c r="M17" s="714"/>
      <c r="N17" s="714"/>
      <c r="O17" s="714"/>
      <c r="P17" s="714"/>
      <c r="Q17" s="251"/>
    </row>
    <row r="18" spans="2:17" ht="16.5" thickBot="1" x14ac:dyDescent="0.3">
      <c r="B18" s="290"/>
      <c r="C18" s="2541" t="s">
        <v>382</v>
      </c>
      <c r="D18" s="2542"/>
      <c r="E18" s="2543"/>
      <c r="F18" s="2543"/>
      <c r="G18" s="2543"/>
      <c r="H18" s="2543"/>
      <c r="I18" s="2543"/>
      <c r="J18" s="2543"/>
      <c r="K18" s="2544"/>
      <c r="L18" s="298"/>
      <c r="M18" s="2526" t="s">
        <v>385</v>
      </c>
      <c r="N18" s="2527"/>
      <c r="O18" s="2527"/>
      <c r="P18" s="2528"/>
      <c r="Q18" s="251"/>
    </row>
    <row r="19" spans="2:17" ht="78" thickBot="1" x14ac:dyDescent="0.3">
      <c r="B19" s="299"/>
      <c r="C19" s="696" t="s">
        <v>383</v>
      </c>
      <c r="D19" s="697"/>
      <c r="E19" s="1113" t="s">
        <v>370</v>
      </c>
      <c r="F19" s="1114" t="s">
        <v>371</v>
      </c>
      <c r="G19" s="1115" t="s">
        <v>372</v>
      </c>
      <c r="H19" s="1114" t="s">
        <v>373</v>
      </c>
      <c r="I19" s="1114" t="s">
        <v>374</v>
      </c>
      <c r="J19" s="1115" t="s">
        <v>375</v>
      </c>
      <c r="K19" s="1116" t="s">
        <v>384</v>
      </c>
      <c r="L19" s="298"/>
      <c r="M19" s="1433" t="s">
        <v>386</v>
      </c>
      <c r="N19" s="1124" t="str">
        <f>IF('8B'!C33="","Enter Source Name on Form 8B",'8B'!C33)</f>
        <v>Enter Source Name on Form 8B</v>
      </c>
      <c r="O19" s="1124" t="str">
        <f>IF('8B'!C34="","Enter Source Name on Form 8B",'8B'!C34)</f>
        <v>Enter Source Name on Form 8B</v>
      </c>
      <c r="P19" s="1125" t="str">
        <f>IF('8B'!C35="","Enter Source Name on Form 8B",'8B'!C35)</f>
        <v>Enter Source Name on Form 8B</v>
      </c>
      <c r="Q19" s="251"/>
    </row>
    <row r="20" spans="2:17" x14ac:dyDescent="0.25">
      <c r="B20" s="299"/>
      <c r="C20" s="2545" t="s">
        <v>1532</v>
      </c>
      <c r="D20" s="2546"/>
      <c r="E20" s="652" t="s">
        <v>1531</v>
      </c>
      <c r="F20" s="653">
        <v>52659</v>
      </c>
      <c r="G20" s="654">
        <v>1</v>
      </c>
      <c r="H20" s="655">
        <f>F20*G20</f>
        <v>52659</v>
      </c>
      <c r="I20" s="654">
        <v>0.232381929014983</v>
      </c>
      <c r="J20" s="655">
        <f>H20*I20</f>
        <v>12236.999999999989</v>
      </c>
      <c r="K20" s="656">
        <f>H20+J20</f>
        <v>64895.999999999985</v>
      </c>
      <c r="L20" s="300"/>
      <c r="M20" s="659">
        <v>0</v>
      </c>
      <c r="N20" s="660">
        <v>0</v>
      </c>
      <c r="O20" s="660">
        <v>0</v>
      </c>
      <c r="P20" s="661">
        <v>0</v>
      </c>
      <c r="Q20" s="301"/>
    </row>
    <row r="21" spans="2:17" x14ac:dyDescent="0.25">
      <c r="B21" s="290"/>
      <c r="C21" s="2507"/>
      <c r="D21" s="2508"/>
      <c r="E21" s="269"/>
      <c r="F21" s="270">
        <v>0</v>
      </c>
      <c r="G21" s="171">
        <v>0</v>
      </c>
      <c r="H21" s="278">
        <f t="shared" ref="H21:H28" si="0">F21*G21</f>
        <v>0</v>
      </c>
      <c r="I21" s="171">
        <v>0</v>
      </c>
      <c r="J21" s="278">
        <f t="shared" ref="J21:J28" si="1">H21*I21</f>
        <v>0</v>
      </c>
      <c r="K21" s="280">
        <f t="shared" ref="K21:K28" si="2">H21+J21</f>
        <v>0</v>
      </c>
      <c r="L21" s="300"/>
      <c r="M21" s="302">
        <v>0</v>
      </c>
      <c r="N21" s="303">
        <v>0</v>
      </c>
      <c r="O21" s="303">
        <v>0</v>
      </c>
      <c r="P21" s="304">
        <v>0</v>
      </c>
      <c r="Q21" s="305"/>
    </row>
    <row r="22" spans="2:17" x14ac:dyDescent="0.25">
      <c r="B22" s="290"/>
      <c r="C22" s="2507"/>
      <c r="D22" s="2508"/>
      <c r="E22" s="269"/>
      <c r="F22" s="270">
        <v>0</v>
      </c>
      <c r="G22" s="171">
        <v>0</v>
      </c>
      <c r="H22" s="278">
        <f t="shared" si="0"/>
        <v>0</v>
      </c>
      <c r="I22" s="171">
        <v>0</v>
      </c>
      <c r="J22" s="278">
        <f t="shared" si="1"/>
        <v>0</v>
      </c>
      <c r="K22" s="280">
        <f t="shared" si="2"/>
        <v>0</v>
      </c>
      <c r="L22" s="300"/>
      <c r="M22" s="302">
        <v>0</v>
      </c>
      <c r="N22" s="303">
        <v>0</v>
      </c>
      <c r="O22" s="303">
        <v>0</v>
      </c>
      <c r="P22" s="304">
        <v>0</v>
      </c>
      <c r="Q22" s="251"/>
    </row>
    <row r="23" spans="2:17" x14ac:dyDescent="0.25">
      <c r="B23" s="290"/>
      <c r="C23" s="2507"/>
      <c r="D23" s="2508"/>
      <c r="E23" s="269"/>
      <c r="F23" s="270">
        <v>0</v>
      </c>
      <c r="G23" s="171">
        <v>0</v>
      </c>
      <c r="H23" s="278">
        <f t="shared" si="0"/>
        <v>0</v>
      </c>
      <c r="I23" s="171">
        <v>0</v>
      </c>
      <c r="J23" s="278">
        <f t="shared" si="1"/>
        <v>0</v>
      </c>
      <c r="K23" s="280">
        <f t="shared" si="2"/>
        <v>0</v>
      </c>
      <c r="L23" s="300"/>
      <c r="M23" s="302">
        <v>0</v>
      </c>
      <c r="N23" s="303">
        <v>0</v>
      </c>
      <c r="O23" s="303">
        <v>0</v>
      </c>
      <c r="P23" s="304">
        <v>0</v>
      </c>
      <c r="Q23" s="251"/>
    </row>
    <row r="24" spans="2:17" x14ac:dyDescent="0.25">
      <c r="B24" s="290"/>
      <c r="C24" s="2507"/>
      <c r="D24" s="2508"/>
      <c r="E24" s="269"/>
      <c r="F24" s="270">
        <v>0</v>
      </c>
      <c r="G24" s="171">
        <v>0</v>
      </c>
      <c r="H24" s="278">
        <f t="shared" si="0"/>
        <v>0</v>
      </c>
      <c r="I24" s="171">
        <v>0</v>
      </c>
      <c r="J24" s="278">
        <f t="shared" si="1"/>
        <v>0</v>
      </c>
      <c r="K24" s="280">
        <f t="shared" si="2"/>
        <v>0</v>
      </c>
      <c r="L24" s="300"/>
      <c r="M24" s="302">
        <v>0</v>
      </c>
      <c r="N24" s="303">
        <v>0</v>
      </c>
      <c r="O24" s="303">
        <v>0</v>
      </c>
      <c r="P24" s="304">
        <v>0</v>
      </c>
      <c r="Q24" s="251"/>
    </row>
    <row r="25" spans="2:17" x14ac:dyDescent="0.25">
      <c r="B25" s="290"/>
      <c r="C25" s="2507"/>
      <c r="D25" s="2508"/>
      <c r="E25" s="269"/>
      <c r="F25" s="306">
        <v>0</v>
      </c>
      <c r="G25" s="171">
        <v>0</v>
      </c>
      <c r="H25" s="278">
        <f t="shared" si="0"/>
        <v>0</v>
      </c>
      <c r="I25" s="171">
        <v>0</v>
      </c>
      <c r="J25" s="278">
        <f t="shared" si="1"/>
        <v>0</v>
      </c>
      <c r="K25" s="280">
        <f t="shared" si="2"/>
        <v>0</v>
      </c>
      <c r="L25" s="300"/>
      <c r="M25" s="302">
        <v>0</v>
      </c>
      <c r="N25" s="303">
        <v>0</v>
      </c>
      <c r="O25" s="303">
        <v>0</v>
      </c>
      <c r="P25" s="304">
        <v>0</v>
      </c>
      <c r="Q25" s="251"/>
    </row>
    <row r="26" spans="2:17" x14ac:dyDescent="0.25">
      <c r="B26" s="290"/>
      <c r="C26" s="2507"/>
      <c r="D26" s="2508"/>
      <c r="E26" s="269"/>
      <c r="F26" s="306">
        <v>0</v>
      </c>
      <c r="G26" s="171">
        <v>0</v>
      </c>
      <c r="H26" s="278">
        <f t="shared" si="0"/>
        <v>0</v>
      </c>
      <c r="I26" s="171">
        <v>0</v>
      </c>
      <c r="J26" s="278">
        <f t="shared" si="1"/>
        <v>0</v>
      </c>
      <c r="K26" s="280">
        <f t="shared" si="2"/>
        <v>0</v>
      </c>
      <c r="L26" s="300"/>
      <c r="M26" s="302">
        <v>0</v>
      </c>
      <c r="N26" s="303">
        <v>0</v>
      </c>
      <c r="O26" s="303">
        <v>0</v>
      </c>
      <c r="P26" s="304">
        <v>0</v>
      </c>
      <c r="Q26" s="251"/>
    </row>
    <row r="27" spans="2:17" x14ac:dyDescent="0.25">
      <c r="B27" s="290"/>
      <c r="C27" s="2507"/>
      <c r="D27" s="2508"/>
      <c r="E27" s="269"/>
      <c r="F27" s="306">
        <v>0</v>
      </c>
      <c r="G27" s="171">
        <v>0</v>
      </c>
      <c r="H27" s="278">
        <f t="shared" si="0"/>
        <v>0</v>
      </c>
      <c r="I27" s="171">
        <v>0</v>
      </c>
      <c r="J27" s="278">
        <f t="shared" si="1"/>
        <v>0</v>
      </c>
      <c r="K27" s="280">
        <f t="shared" si="2"/>
        <v>0</v>
      </c>
      <c r="L27" s="300"/>
      <c r="M27" s="302">
        <v>0</v>
      </c>
      <c r="N27" s="303">
        <v>0</v>
      </c>
      <c r="O27" s="303">
        <v>0</v>
      </c>
      <c r="P27" s="304">
        <v>0</v>
      </c>
      <c r="Q27" s="251"/>
    </row>
    <row r="28" spans="2:17" ht="15.75" thickBot="1" x14ac:dyDescent="0.3">
      <c r="B28" s="290"/>
      <c r="C28" s="2518"/>
      <c r="D28" s="2519"/>
      <c r="E28" s="271"/>
      <c r="F28" s="273">
        <v>0</v>
      </c>
      <c r="G28" s="172">
        <v>0</v>
      </c>
      <c r="H28" s="279">
        <f t="shared" si="0"/>
        <v>0</v>
      </c>
      <c r="I28" s="172">
        <v>0</v>
      </c>
      <c r="J28" s="279">
        <f t="shared" si="1"/>
        <v>0</v>
      </c>
      <c r="K28" s="614">
        <f t="shared" si="2"/>
        <v>0</v>
      </c>
      <c r="L28" s="300"/>
      <c r="M28" s="307">
        <v>0</v>
      </c>
      <c r="N28" s="308">
        <v>0</v>
      </c>
      <c r="O28" s="308">
        <v>0</v>
      </c>
      <c r="P28" s="309">
        <v>0</v>
      </c>
      <c r="Q28" s="251"/>
    </row>
    <row r="29" spans="2:17" ht="17.25" thickTop="1" thickBot="1" x14ac:dyDescent="0.3">
      <c r="B29" s="310"/>
      <c r="C29" s="2539" t="s">
        <v>387</v>
      </c>
      <c r="D29" s="2540"/>
      <c r="E29" s="2540"/>
      <c r="F29" s="2540"/>
      <c r="G29" s="2540"/>
      <c r="H29" s="311"/>
      <c r="I29" s="311"/>
      <c r="J29" s="312"/>
      <c r="K29" s="173">
        <f>SUM(K20:K28)</f>
        <v>64895.999999999985</v>
      </c>
      <c r="L29" s="313"/>
      <c r="M29" s="1137">
        <f>SUM(M20:M28)</f>
        <v>0</v>
      </c>
      <c r="N29" s="1138">
        <f>SUM(N20:N28)</f>
        <v>0</v>
      </c>
      <c r="O29" s="1138">
        <f>SUM(O20:O28)</f>
        <v>0</v>
      </c>
      <c r="P29" s="1139">
        <f>SUM(P20:P28)</f>
        <v>0</v>
      </c>
      <c r="Q29" s="251"/>
    </row>
    <row r="30" spans="2:17" ht="15" customHeight="1" thickBot="1" x14ac:dyDescent="0.3">
      <c r="B30" s="310"/>
      <c r="C30" s="314"/>
      <c r="D30" s="314"/>
      <c r="E30" s="314"/>
      <c r="F30" s="314"/>
      <c r="G30" s="314"/>
      <c r="H30" s="1738"/>
      <c r="I30" s="315"/>
      <c r="J30" s="316"/>
      <c r="K30" s="1737"/>
      <c r="L30" s="317"/>
      <c r="M30" s="316"/>
      <c r="N30" s="316"/>
      <c r="O30" s="316"/>
      <c r="P30" s="316"/>
      <c r="Q30" s="251"/>
    </row>
    <row r="31" spans="2:17" ht="37.5" thickBot="1" x14ac:dyDescent="0.3">
      <c r="B31" s="310"/>
      <c r="C31" s="274" t="s">
        <v>388</v>
      </c>
      <c r="D31" s="275"/>
      <c r="E31" s="275"/>
      <c r="F31" s="275"/>
      <c r="G31" s="275"/>
      <c r="H31" s="275"/>
      <c r="I31" s="275"/>
      <c r="J31" s="275"/>
      <c r="K31" s="1435"/>
      <c r="L31" s="317"/>
      <c r="M31" s="1434" t="s">
        <v>386</v>
      </c>
      <c r="N31" s="662" t="str">
        <f>N19</f>
        <v>Enter Source Name on Form 8B</v>
      </c>
      <c r="O31" s="662" t="str">
        <f>O19</f>
        <v>Enter Source Name on Form 8B</v>
      </c>
      <c r="P31" s="663" t="str">
        <f>P19</f>
        <v>Enter Source Name on Form 8B</v>
      </c>
      <c r="Q31" s="251"/>
    </row>
    <row r="32" spans="2:17" ht="15.75" x14ac:dyDescent="0.25">
      <c r="B32" s="310"/>
      <c r="C32" s="714"/>
      <c r="D32" s="336"/>
      <c r="E32" s="714"/>
      <c r="F32" s="336" t="s">
        <v>389</v>
      </c>
      <c r="G32" s="714"/>
      <c r="H32" s="714"/>
      <c r="I32" s="714"/>
      <c r="J32" s="714"/>
      <c r="K32" s="658">
        <v>0</v>
      </c>
      <c r="L32" s="320"/>
      <c r="M32" s="321">
        <v>0</v>
      </c>
      <c r="N32" s="322">
        <v>0</v>
      </c>
      <c r="O32" s="322">
        <v>0</v>
      </c>
      <c r="P32" s="323">
        <v>0</v>
      </c>
      <c r="Q32" s="251"/>
    </row>
    <row r="33" spans="2:17" ht="15.75" x14ac:dyDescent="0.25">
      <c r="B33" s="310"/>
      <c r="C33" s="714"/>
      <c r="D33" s="336"/>
      <c r="E33" s="714"/>
      <c r="F33" s="336" t="s">
        <v>390</v>
      </c>
      <c r="G33" s="714"/>
      <c r="H33" s="714"/>
      <c r="I33" s="714"/>
      <c r="J33" s="714"/>
      <c r="K33" s="615">
        <v>0</v>
      </c>
      <c r="L33" s="320"/>
      <c r="M33" s="324">
        <v>0</v>
      </c>
      <c r="N33" s="303">
        <v>0</v>
      </c>
      <c r="O33" s="303">
        <v>0</v>
      </c>
      <c r="P33" s="325">
        <v>0</v>
      </c>
      <c r="Q33" s="251"/>
    </row>
    <row r="34" spans="2:17" ht="15.75" x14ac:dyDescent="0.25">
      <c r="B34" s="310"/>
      <c r="C34" s="714"/>
      <c r="D34" s="336"/>
      <c r="E34" s="714"/>
      <c r="F34" s="336" t="s">
        <v>391</v>
      </c>
      <c r="G34" s="714"/>
      <c r="H34" s="714"/>
      <c r="I34" s="714"/>
      <c r="J34" s="714"/>
      <c r="K34" s="615">
        <v>0</v>
      </c>
      <c r="L34" s="320"/>
      <c r="M34" s="324">
        <v>0</v>
      </c>
      <c r="N34" s="303">
        <v>0</v>
      </c>
      <c r="O34" s="303">
        <v>0</v>
      </c>
      <c r="P34" s="325">
        <v>0</v>
      </c>
      <c r="Q34" s="251"/>
    </row>
    <row r="35" spans="2:17" ht="15.75" x14ac:dyDescent="0.25">
      <c r="B35" s="310"/>
      <c r="C35" s="714"/>
      <c r="D35" s="336"/>
      <c r="E35" s="714"/>
      <c r="F35" s="336" t="s">
        <v>392</v>
      </c>
      <c r="G35" s="714"/>
      <c r="H35" s="714"/>
      <c r="I35" s="714"/>
      <c r="J35" s="714"/>
      <c r="K35" s="615">
        <v>0</v>
      </c>
      <c r="L35" s="320"/>
      <c r="M35" s="324">
        <v>0</v>
      </c>
      <c r="N35" s="303">
        <v>0</v>
      </c>
      <c r="O35" s="303">
        <v>0</v>
      </c>
      <c r="P35" s="325">
        <v>0</v>
      </c>
      <c r="Q35" s="251"/>
    </row>
    <row r="36" spans="2:17" ht="15.75" x14ac:dyDescent="0.25">
      <c r="B36" s="310"/>
      <c r="C36" s="714"/>
      <c r="D36" s="336"/>
      <c r="E36" s="714"/>
      <c r="F36" s="336" t="s">
        <v>393</v>
      </c>
      <c r="G36" s="714"/>
      <c r="H36" s="714"/>
      <c r="I36" s="714"/>
      <c r="J36" s="714"/>
      <c r="K36" s="615">
        <v>0</v>
      </c>
      <c r="L36" s="320"/>
      <c r="M36" s="324">
        <v>0</v>
      </c>
      <c r="N36" s="303">
        <v>0</v>
      </c>
      <c r="O36" s="303">
        <v>0</v>
      </c>
      <c r="P36" s="325">
        <v>0</v>
      </c>
      <c r="Q36" s="251"/>
    </row>
    <row r="37" spans="2:17" ht="15.75" x14ac:dyDescent="0.25">
      <c r="B37" s="310"/>
      <c r="C37" s="714"/>
      <c r="D37" s="336"/>
      <c r="E37" s="714"/>
      <c r="F37" s="336" t="s">
        <v>394</v>
      </c>
      <c r="G37" s="714"/>
      <c r="H37" s="714"/>
      <c r="I37" s="714"/>
      <c r="J37" s="714"/>
      <c r="K37" s="615">
        <v>0</v>
      </c>
      <c r="L37" s="320"/>
      <c r="M37" s="324">
        <v>0</v>
      </c>
      <c r="N37" s="303">
        <v>0</v>
      </c>
      <c r="O37" s="303">
        <v>0</v>
      </c>
      <c r="P37" s="325">
        <v>0</v>
      </c>
      <c r="Q37" s="251"/>
    </row>
    <row r="38" spans="2:17" ht="15.75" x14ac:dyDescent="0.25">
      <c r="B38" s="310"/>
      <c r="C38" s="714"/>
      <c r="D38" s="336"/>
      <c r="E38" s="714"/>
      <c r="F38" s="336" t="s">
        <v>473</v>
      </c>
      <c r="G38" s="2523"/>
      <c r="H38" s="2524"/>
      <c r="I38" s="2524"/>
      <c r="J38" s="2525"/>
      <c r="K38" s="615">
        <v>0</v>
      </c>
      <c r="L38" s="320"/>
      <c r="M38" s="324">
        <v>0</v>
      </c>
      <c r="N38" s="303">
        <v>0</v>
      </c>
      <c r="O38" s="303">
        <v>0</v>
      </c>
      <c r="P38" s="325">
        <v>0</v>
      </c>
      <c r="Q38" s="251"/>
    </row>
    <row r="39" spans="2:17" ht="15.75" x14ac:dyDescent="0.25">
      <c r="B39" s="310"/>
      <c r="C39" s="714"/>
      <c r="D39" s="336"/>
      <c r="E39" s="714"/>
      <c r="F39" s="336" t="s">
        <v>473</v>
      </c>
      <c r="G39" s="2523"/>
      <c r="H39" s="2524"/>
      <c r="I39" s="2524"/>
      <c r="J39" s="2525"/>
      <c r="K39" s="615">
        <v>0</v>
      </c>
      <c r="L39" s="320"/>
      <c r="M39" s="324">
        <v>0</v>
      </c>
      <c r="N39" s="303">
        <v>0</v>
      </c>
      <c r="O39" s="303">
        <v>0</v>
      </c>
      <c r="P39" s="325">
        <v>0</v>
      </c>
      <c r="Q39" s="251"/>
    </row>
    <row r="40" spans="2:17" ht="15.75" x14ac:dyDescent="0.25">
      <c r="B40" s="310"/>
      <c r="C40" s="714"/>
      <c r="D40" s="336"/>
      <c r="E40" s="714"/>
      <c r="F40" s="336" t="s">
        <v>473</v>
      </c>
      <c r="G40" s="2523"/>
      <c r="H40" s="2524"/>
      <c r="I40" s="2524"/>
      <c r="J40" s="2525"/>
      <c r="K40" s="615">
        <v>0</v>
      </c>
      <c r="L40" s="320"/>
      <c r="M40" s="324">
        <v>0</v>
      </c>
      <c r="N40" s="303">
        <v>0</v>
      </c>
      <c r="O40" s="303">
        <v>0</v>
      </c>
      <c r="P40" s="325">
        <v>0</v>
      </c>
      <c r="Q40" s="251"/>
    </row>
    <row r="41" spans="2:17" ht="15.75" x14ac:dyDescent="0.25">
      <c r="B41" s="310"/>
      <c r="C41" s="714"/>
      <c r="D41" s="336"/>
      <c r="E41" s="714"/>
      <c r="F41" s="336" t="s">
        <v>395</v>
      </c>
      <c r="G41" s="714"/>
      <c r="H41" s="714"/>
      <c r="I41" s="714"/>
      <c r="J41" s="714"/>
      <c r="K41" s="616">
        <v>0</v>
      </c>
      <c r="L41" s="320"/>
      <c r="M41" s="326">
        <v>0</v>
      </c>
      <c r="N41" s="327">
        <v>0</v>
      </c>
      <c r="O41" s="327">
        <v>0</v>
      </c>
      <c r="P41" s="328">
        <v>0</v>
      </c>
      <c r="Q41" s="251"/>
    </row>
    <row r="42" spans="2:17" ht="16.5" thickBot="1" x14ac:dyDescent="0.3">
      <c r="B42" s="310"/>
      <c r="C42" s="318"/>
      <c r="D42" s="318"/>
      <c r="E42" s="319"/>
      <c r="F42" s="319"/>
      <c r="G42" s="319"/>
      <c r="H42" s="318"/>
      <c r="I42" s="318"/>
      <c r="J42" s="317"/>
      <c r="K42" s="329"/>
      <c r="L42" s="317"/>
      <c r="M42" s="330"/>
      <c r="N42" s="330"/>
      <c r="O42" s="330"/>
      <c r="P42" s="330"/>
      <c r="Q42" s="251"/>
    </row>
    <row r="43" spans="2:17" ht="17.25" thickTop="1" thickBot="1" x14ac:dyDescent="0.3">
      <c r="B43" s="310"/>
      <c r="C43" s="318"/>
      <c r="D43" s="318"/>
      <c r="E43" s="319"/>
      <c r="F43" s="319"/>
      <c r="G43" s="1126"/>
      <c r="H43" s="618"/>
      <c r="I43" s="274" t="s">
        <v>396</v>
      </c>
      <c r="J43" s="1436"/>
      <c r="K43" s="1133">
        <f>K29+(SUM(K32:K41))</f>
        <v>64895.999999999985</v>
      </c>
      <c r="L43" s="331"/>
      <c r="M43" s="1134">
        <f>M29+(SUM(M32:M42))</f>
        <v>0</v>
      </c>
      <c r="N43" s="1135">
        <f>N29+(SUM(N32:N42))</f>
        <v>0</v>
      </c>
      <c r="O43" s="1135">
        <f>O29+(SUM(O32:O42))</f>
        <v>0</v>
      </c>
      <c r="P43" s="1136">
        <f>P29+(SUM(P32:P42))</f>
        <v>0</v>
      </c>
      <c r="Q43" s="251"/>
    </row>
    <row r="44" spans="2:17" ht="16.5" thickBot="1" x14ac:dyDescent="0.3">
      <c r="B44" s="310"/>
      <c r="C44" s="318"/>
      <c r="D44" s="318"/>
      <c r="E44" s="319"/>
      <c r="F44" s="319"/>
      <c r="G44" s="617"/>
      <c r="H44" s="250"/>
      <c r="I44" s="250"/>
      <c r="J44" s="332"/>
      <c r="K44" s="332"/>
      <c r="L44" s="333"/>
      <c r="M44" s="332"/>
      <c r="N44" s="332"/>
      <c r="O44" s="332"/>
      <c r="P44" s="1127"/>
      <c r="Q44" s="251"/>
    </row>
    <row r="45" spans="2:17" ht="16.5" thickBot="1" x14ac:dyDescent="0.3">
      <c r="B45" s="290"/>
      <c r="C45" s="276" t="s">
        <v>654</v>
      </c>
      <c r="D45" s="277"/>
      <c r="E45" s="277"/>
      <c r="F45" s="277"/>
      <c r="G45" s="277"/>
      <c r="H45" s="277"/>
      <c r="I45" s="277"/>
      <c r="J45" s="277"/>
      <c r="K45" s="277"/>
      <c r="L45" s="277"/>
      <c r="M45" s="277"/>
      <c r="N45" s="277"/>
      <c r="O45" s="334"/>
      <c r="P45" s="1038"/>
      <c r="Q45" s="251"/>
    </row>
    <row r="46" spans="2:17" x14ac:dyDescent="0.25">
      <c r="B46" s="290"/>
      <c r="C46" s="2529"/>
      <c r="D46" s="2530"/>
      <c r="E46" s="2531"/>
      <c r="F46" s="2531"/>
      <c r="G46" s="2531"/>
      <c r="H46" s="2531"/>
      <c r="I46" s="2531"/>
      <c r="J46" s="2531"/>
      <c r="K46" s="2531"/>
      <c r="L46" s="2531"/>
      <c r="M46" s="2531"/>
      <c r="N46" s="2531"/>
      <c r="O46" s="2532"/>
      <c r="P46" s="1038"/>
      <c r="Q46" s="251"/>
    </row>
    <row r="47" spans="2:17" x14ac:dyDescent="0.25">
      <c r="B47" s="290"/>
      <c r="C47" s="2533"/>
      <c r="D47" s="2534"/>
      <c r="E47" s="2534"/>
      <c r="F47" s="2534"/>
      <c r="G47" s="2534"/>
      <c r="H47" s="2534"/>
      <c r="I47" s="2534"/>
      <c r="J47" s="2534"/>
      <c r="K47" s="2534"/>
      <c r="L47" s="2534"/>
      <c r="M47" s="2534"/>
      <c r="N47" s="2534"/>
      <c r="O47" s="2535"/>
      <c r="P47" s="1038"/>
      <c r="Q47" s="251"/>
    </row>
    <row r="48" spans="2:17" x14ac:dyDescent="0.25">
      <c r="B48" s="290"/>
      <c r="C48" s="2533"/>
      <c r="D48" s="2534"/>
      <c r="E48" s="2534"/>
      <c r="F48" s="2534"/>
      <c r="G48" s="2534"/>
      <c r="H48" s="2534"/>
      <c r="I48" s="2534"/>
      <c r="J48" s="2534"/>
      <c r="K48" s="2534"/>
      <c r="L48" s="2534"/>
      <c r="M48" s="2534"/>
      <c r="N48" s="2534"/>
      <c r="O48" s="2535"/>
      <c r="P48" s="1038"/>
      <c r="Q48" s="251"/>
    </row>
    <row r="49" spans="2:17" x14ac:dyDescent="0.25">
      <c r="B49" s="290"/>
      <c r="C49" s="2533"/>
      <c r="D49" s="2534"/>
      <c r="E49" s="2534"/>
      <c r="F49" s="2534"/>
      <c r="G49" s="2534"/>
      <c r="H49" s="2534"/>
      <c r="I49" s="2534"/>
      <c r="J49" s="2534"/>
      <c r="K49" s="2534"/>
      <c r="L49" s="2534"/>
      <c r="M49" s="2534"/>
      <c r="N49" s="2534"/>
      <c r="O49" s="2535"/>
      <c r="P49" s="1038"/>
      <c r="Q49" s="251"/>
    </row>
    <row r="50" spans="2:17" ht="15.75" thickBot="1" x14ac:dyDescent="0.3">
      <c r="B50" s="290"/>
      <c r="C50" s="2536"/>
      <c r="D50" s="2537"/>
      <c r="E50" s="2537"/>
      <c r="F50" s="2537"/>
      <c r="G50" s="2537"/>
      <c r="H50" s="2537"/>
      <c r="I50" s="2537"/>
      <c r="J50" s="2537"/>
      <c r="K50" s="2537"/>
      <c r="L50" s="2537"/>
      <c r="M50" s="2537"/>
      <c r="N50" s="2537"/>
      <c r="O50" s="2538"/>
      <c r="P50" s="1038"/>
      <c r="Q50" s="251"/>
    </row>
    <row r="51" spans="2:17" ht="9" customHeight="1" thickBot="1" x14ac:dyDescent="0.3">
      <c r="B51" s="1122"/>
      <c r="C51" s="256"/>
      <c r="D51" s="256"/>
      <c r="E51" s="1128"/>
      <c r="F51" s="1128"/>
      <c r="G51" s="1129"/>
      <c r="H51" s="1130"/>
      <c r="I51" s="1130"/>
      <c r="J51" s="1131"/>
      <c r="K51" s="1129"/>
      <c r="L51" s="1129"/>
      <c r="M51" s="1132"/>
      <c r="N51" s="1128"/>
      <c r="O51" s="1129"/>
      <c r="P51" s="256"/>
      <c r="Q51" s="257"/>
    </row>
  </sheetData>
  <sheetProtection algorithmName="SHA-512" hashValue="pz7Q3ed5r7vu2nzJwAL2RkjfqaiW50hrEy46xeEKy/xgr2qy2LkV238abm32f8VEe1005L6pMMA/eGH2zdXdJA==" saltValue="Ec+NODUUBCGTPUy1NyJ12g==" spinCount="100000" sheet="1" objects="1" scenarios="1" formatCells="0" formatColumns="0" formatRows="0" insertRows="0"/>
  <mergeCells count="17">
    <mergeCell ref="C46:O50"/>
    <mergeCell ref="C29:G29"/>
    <mergeCell ref="C18:K18"/>
    <mergeCell ref="C20:D20"/>
    <mergeCell ref="C21:D21"/>
    <mergeCell ref="C22:D22"/>
    <mergeCell ref="C23:D23"/>
    <mergeCell ref="C24:D24"/>
    <mergeCell ref="C25:D25"/>
    <mergeCell ref="C26:D26"/>
    <mergeCell ref="C27:D27"/>
    <mergeCell ref="C28:D28"/>
    <mergeCell ref="C13:P13"/>
    <mergeCell ref="G38:J38"/>
    <mergeCell ref="G39:J39"/>
    <mergeCell ref="G40:J40"/>
    <mergeCell ref="M18:P18"/>
  </mergeCells>
  <pageMargins left="0.7" right="0.7" top="0.75" bottom="0.75" header="0.3" footer="0.3"/>
  <pageSetup scale="74" orientation="landscape" r:id="rId1"/>
  <headerFooter>
    <oddFooter>&amp;LForm 8D
Service Expenses&amp;CCFA Forms&amp;REdition: 2015
Version: 1.0</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AG180"/>
  <sheetViews>
    <sheetView showGridLines="0" topLeftCell="A148" zoomScaleNormal="100" zoomScaleSheetLayoutView="70" workbookViewId="0">
      <selection activeCell="E43" sqref="E43:E44"/>
    </sheetView>
  </sheetViews>
  <sheetFormatPr defaultColWidth="9.140625" defaultRowHeight="15" x14ac:dyDescent="0.25"/>
  <cols>
    <col min="1" max="2" width="1.7109375" style="735" customWidth="1"/>
    <col min="3" max="3" width="15.28515625" style="735" customWidth="1"/>
    <col min="4" max="4" width="10.28515625" style="735" customWidth="1"/>
    <col min="5" max="5" width="8.42578125" style="735" customWidth="1"/>
    <col min="6" max="6" width="7.85546875" style="735" customWidth="1"/>
    <col min="7" max="7" width="6" style="735" customWidth="1"/>
    <col min="8" max="8" width="10.42578125" style="735" customWidth="1"/>
    <col min="9" max="15" width="9" style="735" customWidth="1"/>
    <col min="16" max="16" width="1.7109375" style="735" customWidth="1"/>
    <col min="17" max="18" width="2.140625" style="735" customWidth="1"/>
    <col min="19" max="19" width="16" style="735" customWidth="1"/>
    <col min="20" max="20" width="9.5703125" style="735" customWidth="1"/>
    <col min="21" max="21" width="13.7109375" style="735" customWidth="1"/>
    <col min="22" max="22" width="9" style="735" customWidth="1"/>
    <col min="23" max="23" width="2.42578125" style="735" customWidth="1"/>
    <col min="24" max="24" width="6.140625" style="735" customWidth="1"/>
    <col min="25" max="25" width="10.5703125" style="735" customWidth="1"/>
    <col min="26" max="32" width="9.85546875" style="735" customWidth="1"/>
    <col min="33" max="33" width="1.7109375" style="735" customWidth="1"/>
    <col min="34" max="16384" width="9.140625" style="735"/>
  </cols>
  <sheetData>
    <row r="17" spans="2:33" ht="15.75" thickBot="1" x14ac:dyDescent="0.3"/>
    <row r="18" spans="2:33" ht="9" customHeight="1" x14ac:dyDescent="0.25">
      <c r="B18" s="407"/>
      <c r="C18" s="408"/>
      <c r="D18" s="408"/>
      <c r="E18" s="408"/>
      <c r="F18" s="408"/>
      <c r="G18" s="408"/>
      <c r="H18" s="408"/>
      <c r="I18" s="408"/>
      <c r="J18" s="408"/>
      <c r="K18" s="408"/>
      <c r="L18" s="408"/>
      <c r="M18" s="408"/>
      <c r="N18" s="408"/>
      <c r="O18" s="408"/>
      <c r="P18" s="409"/>
      <c r="Q18" s="407"/>
      <c r="R18" s="2197"/>
      <c r="S18" s="2013"/>
      <c r="T18" s="2013"/>
      <c r="U18" s="2013"/>
      <c r="V18" s="2013"/>
      <c r="W18" s="2013"/>
      <c r="X18" s="2013"/>
      <c r="Y18" s="2013"/>
      <c r="Z18" s="2013"/>
      <c r="AA18" s="2013"/>
      <c r="AB18" s="2013"/>
      <c r="AC18" s="2013"/>
      <c r="AD18" s="2013"/>
      <c r="AE18" s="2013"/>
      <c r="AF18" s="2013"/>
      <c r="AG18" s="2198"/>
    </row>
    <row r="19" spans="2:33" ht="18.75" x14ac:dyDescent="0.3">
      <c r="B19" s="410"/>
      <c r="C19" s="1428" t="s">
        <v>397</v>
      </c>
      <c r="D19" s="1437"/>
      <c r="E19" s="1437"/>
      <c r="F19" s="1437"/>
      <c r="G19" s="1437"/>
      <c r="H19" s="1437"/>
      <c r="I19" s="1437"/>
      <c r="J19" s="1437"/>
      <c r="K19" s="1437"/>
      <c r="L19" s="1437"/>
      <c r="M19" s="1437"/>
      <c r="N19" s="1437"/>
      <c r="O19" s="1437"/>
      <c r="P19" s="412"/>
      <c r="Q19" s="410"/>
      <c r="R19" s="410"/>
      <c r="S19" s="2156" t="s">
        <v>397</v>
      </c>
      <c r="T19" s="1437"/>
      <c r="U19" s="1437"/>
      <c r="V19" s="1437"/>
      <c r="W19" s="1437"/>
      <c r="X19" s="1437"/>
      <c r="Y19" s="1437"/>
      <c r="Z19" s="1437"/>
      <c r="AA19" s="1437"/>
      <c r="AB19" s="1437"/>
      <c r="AC19" s="1437"/>
      <c r="AD19" s="1437"/>
      <c r="AE19" s="1437"/>
      <c r="AF19" s="1437"/>
      <c r="AG19" s="412"/>
    </row>
    <row r="20" spans="2:33" x14ac:dyDescent="0.25">
      <c r="B20" s="410"/>
      <c r="C20" s="411"/>
      <c r="D20" s="411"/>
      <c r="E20" s="411"/>
      <c r="F20" s="411"/>
      <c r="G20" s="411"/>
      <c r="H20" s="411"/>
      <c r="I20" s="411"/>
      <c r="J20" s="411"/>
      <c r="K20" s="411"/>
      <c r="L20" s="411"/>
      <c r="M20" s="411"/>
      <c r="N20" s="411"/>
      <c r="O20" s="411"/>
      <c r="P20" s="412"/>
      <c r="Q20" s="410"/>
      <c r="R20" s="410"/>
      <c r="S20" s="411"/>
      <c r="T20" s="411"/>
      <c r="U20" s="411"/>
      <c r="V20" s="411"/>
      <c r="W20" s="411"/>
      <c r="X20" s="411"/>
      <c r="Y20" s="411"/>
      <c r="Z20" s="411"/>
      <c r="AA20" s="411"/>
      <c r="AB20" s="411"/>
      <c r="AC20" s="411"/>
      <c r="AD20" s="411"/>
      <c r="AE20" s="411"/>
      <c r="AF20" s="411"/>
      <c r="AG20" s="412"/>
    </row>
    <row r="21" spans="2:33" x14ac:dyDescent="0.25">
      <c r="B21" s="410"/>
      <c r="C21" s="979" t="s">
        <v>63</v>
      </c>
      <c r="D21" s="978" t="str">
        <f>IF('1A'!G5="","Enter Project Name on Form 1A",'1A'!G7)</f>
        <v>Building 9 South (4%)</v>
      </c>
      <c r="E21" s="978"/>
      <c r="F21" s="978"/>
      <c r="G21" s="978"/>
      <c r="H21" s="978"/>
      <c r="I21" s="978"/>
      <c r="J21" s="1038"/>
      <c r="K21" s="1038"/>
      <c r="L21" s="673" t="s">
        <v>1074</v>
      </c>
      <c r="M21" s="1140" t="s">
        <v>1223</v>
      </c>
      <c r="N21" s="979"/>
      <c r="O21" s="979"/>
      <c r="P21" s="412"/>
      <c r="Q21" s="410"/>
      <c r="R21" s="410"/>
      <c r="S21" s="979" t="s">
        <v>63</v>
      </c>
      <c r="T21" s="2157" t="str">
        <f>IF('1A'!G9="","Enter Project Name on Form 1A",'1A'!G9)</f>
        <v>Building 9 North (9%)</v>
      </c>
      <c r="U21" s="2157"/>
      <c r="V21" s="2157"/>
      <c r="W21" s="2157"/>
      <c r="X21" s="2157"/>
      <c r="Y21" s="2157"/>
      <c r="Z21" s="2157"/>
      <c r="AA21" s="841"/>
      <c r="AB21" s="841"/>
      <c r="AC21" s="1998" t="s">
        <v>1074</v>
      </c>
      <c r="AD21" s="1519" t="s">
        <v>1223</v>
      </c>
      <c r="AE21" s="979"/>
      <c r="AF21" s="979"/>
      <c r="AG21" s="412"/>
    </row>
    <row r="22" spans="2:33" ht="3.75" customHeight="1" x14ac:dyDescent="0.25">
      <c r="B22" s="410"/>
      <c r="C22" s="979"/>
      <c r="D22" s="979"/>
      <c r="E22" s="979"/>
      <c r="F22" s="979"/>
      <c r="G22" s="979"/>
      <c r="H22" s="979"/>
      <c r="I22" s="1038"/>
      <c r="J22" s="1038"/>
      <c r="K22" s="1038"/>
      <c r="L22" s="1038"/>
      <c r="M22" s="979"/>
      <c r="N22" s="979"/>
      <c r="O22" s="979"/>
      <c r="P22" s="412"/>
      <c r="Q22" s="410"/>
      <c r="R22" s="410"/>
      <c r="S22" s="979"/>
      <c r="T22" s="979"/>
      <c r="U22" s="979"/>
      <c r="V22" s="979"/>
      <c r="W22" s="979"/>
      <c r="X22" s="979"/>
      <c r="Y22" s="979"/>
      <c r="Z22" s="841"/>
      <c r="AA22" s="841"/>
      <c r="AB22" s="841"/>
      <c r="AC22" s="841"/>
      <c r="AD22" s="979"/>
      <c r="AE22" s="979"/>
      <c r="AF22" s="979"/>
      <c r="AG22" s="412"/>
    </row>
    <row r="23" spans="2:33" x14ac:dyDescent="0.25">
      <c r="B23" s="413"/>
      <c r="C23" s="979" t="s">
        <v>398</v>
      </c>
      <c r="D23" s="1185">
        <f ca="1">TODAY()</f>
        <v>42285</v>
      </c>
      <c r="E23" s="414"/>
      <c r="F23" s="714"/>
      <c r="G23" s="414"/>
      <c r="H23" s="414"/>
      <c r="I23" s="415"/>
      <c r="J23" s="415"/>
      <c r="K23" s="415"/>
      <c r="L23" s="415"/>
      <c r="M23" s="415"/>
      <c r="N23" s="416"/>
      <c r="O23" s="415"/>
      <c r="P23" s="417"/>
      <c r="Q23" s="413"/>
      <c r="R23" s="413"/>
      <c r="S23" s="979" t="s">
        <v>398</v>
      </c>
      <c r="T23" s="1999">
        <f ca="1">TODAY()</f>
        <v>42285</v>
      </c>
      <c r="U23" s="411"/>
      <c r="V23" s="2159"/>
      <c r="W23" s="411"/>
      <c r="X23" s="411"/>
      <c r="Y23" s="411"/>
      <c r="Z23" s="415"/>
      <c r="AA23" s="415"/>
      <c r="AB23" s="415"/>
      <c r="AC23" s="415"/>
      <c r="AD23" s="415"/>
      <c r="AE23" s="416"/>
      <c r="AF23" s="415"/>
      <c r="AG23" s="417"/>
    </row>
    <row r="24" spans="2:33" ht="7.5" customHeight="1" x14ac:dyDescent="0.25">
      <c r="B24" s="413"/>
      <c r="C24" s="418"/>
      <c r="D24" s="415"/>
      <c r="E24" s="414"/>
      <c r="F24" s="414"/>
      <c r="G24" s="414"/>
      <c r="H24" s="414"/>
      <c r="I24" s="415"/>
      <c r="J24" s="415"/>
      <c r="K24" s="415"/>
      <c r="L24" s="415"/>
      <c r="M24" s="415"/>
      <c r="N24" s="416"/>
      <c r="O24" s="415"/>
      <c r="P24" s="417"/>
      <c r="Q24" s="413"/>
      <c r="R24" s="413"/>
      <c r="S24" s="418"/>
      <c r="T24" s="415"/>
      <c r="U24" s="411"/>
      <c r="V24" s="411"/>
      <c r="W24" s="411"/>
      <c r="X24" s="411"/>
      <c r="Y24" s="411"/>
      <c r="Z24" s="415"/>
      <c r="AA24" s="415"/>
      <c r="AB24" s="415"/>
      <c r="AC24" s="415"/>
      <c r="AD24" s="415"/>
      <c r="AE24" s="416"/>
      <c r="AF24" s="415"/>
      <c r="AG24" s="417"/>
    </row>
    <row r="25" spans="2:33" ht="15.75" thickBot="1" x14ac:dyDescent="0.3">
      <c r="B25" s="419"/>
      <c r="C25" s="488" t="s">
        <v>399</v>
      </c>
      <c r="D25" s="339"/>
      <c r="E25" s="340"/>
      <c r="F25" s="340"/>
      <c r="G25" s="340"/>
      <c r="H25" s="340"/>
      <c r="I25" s="339"/>
      <c r="J25" s="339"/>
      <c r="K25" s="339"/>
      <c r="L25" s="339"/>
      <c r="M25" s="339"/>
      <c r="N25" s="341"/>
      <c r="O25" s="339"/>
      <c r="P25" s="421"/>
      <c r="Q25" s="419"/>
      <c r="R25" s="413"/>
      <c r="S25" s="488" t="s">
        <v>399</v>
      </c>
      <c r="T25" s="339"/>
      <c r="U25" s="337"/>
      <c r="V25" s="337"/>
      <c r="W25" s="337"/>
      <c r="X25" s="337"/>
      <c r="Y25" s="337"/>
      <c r="Z25" s="339"/>
      <c r="AA25" s="339"/>
      <c r="AB25" s="339"/>
      <c r="AC25" s="339"/>
      <c r="AD25" s="339"/>
      <c r="AE25" s="341"/>
      <c r="AF25" s="339"/>
      <c r="AG25" s="417"/>
    </row>
    <row r="26" spans="2:33" ht="15.75" thickBot="1" x14ac:dyDescent="0.3">
      <c r="B26" s="290"/>
      <c r="C26" s="1038"/>
      <c r="D26" s="411"/>
      <c r="E26" s="1038"/>
      <c r="F26" s="1038"/>
      <c r="G26" s="1038"/>
      <c r="H26" s="1038"/>
      <c r="I26" s="342" t="s">
        <v>400</v>
      </c>
      <c r="J26" s="343" t="s">
        <v>401</v>
      </c>
      <c r="K26" s="343" t="s">
        <v>402</v>
      </c>
      <c r="L26" s="343" t="s">
        <v>403</v>
      </c>
      <c r="M26" s="343" t="s">
        <v>404</v>
      </c>
      <c r="N26" s="343" t="s">
        <v>405</v>
      </c>
      <c r="O26" s="344" t="s">
        <v>406</v>
      </c>
      <c r="P26" s="251"/>
      <c r="Q26" s="290"/>
      <c r="R26" s="2022"/>
      <c r="S26" s="841"/>
      <c r="T26" s="411"/>
      <c r="U26" s="841"/>
      <c r="V26" s="841"/>
      <c r="W26" s="841"/>
      <c r="X26" s="841"/>
      <c r="Y26" s="841"/>
      <c r="Z26" s="342" t="s">
        <v>400</v>
      </c>
      <c r="AA26" s="2000" t="s">
        <v>401</v>
      </c>
      <c r="AB26" s="2000" t="s">
        <v>402</v>
      </c>
      <c r="AC26" s="2000" t="s">
        <v>403</v>
      </c>
      <c r="AD26" s="2000" t="s">
        <v>404</v>
      </c>
      <c r="AE26" s="2000" t="s">
        <v>405</v>
      </c>
      <c r="AF26" s="2001" t="s">
        <v>406</v>
      </c>
      <c r="AG26" s="2199"/>
    </row>
    <row r="27" spans="2:33" ht="15.75" thickBot="1" x14ac:dyDescent="0.3">
      <c r="B27" s="290"/>
      <c r="C27" s="420" t="s">
        <v>407</v>
      </c>
      <c r="D27" s="250"/>
      <c r="E27" s="1038"/>
      <c r="F27" s="1038"/>
      <c r="G27" s="345" t="s">
        <v>408</v>
      </c>
      <c r="H27" s="1038"/>
      <c r="I27" s="346"/>
      <c r="J27" s="347"/>
      <c r="K27" s="347"/>
      <c r="L27" s="347"/>
      <c r="M27" s="347"/>
      <c r="N27" s="347"/>
      <c r="O27" s="348"/>
      <c r="P27" s="251"/>
      <c r="Q27" s="290"/>
      <c r="R27" s="2022"/>
      <c r="S27" s="420" t="s">
        <v>407</v>
      </c>
      <c r="T27" s="841"/>
      <c r="U27" s="841"/>
      <c r="V27" s="841"/>
      <c r="W27" s="841"/>
      <c r="X27" s="2002" t="s">
        <v>408</v>
      </c>
      <c r="Y27" s="841"/>
      <c r="Z27" s="2003"/>
      <c r="AA27" s="347"/>
      <c r="AB27" s="347"/>
      <c r="AC27" s="347"/>
      <c r="AD27" s="347"/>
      <c r="AE27" s="347"/>
      <c r="AF27" s="2004"/>
      <c r="AG27" s="2199"/>
    </row>
    <row r="28" spans="2:33" x14ac:dyDescent="0.25">
      <c r="B28" s="290"/>
      <c r="C28" s="422" t="s">
        <v>409</v>
      </c>
      <c r="D28" s="1141"/>
      <c r="E28" s="1141"/>
      <c r="F28" s="1141"/>
      <c r="G28" s="1438">
        <v>2.5000000000000001E-2</v>
      </c>
      <c r="H28" s="1143"/>
      <c r="I28" s="489">
        <f>'8A'!L23</f>
        <v>1047396</v>
      </c>
      <c r="J28" s="423">
        <f t="shared" ref="J28:O29" si="0">I28+(I28*$G28)</f>
        <v>1073580.8999999999</v>
      </c>
      <c r="K28" s="423">
        <f t="shared" si="0"/>
        <v>1100420.4224999999</v>
      </c>
      <c r="L28" s="423">
        <f t="shared" si="0"/>
        <v>1127930.9330624999</v>
      </c>
      <c r="M28" s="423">
        <f t="shared" si="0"/>
        <v>1156129.2063890623</v>
      </c>
      <c r="N28" s="423">
        <f t="shared" si="0"/>
        <v>1185032.4365487888</v>
      </c>
      <c r="O28" s="424">
        <f t="shared" si="0"/>
        <v>1214658.2474625085</v>
      </c>
      <c r="P28" s="251"/>
      <c r="Q28" s="290"/>
      <c r="R28" s="2022"/>
      <c r="S28" s="422" t="s">
        <v>409</v>
      </c>
      <c r="T28" s="1141"/>
      <c r="U28" s="1141"/>
      <c r="V28" s="1141"/>
      <c r="W28" s="1142"/>
      <c r="X28" s="2005">
        <v>2.5000000000000001E-2</v>
      </c>
      <c r="Y28" s="1143"/>
      <c r="Z28" s="489">
        <f>'8A'!AC23</f>
        <v>359364</v>
      </c>
      <c r="AA28" s="423">
        <f t="shared" ref="AA28:AF29" si="1">Z28+(Z28*$G28)</f>
        <v>368348.1</v>
      </c>
      <c r="AB28" s="423">
        <f t="shared" si="1"/>
        <v>377556.80249999999</v>
      </c>
      <c r="AC28" s="423">
        <f t="shared" si="1"/>
        <v>386995.72256249998</v>
      </c>
      <c r="AD28" s="423">
        <f t="shared" si="1"/>
        <v>396670.6156265625</v>
      </c>
      <c r="AE28" s="423">
        <f t="shared" si="1"/>
        <v>406587.38101722655</v>
      </c>
      <c r="AF28" s="424">
        <f t="shared" si="1"/>
        <v>416752.06554265722</v>
      </c>
      <c r="AG28" s="2199"/>
    </row>
    <row r="29" spans="2:33" ht="15.75" thickBot="1" x14ac:dyDescent="0.3">
      <c r="B29" s="290"/>
      <c r="C29" s="425" t="s">
        <v>355</v>
      </c>
      <c r="D29" s="426"/>
      <c r="E29" s="1144"/>
      <c r="F29" s="1144"/>
      <c r="G29" s="1439">
        <v>2.5000000000000001E-2</v>
      </c>
      <c r="H29" s="1146"/>
      <c r="I29" s="490">
        <f>'8A'!M23</f>
        <v>0</v>
      </c>
      <c r="J29" s="423">
        <f t="shared" si="0"/>
        <v>0</v>
      </c>
      <c r="K29" s="423">
        <f t="shared" si="0"/>
        <v>0</v>
      </c>
      <c r="L29" s="423">
        <f t="shared" si="0"/>
        <v>0</v>
      </c>
      <c r="M29" s="423">
        <f t="shared" si="0"/>
        <v>0</v>
      </c>
      <c r="N29" s="423">
        <f t="shared" si="0"/>
        <v>0</v>
      </c>
      <c r="O29" s="424">
        <f t="shared" si="0"/>
        <v>0</v>
      </c>
      <c r="P29" s="251"/>
      <c r="Q29" s="290"/>
      <c r="R29" s="2022"/>
      <c r="S29" s="425" t="s">
        <v>355</v>
      </c>
      <c r="T29" s="426"/>
      <c r="U29" s="1144"/>
      <c r="V29" s="1144"/>
      <c r="W29" s="1145"/>
      <c r="X29" s="1439">
        <v>2.5000000000000001E-2</v>
      </c>
      <c r="Y29" s="1146"/>
      <c r="Z29" s="490">
        <f>'8A'!AD23</f>
        <v>0</v>
      </c>
      <c r="AA29" s="423">
        <f t="shared" si="1"/>
        <v>0</v>
      </c>
      <c r="AB29" s="423">
        <f t="shared" si="1"/>
        <v>0</v>
      </c>
      <c r="AC29" s="423">
        <f t="shared" si="1"/>
        <v>0</v>
      </c>
      <c r="AD29" s="423">
        <f t="shared" si="1"/>
        <v>0</v>
      </c>
      <c r="AE29" s="423">
        <f t="shared" si="1"/>
        <v>0</v>
      </c>
      <c r="AF29" s="424">
        <f t="shared" si="1"/>
        <v>0</v>
      </c>
      <c r="AG29" s="2199"/>
    </row>
    <row r="30" spans="2:33" ht="15.75" thickBot="1" x14ac:dyDescent="0.3">
      <c r="B30" s="290"/>
      <c r="C30" s="425" t="s">
        <v>365</v>
      </c>
      <c r="D30" s="427"/>
      <c r="E30" s="1147"/>
      <c r="F30" s="1147"/>
      <c r="G30" s="1148"/>
      <c r="H30" s="1145"/>
      <c r="I30" s="491">
        <f>'8B'!H28</f>
        <v>0</v>
      </c>
      <c r="J30" s="423">
        <v>0</v>
      </c>
      <c r="K30" s="423">
        <v>0</v>
      </c>
      <c r="L30" s="423">
        <v>0</v>
      </c>
      <c r="M30" s="423">
        <v>0</v>
      </c>
      <c r="N30" s="423">
        <v>0</v>
      </c>
      <c r="O30" s="424">
        <v>0</v>
      </c>
      <c r="P30" s="251"/>
      <c r="Q30" s="290"/>
      <c r="R30" s="2022"/>
      <c r="S30" s="425" t="s">
        <v>365</v>
      </c>
      <c r="T30" s="427"/>
      <c r="U30" s="1147"/>
      <c r="V30" s="1147"/>
      <c r="W30" s="841"/>
      <c r="X30" s="2006"/>
      <c r="Y30" s="1145"/>
      <c r="Z30" s="491">
        <f>'8B'!X28</f>
        <v>0</v>
      </c>
      <c r="AA30" s="423">
        <v>0</v>
      </c>
      <c r="AB30" s="423">
        <v>0</v>
      </c>
      <c r="AC30" s="423">
        <v>0</v>
      </c>
      <c r="AD30" s="423">
        <v>0</v>
      </c>
      <c r="AE30" s="423">
        <v>0</v>
      </c>
      <c r="AF30" s="424">
        <v>0</v>
      </c>
      <c r="AG30" s="2199"/>
    </row>
    <row r="31" spans="2:33" x14ac:dyDescent="0.25">
      <c r="B31" s="290"/>
      <c r="C31" s="425" t="s">
        <v>410</v>
      </c>
      <c r="D31" s="2587" t="s">
        <v>1418</v>
      </c>
      <c r="E31" s="2588"/>
      <c r="F31" s="2589"/>
      <c r="G31" s="1438">
        <v>0.02</v>
      </c>
      <c r="H31" s="1146"/>
      <c r="I31" s="1441">
        <v>21120</v>
      </c>
      <c r="J31" s="423">
        <f t="shared" ref="J31:O31" si="2">I31+(I31*$G31)</f>
        <v>21542.400000000001</v>
      </c>
      <c r="K31" s="423">
        <f t="shared" si="2"/>
        <v>21973.248000000003</v>
      </c>
      <c r="L31" s="423">
        <f t="shared" si="2"/>
        <v>22412.712960000004</v>
      </c>
      <c r="M31" s="423">
        <f t="shared" si="2"/>
        <v>22860.967219200003</v>
      </c>
      <c r="N31" s="423">
        <f t="shared" si="2"/>
        <v>23318.186563584004</v>
      </c>
      <c r="O31" s="424">
        <f t="shared" si="2"/>
        <v>23784.550294855682</v>
      </c>
      <c r="P31" s="251"/>
      <c r="Q31" s="290"/>
      <c r="R31" s="2022"/>
      <c r="S31" s="425" t="s">
        <v>410</v>
      </c>
      <c r="T31" s="2587" t="str">
        <f>D31</f>
        <v>Laundry, Forfeited Deposits, App Fees, Parking</v>
      </c>
      <c r="U31" s="2588"/>
      <c r="V31" s="2589"/>
      <c r="W31" s="841"/>
      <c r="X31" s="2005">
        <v>0.02</v>
      </c>
      <c r="Y31" s="1146"/>
      <c r="Z31" s="1441">
        <v>11520</v>
      </c>
      <c r="AA31" s="423">
        <f t="shared" ref="AA31:AF32" si="3">Z31+(Z31*$G31)</f>
        <v>11750.4</v>
      </c>
      <c r="AB31" s="423">
        <f t="shared" si="3"/>
        <v>11985.407999999999</v>
      </c>
      <c r="AC31" s="423">
        <f t="shared" si="3"/>
        <v>12225.11616</v>
      </c>
      <c r="AD31" s="423">
        <f t="shared" si="3"/>
        <v>12469.6184832</v>
      </c>
      <c r="AE31" s="423">
        <f t="shared" si="3"/>
        <v>12719.010852863999</v>
      </c>
      <c r="AF31" s="424">
        <f t="shared" si="3"/>
        <v>12973.391069921279</v>
      </c>
      <c r="AG31" s="2199"/>
    </row>
    <row r="32" spans="2:33" ht="15.75" thickBot="1" x14ac:dyDescent="0.3">
      <c r="B32" s="290"/>
      <c r="C32" s="425" t="s">
        <v>410</v>
      </c>
      <c r="D32" s="2590"/>
      <c r="E32" s="2591"/>
      <c r="F32" s="2592"/>
      <c r="G32" s="1440">
        <v>0</v>
      </c>
      <c r="H32" s="1146"/>
      <c r="I32" s="1442">
        <v>0</v>
      </c>
      <c r="J32" s="423">
        <f t="shared" ref="J32:O32" si="4">I32+(I32*$G32)</f>
        <v>0</v>
      </c>
      <c r="K32" s="423">
        <f t="shared" si="4"/>
        <v>0</v>
      </c>
      <c r="L32" s="423">
        <f t="shared" si="4"/>
        <v>0</v>
      </c>
      <c r="M32" s="423">
        <f t="shared" si="4"/>
        <v>0</v>
      </c>
      <c r="N32" s="423">
        <f t="shared" si="4"/>
        <v>0</v>
      </c>
      <c r="O32" s="424">
        <f t="shared" si="4"/>
        <v>0</v>
      </c>
      <c r="P32" s="251"/>
      <c r="Q32" s="290"/>
      <c r="R32" s="2022"/>
      <c r="S32" s="425" t="s">
        <v>410</v>
      </c>
      <c r="T32" s="2590"/>
      <c r="U32" s="2591"/>
      <c r="V32" s="2592"/>
      <c r="W32" s="841"/>
      <c r="X32" s="1440">
        <v>0</v>
      </c>
      <c r="Y32" s="1146"/>
      <c r="Z32" s="1442">
        <v>0</v>
      </c>
      <c r="AA32" s="423">
        <f t="shared" si="3"/>
        <v>0</v>
      </c>
      <c r="AB32" s="423">
        <f t="shared" si="3"/>
        <v>0</v>
      </c>
      <c r="AC32" s="423">
        <f t="shared" si="3"/>
        <v>0</v>
      </c>
      <c r="AD32" s="423">
        <f t="shared" si="3"/>
        <v>0</v>
      </c>
      <c r="AE32" s="423">
        <f t="shared" si="3"/>
        <v>0</v>
      </c>
      <c r="AF32" s="424">
        <f t="shared" si="3"/>
        <v>0</v>
      </c>
      <c r="AG32" s="2199"/>
    </row>
    <row r="33" spans="2:33" x14ac:dyDescent="0.25">
      <c r="B33" s="290"/>
      <c r="C33" s="428" t="s">
        <v>411</v>
      </c>
      <c r="D33" s="1038"/>
      <c r="E33" s="1038"/>
      <c r="F33" s="1038"/>
      <c r="G33" s="1038"/>
      <c r="H33" s="429" t="s">
        <v>412</v>
      </c>
      <c r="I33" s="350">
        <f>SUM(I28:I32)</f>
        <v>1068516</v>
      </c>
      <c r="J33" s="351">
        <f t="shared" ref="J33:O33" si="5">SUM(J28:J32)</f>
        <v>1095123.2999999998</v>
      </c>
      <c r="K33" s="351">
        <f t="shared" si="5"/>
        <v>1122393.6704999998</v>
      </c>
      <c r="L33" s="351">
        <f t="shared" si="5"/>
        <v>1150343.6460224998</v>
      </c>
      <c r="M33" s="351">
        <f t="shared" si="5"/>
        <v>1178990.1736082623</v>
      </c>
      <c r="N33" s="351">
        <f t="shared" si="5"/>
        <v>1208350.6231123728</v>
      </c>
      <c r="O33" s="352">
        <f t="shared" si="5"/>
        <v>1238442.7977573641</v>
      </c>
      <c r="P33" s="251"/>
      <c r="Q33" s="290"/>
      <c r="R33" s="2022"/>
      <c r="S33" s="428" t="s">
        <v>411</v>
      </c>
      <c r="T33" s="841"/>
      <c r="U33" s="841"/>
      <c r="V33" s="841"/>
      <c r="W33" s="841"/>
      <c r="X33" s="841"/>
      <c r="Y33" s="429" t="s">
        <v>412</v>
      </c>
      <c r="Z33" s="350">
        <f>SUM(Z28:Z32)</f>
        <v>370884</v>
      </c>
      <c r="AA33" s="351">
        <f t="shared" ref="AA33:AF33" si="6">SUM(AA28:AA32)</f>
        <v>380098.5</v>
      </c>
      <c r="AB33" s="351">
        <f t="shared" si="6"/>
        <v>389542.21049999999</v>
      </c>
      <c r="AC33" s="351">
        <f t="shared" si="6"/>
        <v>399220.83872249996</v>
      </c>
      <c r="AD33" s="351">
        <f t="shared" si="6"/>
        <v>409140.23410976247</v>
      </c>
      <c r="AE33" s="351">
        <f t="shared" si="6"/>
        <v>419306.39187009056</v>
      </c>
      <c r="AF33" s="352">
        <f t="shared" si="6"/>
        <v>429725.45661257848</v>
      </c>
      <c r="AG33" s="2199"/>
    </row>
    <row r="34" spans="2:33" x14ac:dyDescent="0.25">
      <c r="B34" s="290"/>
      <c r="C34" s="428"/>
      <c r="D34" s="429"/>
      <c r="E34" s="1038"/>
      <c r="F34" s="1038"/>
      <c r="G34" s="1038"/>
      <c r="H34" s="1038"/>
      <c r="I34" s="353"/>
      <c r="J34" s="354"/>
      <c r="K34" s="354"/>
      <c r="L34" s="354"/>
      <c r="M34" s="354"/>
      <c r="N34" s="354"/>
      <c r="O34" s="355"/>
      <c r="P34" s="251"/>
      <c r="Q34" s="290"/>
      <c r="R34" s="2022"/>
      <c r="S34" s="428"/>
      <c r="T34" s="429"/>
      <c r="U34" s="841"/>
      <c r="V34" s="841"/>
      <c r="W34" s="841"/>
      <c r="X34" s="841"/>
      <c r="Y34" s="841"/>
      <c r="Z34" s="353"/>
      <c r="AA34" s="354"/>
      <c r="AB34" s="354"/>
      <c r="AC34" s="354"/>
      <c r="AD34" s="354"/>
      <c r="AE34" s="354"/>
      <c r="AF34" s="355"/>
      <c r="AG34" s="2199"/>
    </row>
    <row r="35" spans="2:33" x14ac:dyDescent="0.25">
      <c r="B35" s="290"/>
      <c r="C35" s="428" t="s">
        <v>413</v>
      </c>
      <c r="D35" s="430"/>
      <c r="E35" s="1038"/>
      <c r="F35" s="1038"/>
      <c r="G35" s="1149"/>
      <c r="H35" s="250"/>
      <c r="I35" s="349">
        <f>'8B'!H36</f>
        <v>0</v>
      </c>
      <c r="J35" s="1443">
        <v>0</v>
      </c>
      <c r="K35" s="1443">
        <v>0</v>
      </c>
      <c r="L35" s="1443">
        <v>0</v>
      </c>
      <c r="M35" s="1443">
        <v>0</v>
      </c>
      <c r="N35" s="1443">
        <v>0</v>
      </c>
      <c r="O35" s="1444">
        <v>0</v>
      </c>
      <c r="P35" s="251"/>
      <c r="Q35" s="290"/>
      <c r="R35" s="2022"/>
      <c r="S35" s="428" t="s">
        <v>413</v>
      </c>
      <c r="T35" s="430"/>
      <c r="U35" s="841"/>
      <c r="V35" s="841"/>
      <c r="W35" s="841"/>
      <c r="X35" s="1149"/>
      <c r="Y35" s="841"/>
      <c r="Z35" s="349">
        <f>'8B'!X36</f>
        <v>0</v>
      </c>
      <c r="AA35" s="1443">
        <v>0</v>
      </c>
      <c r="AB35" s="1443">
        <v>0</v>
      </c>
      <c r="AC35" s="1443">
        <v>0</v>
      </c>
      <c r="AD35" s="1443">
        <v>0</v>
      </c>
      <c r="AE35" s="1443">
        <v>0</v>
      </c>
      <c r="AF35" s="1444">
        <v>0</v>
      </c>
      <c r="AG35" s="2199"/>
    </row>
    <row r="36" spans="2:33" x14ac:dyDescent="0.25">
      <c r="B36" s="290"/>
      <c r="C36" s="428"/>
      <c r="D36" s="430"/>
      <c r="E36" s="1038"/>
      <c r="F36" s="1038"/>
      <c r="G36" s="1038"/>
      <c r="H36" s="1038"/>
      <c r="I36" s="353"/>
      <c r="J36" s="354"/>
      <c r="K36" s="354"/>
      <c r="L36" s="354"/>
      <c r="M36" s="354"/>
      <c r="N36" s="354"/>
      <c r="O36" s="355"/>
      <c r="P36" s="251"/>
      <c r="Q36" s="290"/>
      <c r="R36" s="2022"/>
      <c r="S36" s="428"/>
      <c r="T36" s="430"/>
      <c r="U36" s="841"/>
      <c r="V36" s="841"/>
      <c r="W36" s="841"/>
      <c r="X36" s="841"/>
      <c r="Y36" s="841"/>
      <c r="Z36" s="353"/>
      <c r="AA36" s="354"/>
      <c r="AB36" s="354"/>
      <c r="AC36" s="354"/>
      <c r="AD36" s="354"/>
      <c r="AE36" s="354"/>
      <c r="AF36" s="355"/>
      <c r="AG36" s="2199"/>
    </row>
    <row r="37" spans="2:33" ht="15.75" thickBot="1" x14ac:dyDescent="0.3">
      <c r="B37" s="290"/>
      <c r="C37" s="431" t="s">
        <v>414</v>
      </c>
      <c r="D37" s="432"/>
      <c r="E37" s="1150"/>
      <c r="F37" s="1150"/>
      <c r="G37" s="1151"/>
      <c r="H37" s="1152"/>
      <c r="I37" s="1445">
        <v>0</v>
      </c>
      <c r="J37" s="1446">
        <v>0</v>
      </c>
      <c r="K37" s="1446">
        <v>0</v>
      </c>
      <c r="L37" s="1446">
        <v>0</v>
      </c>
      <c r="M37" s="1446">
        <v>0</v>
      </c>
      <c r="N37" s="1446">
        <v>0</v>
      </c>
      <c r="O37" s="1447">
        <v>0</v>
      </c>
      <c r="P37" s="251"/>
      <c r="Q37" s="290"/>
      <c r="R37" s="2022"/>
      <c r="S37" s="431" t="s">
        <v>414</v>
      </c>
      <c r="T37" s="432"/>
      <c r="U37" s="1150"/>
      <c r="V37" s="1150"/>
      <c r="W37" s="1150"/>
      <c r="X37" s="1151"/>
      <c r="Y37" s="1152"/>
      <c r="Z37" s="1445">
        <v>0</v>
      </c>
      <c r="AA37" s="1446">
        <v>0</v>
      </c>
      <c r="AB37" s="1446">
        <v>0</v>
      </c>
      <c r="AC37" s="1446">
        <v>0</v>
      </c>
      <c r="AD37" s="1446">
        <v>0</v>
      </c>
      <c r="AE37" s="1446">
        <v>0</v>
      </c>
      <c r="AF37" s="1447">
        <v>0</v>
      </c>
      <c r="AG37" s="2199"/>
    </row>
    <row r="38" spans="2:33" ht="15.75" thickTop="1" x14ac:dyDescent="0.25">
      <c r="B38" s="290"/>
      <c r="C38" s="420" t="s">
        <v>415</v>
      </c>
      <c r="D38" s="1038"/>
      <c r="E38" s="1038"/>
      <c r="F38" s="1038"/>
      <c r="G38" s="1038"/>
      <c r="H38" s="430" t="s">
        <v>412</v>
      </c>
      <c r="I38" s="356">
        <f>I33+I35+I37</f>
        <v>1068516</v>
      </c>
      <c r="J38" s="357">
        <f t="shared" ref="J38:O38" si="7">J33+J35+J37</f>
        <v>1095123.2999999998</v>
      </c>
      <c r="K38" s="357">
        <f t="shared" si="7"/>
        <v>1122393.6704999998</v>
      </c>
      <c r="L38" s="357">
        <f t="shared" si="7"/>
        <v>1150343.6460224998</v>
      </c>
      <c r="M38" s="357">
        <f t="shared" si="7"/>
        <v>1178990.1736082623</v>
      </c>
      <c r="N38" s="357">
        <f t="shared" si="7"/>
        <v>1208350.6231123728</v>
      </c>
      <c r="O38" s="358">
        <f t="shared" si="7"/>
        <v>1238442.7977573641</v>
      </c>
      <c r="P38" s="251"/>
      <c r="Q38" s="290"/>
      <c r="R38" s="2022"/>
      <c r="S38" s="420" t="s">
        <v>415</v>
      </c>
      <c r="T38" s="841"/>
      <c r="U38" s="841"/>
      <c r="V38" s="841"/>
      <c r="W38" s="841"/>
      <c r="X38" s="841"/>
      <c r="Y38" s="430" t="s">
        <v>412</v>
      </c>
      <c r="Z38" s="356">
        <f>Z33+Z35+Z37</f>
        <v>370884</v>
      </c>
      <c r="AA38" s="357">
        <f t="shared" ref="AA38:AF38" si="8">AA33+AA35+AA37</f>
        <v>380098.5</v>
      </c>
      <c r="AB38" s="357">
        <f t="shared" si="8"/>
        <v>389542.21049999999</v>
      </c>
      <c r="AC38" s="357">
        <f t="shared" si="8"/>
        <v>399220.83872249996</v>
      </c>
      <c r="AD38" s="357">
        <f t="shared" si="8"/>
        <v>409140.23410976247</v>
      </c>
      <c r="AE38" s="357">
        <f t="shared" si="8"/>
        <v>419306.39187009056</v>
      </c>
      <c r="AF38" s="358">
        <f t="shared" si="8"/>
        <v>429725.45661257848</v>
      </c>
      <c r="AG38" s="2199"/>
    </row>
    <row r="39" spans="2:33" ht="15.75" thickBot="1" x14ac:dyDescent="0.3">
      <c r="B39" s="290"/>
      <c r="C39" s="420"/>
      <c r="D39" s="1038"/>
      <c r="E39" s="1038"/>
      <c r="F39" s="1038"/>
      <c r="G39" s="433" t="s">
        <v>416</v>
      </c>
      <c r="H39" s="1038"/>
      <c r="I39" s="353"/>
      <c r="J39" s="354"/>
      <c r="K39" s="354"/>
      <c r="L39" s="354"/>
      <c r="M39" s="354"/>
      <c r="N39" s="354"/>
      <c r="O39" s="355"/>
      <c r="P39" s="251"/>
      <c r="Q39" s="290"/>
      <c r="R39" s="2022"/>
      <c r="S39" s="420"/>
      <c r="T39" s="841"/>
      <c r="U39" s="841"/>
      <c r="V39" s="841"/>
      <c r="W39" s="841"/>
      <c r="X39" s="433" t="s">
        <v>416</v>
      </c>
      <c r="Y39" s="841"/>
      <c r="Z39" s="353"/>
      <c r="AA39" s="354"/>
      <c r="AB39" s="354"/>
      <c r="AC39" s="354"/>
      <c r="AD39" s="354"/>
      <c r="AE39" s="354"/>
      <c r="AF39" s="355"/>
      <c r="AG39" s="2199"/>
    </row>
    <row r="40" spans="2:33" x14ac:dyDescent="0.25">
      <c r="B40" s="290"/>
      <c r="C40" s="434" t="s">
        <v>417</v>
      </c>
      <c r="D40" s="1141"/>
      <c r="E40" s="1141"/>
      <c r="F40" s="1141"/>
      <c r="G40" s="1438">
        <v>0.05</v>
      </c>
      <c r="H40" s="1143"/>
      <c r="I40" s="1153">
        <f>-I33*$G40</f>
        <v>-53425.8</v>
      </c>
      <c r="J40" s="1154">
        <f t="shared" ref="J40:O40" si="9">-J33*$G40</f>
        <v>-54756.164999999994</v>
      </c>
      <c r="K40" s="1154">
        <f t="shared" si="9"/>
        <v>-56119.683524999993</v>
      </c>
      <c r="L40" s="1154">
        <f t="shared" si="9"/>
        <v>-57517.182301124994</v>
      </c>
      <c r="M40" s="1154">
        <f t="shared" si="9"/>
        <v>-58949.508680413121</v>
      </c>
      <c r="N40" s="1154">
        <f t="shared" si="9"/>
        <v>-60417.531155618643</v>
      </c>
      <c r="O40" s="1155">
        <f t="shared" si="9"/>
        <v>-61922.139887868208</v>
      </c>
      <c r="P40" s="251"/>
      <c r="Q40" s="290"/>
      <c r="R40" s="2022"/>
      <c r="S40" s="434" t="s">
        <v>417</v>
      </c>
      <c r="T40" s="1141"/>
      <c r="U40" s="1141"/>
      <c r="V40" s="1141"/>
      <c r="W40" s="1142"/>
      <c r="X40" s="2005">
        <v>0.05</v>
      </c>
      <c r="Y40" s="1143"/>
      <c r="Z40" s="1153">
        <f>-Z33*$G40</f>
        <v>-18544.2</v>
      </c>
      <c r="AA40" s="1154">
        <f t="shared" ref="AA40:AF40" si="10">-AA33*$G40</f>
        <v>-19004.924999999999</v>
      </c>
      <c r="AB40" s="1154">
        <f t="shared" si="10"/>
        <v>-19477.110525</v>
      </c>
      <c r="AC40" s="1154">
        <f t="shared" si="10"/>
        <v>-19961.041936124999</v>
      </c>
      <c r="AD40" s="1154">
        <f t="shared" si="10"/>
        <v>-20457.011705488127</v>
      </c>
      <c r="AE40" s="1154">
        <f t="shared" si="10"/>
        <v>-20965.31959350453</v>
      </c>
      <c r="AF40" s="1155">
        <f t="shared" si="10"/>
        <v>-21486.272830628925</v>
      </c>
      <c r="AG40" s="2199"/>
    </row>
    <row r="41" spans="2:33" ht="15.75" thickBot="1" x14ac:dyDescent="0.3">
      <c r="B41" s="290"/>
      <c r="C41" s="435" t="s">
        <v>418</v>
      </c>
      <c r="D41" s="1150"/>
      <c r="E41" s="1150"/>
      <c r="F41" s="1150"/>
      <c r="G41" s="1448">
        <v>0.1</v>
      </c>
      <c r="H41" s="1156"/>
      <c r="I41" s="1157">
        <f>-I37*$G41</f>
        <v>0</v>
      </c>
      <c r="J41" s="1158">
        <f t="shared" ref="J41:O41" si="11">-J37*$G41</f>
        <v>0</v>
      </c>
      <c r="K41" s="1158">
        <f t="shared" si="11"/>
        <v>0</v>
      </c>
      <c r="L41" s="1158">
        <f t="shared" si="11"/>
        <v>0</v>
      </c>
      <c r="M41" s="1158">
        <f t="shared" si="11"/>
        <v>0</v>
      </c>
      <c r="N41" s="1158">
        <f t="shared" si="11"/>
        <v>0</v>
      </c>
      <c r="O41" s="1159">
        <f t="shared" si="11"/>
        <v>0</v>
      </c>
      <c r="P41" s="251"/>
      <c r="Q41" s="290"/>
      <c r="R41" s="2022"/>
      <c r="S41" s="435" t="s">
        <v>418</v>
      </c>
      <c r="T41" s="1150"/>
      <c r="U41" s="1150"/>
      <c r="V41" s="1150"/>
      <c r="W41" s="1150"/>
      <c r="X41" s="1448">
        <v>0.1</v>
      </c>
      <c r="Y41" s="1156"/>
      <c r="Z41" s="1157">
        <f>-Z37*$G41</f>
        <v>0</v>
      </c>
      <c r="AA41" s="1158">
        <f t="shared" ref="AA41:AF41" si="12">-AA37*$G41</f>
        <v>0</v>
      </c>
      <c r="AB41" s="1158">
        <f t="shared" si="12"/>
        <v>0</v>
      </c>
      <c r="AC41" s="1158">
        <f t="shared" si="12"/>
        <v>0</v>
      </c>
      <c r="AD41" s="1158">
        <f t="shared" si="12"/>
        <v>0</v>
      </c>
      <c r="AE41" s="1158">
        <f t="shared" si="12"/>
        <v>0</v>
      </c>
      <c r="AF41" s="1159">
        <f t="shared" si="12"/>
        <v>0</v>
      </c>
      <c r="AG41" s="2199"/>
    </row>
    <row r="42" spans="2:33" ht="16.5" thickTop="1" thickBot="1" x14ac:dyDescent="0.3">
      <c r="B42" s="290"/>
      <c r="C42" s="436" t="s">
        <v>419</v>
      </c>
      <c r="D42" s="1038"/>
      <c r="E42" s="1038"/>
      <c r="F42" s="1038"/>
      <c r="G42" s="1038"/>
      <c r="H42" s="429" t="s">
        <v>412</v>
      </c>
      <c r="I42" s="1493">
        <f>I38+I40+I41</f>
        <v>1015090.2</v>
      </c>
      <c r="J42" s="1494">
        <f t="shared" ref="J42:O42" si="13">J38+J40+J41</f>
        <v>1040367.1349999998</v>
      </c>
      <c r="K42" s="1494">
        <f t="shared" si="13"/>
        <v>1066273.9869749998</v>
      </c>
      <c r="L42" s="1494">
        <f t="shared" si="13"/>
        <v>1092826.4637213747</v>
      </c>
      <c r="M42" s="1494">
        <f t="shared" si="13"/>
        <v>1120040.6649278493</v>
      </c>
      <c r="N42" s="1494">
        <f t="shared" si="13"/>
        <v>1147933.0919567542</v>
      </c>
      <c r="O42" s="1495">
        <f t="shared" si="13"/>
        <v>1176520.6578694959</v>
      </c>
      <c r="P42" s="251"/>
      <c r="Q42" s="290"/>
      <c r="R42" s="2022"/>
      <c r="S42" s="436" t="s">
        <v>419</v>
      </c>
      <c r="T42" s="841"/>
      <c r="U42" s="841"/>
      <c r="V42" s="841"/>
      <c r="W42" s="841"/>
      <c r="X42" s="841"/>
      <c r="Y42" s="429" t="s">
        <v>412</v>
      </c>
      <c r="Z42" s="1493">
        <f>Z38+Z40+Z41</f>
        <v>352339.8</v>
      </c>
      <c r="AA42" s="1494">
        <f t="shared" ref="AA42:AF42" si="14">AA38+AA40+AA41</f>
        <v>361093.57500000001</v>
      </c>
      <c r="AB42" s="1494">
        <f t="shared" si="14"/>
        <v>370065.09997499996</v>
      </c>
      <c r="AC42" s="1494">
        <f t="shared" si="14"/>
        <v>379259.79678637494</v>
      </c>
      <c r="AD42" s="1494">
        <f t="shared" si="14"/>
        <v>388683.22240427433</v>
      </c>
      <c r="AE42" s="1494">
        <f t="shared" si="14"/>
        <v>398341.07227658603</v>
      </c>
      <c r="AF42" s="1495">
        <f t="shared" si="14"/>
        <v>408239.18378194957</v>
      </c>
      <c r="AG42" s="2199"/>
    </row>
    <row r="43" spans="2:33" ht="7.5" customHeight="1" x14ac:dyDescent="0.25">
      <c r="B43" s="290"/>
      <c r="C43" s="250"/>
      <c r="D43" s="250"/>
      <c r="E43" s="1038"/>
      <c r="F43" s="1038"/>
      <c r="G43" s="1038"/>
      <c r="H43" s="1038"/>
      <c r="I43" s="250"/>
      <c r="J43" s="250"/>
      <c r="K43" s="250"/>
      <c r="L43" s="250"/>
      <c r="M43" s="250"/>
      <c r="N43" s="250"/>
      <c r="O43" s="250"/>
      <c r="P43" s="251"/>
      <c r="Q43" s="290"/>
      <c r="R43" s="2022"/>
      <c r="S43" s="841"/>
      <c r="T43" s="841"/>
      <c r="U43" s="841"/>
      <c r="V43" s="841"/>
      <c r="W43" s="841"/>
      <c r="X43" s="841"/>
      <c r="Y43" s="841"/>
      <c r="Z43" s="841"/>
      <c r="AA43" s="841"/>
      <c r="AB43" s="841"/>
      <c r="AC43" s="841"/>
      <c r="AD43" s="841"/>
      <c r="AE43" s="841"/>
      <c r="AF43" s="841"/>
      <c r="AG43" s="2199"/>
    </row>
    <row r="44" spans="2:33" ht="15.75" thickBot="1" x14ac:dyDescent="0.3">
      <c r="B44" s="413"/>
      <c r="C44" s="492" t="s">
        <v>420</v>
      </c>
      <c r="D44" s="360"/>
      <c r="E44" s="360"/>
      <c r="F44" s="360"/>
      <c r="G44" s="360"/>
      <c r="H44" s="360"/>
      <c r="I44" s="360"/>
      <c r="J44" s="360"/>
      <c r="K44" s="360"/>
      <c r="L44" s="361"/>
      <c r="M44" s="360"/>
      <c r="N44" s="360"/>
      <c r="O44" s="360"/>
      <c r="P44" s="417"/>
      <c r="Q44" s="413"/>
      <c r="R44" s="413"/>
      <c r="S44" s="492" t="s">
        <v>420</v>
      </c>
      <c r="T44" s="360"/>
      <c r="U44" s="360"/>
      <c r="V44" s="360"/>
      <c r="W44" s="360"/>
      <c r="X44" s="360"/>
      <c r="Y44" s="360"/>
      <c r="Z44" s="360"/>
      <c r="AA44" s="360"/>
      <c r="AB44" s="360"/>
      <c r="AC44" s="361"/>
      <c r="AD44" s="360"/>
      <c r="AE44" s="360"/>
      <c r="AF44" s="360"/>
      <c r="AG44" s="417"/>
    </row>
    <row r="45" spans="2:33" ht="24.75" thickBot="1" x14ac:dyDescent="0.3">
      <c r="B45" s="413"/>
      <c r="C45" s="420" t="s">
        <v>421</v>
      </c>
      <c r="D45" s="411"/>
      <c r="E45" s="428"/>
      <c r="F45" s="437" t="s">
        <v>408</v>
      </c>
      <c r="G45" s="414"/>
      <c r="H45" s="362" t="s">
        <v>422</v>
      </c>
      <c r="I45" s="342" t="s">
        <v>400</v>
      </c>
      <c r="J45" s="343" t="s">
        <v>401</v>
      </c>
      <c r="K45" s="343" t="s">
        <v>402</v>
      </c>
      <c r="L45" s="343" t="s">
        <v>403</v>
      </c>
      <c r="M45" s="343" t="s">
        <v>404</v>
      </c>
      <c r="N45" s="343" t="s">
        <v>405</v>
      </c>
      <c r="O45" s="344" t="s">
        <v>406</v>
      </c>
      <c r="P45" s="412"/>
      <c r="Q45" s="413"/>
      <c r="R45" s="413"/>
      <c r="S45" s="420" t="s">
        <v>421</v>
      </c>
      <c r="T45" s="411"/>
      <c r="U45" s="428"/>
      <c r="V45" s="2007" t="s">
        <v>408</v>
      </c>
      <c r="W45" s="438"/>
      <c r="X45" s="411"/>
      <c r="Y45" s="362" t="s">
        <v>422</v>
      </c>
      <c r="Z45" s="342" t="s">
        <v>400</v>
      </c>
      <c r="AA45" s="2000" t="s">
        <v>401</v>
      </c>
      <c r="AB45" s="2000" t="s">
        <v>402</v>
      </c>
      <c r="AC45" s="2000" t="s">
        <v>403</v>
      </c>
      <c r="AD45" s="2000" t="s">
        <v>404</v>
      </c>
      <c r="AE45" s="2000" t="s">
        <v>405</v>
      </c>
      <c r="AF45" s="2001" t="s">
        <v>406</v>
      </c>
      <c r="AG45" s="412"/>
    </row>
    <row r="46" spans="2:33" x14ac:dyDescent="0.25">
      <c r="B46" s="413"/>
      <c r="C46" s="439" t="s">
        <v>423</v>
      </c>
      <c r="D46" s="440"/>
      <c r="E46" s="441"/>
      <c r="F46" s="1438">
        <v>3.5000000000000003E-2</v>
      </c>
      <c r="G46" s="442"/>
      <c r="H46" s="1719">
        <f>IFERROR(I46/'1B'!$L$20,"")</f>
        <v>1861.25</v>
      </c>
      <c r="I46" s="1161">
        <f>'8C'!K20</f>
        <v>163790</v>
      </c>
      <c r="J46" s="444">
        <f t="shared" ref="J46:O46" si="15">I46+(I46*$F46)</f>
        <v>169522.65</v>
      </c>
      <c r="K46" s="444">
        <f t="shared" si="15"/>
        <v>175455.94274999999</v>
      </c>
      <c r="L46" s="444">
        <f t="shared" si="15"/>
        <v>181596.90074625</v>
      </c>
      <c r="M46" s="444">
        <f t="shared" si="15"/>
        <v>187952.79227236874</v>
      </c>
      <c r="N46" s="444">
        <f t="shared" si="15"/>
        <v>194531.14000190166</v>
      </c>
      <c r="O46" s="445">
        <f t="shared" si="15"/>
        <v>201339.72990196821</v>
      </c>
      <c r="P46" s="412"/>
      <c r="Q46" s="413"/>
      <c r="R46" s="413"/>
      <c r="S46" s="439" t="s">
        <v>423</v>
      </c>
      <c r="T46" s="440"/>
      <c r="U46" s="441"/>
      <c r="V46" s="2005">
        <v>3.5000000000000003E-2</v>
      </c>
      <c r="W46" s="1160"/>
      <c r="X46" s="442"/>
      <c r="Y46" s="1719">
        <f>IFERROR(Z46/'1B'!$L$44,"")</f>
        <v>1861.25</v>
      </c>
      <c r="Z46" s="1161">
        <f>'8C'!X20</f>
        <v>74450</v>
      </c>
      <c r="AA46" s="444">
        <f>Z46+(Z46*$F46)</f>
        <v>77055.75</v>
      </c>
      <c r="AB46" s="444">
        <f t="shared" ref="AB46:AB66" si="16">AA46+(AA46*$F46)</f>
        <v>79752.701249999998</v>
      </c>
      <c r="AC46" s="444">
        <f t="shared" ref="AC46:AC65" si="17">AB46+(AB46*$F46)</f>
        <v>82544.045793750003</v>
      </c>
      <c r="AD46" s="444">
        <f t="shared" ref="AD46:AD66" si="18">AC46+(AC46*$F46)</f>
        <v>85433.087396531249</v>
      </c>
      <c r="AE46" s="444">
        <f t="shared" ref="AE46:AE66" si="19">AD46+(AD46*$F46)</f>
        <v>88423.245455409837</v>
      </c>
      <c r="AF46" s="445">
        <f t="shared" ref="AF46:AF66" si="20">AE46+(AE46*$F46)</f>
        <v>91518.059046349183</v>
      </c>
      <c r="AG46" s="412"/>
    </row>
    <row r="47" spans="2:33" x14ac:dyDescent="0.25">
      <c r="B47" s="446"/>
      <c r="C47" s="447" t="s">
        <v>424</v>
      </c>
      <c r="D47" s="448"/>
      <c r="E47" s="449"/>
      <c r="F47" s="1449">
        <v>3.5000000000000003E-2</v>
      </c>
      <c r="G47" s="450"/>
      <c r="H47" s="1720">
        <f>IFERROR(I47/'1B'!$L$20,"")</f>
        <v>576</v>
      </c>
      <c r="I47" s="1163">
        <f>'8C'!K29</f>
        <v>50688</v>
      </c>
      <c r="J47" s="452">
        <f t="shared" ref="J47:O47" si="21">I47+(I47*$F47)</f>
        <v>52462.080000000002</v>
      </c>
      <c r="K47" s="452">
        <f t="shared" si="21"/>
        <v>54298.252800000002</v>
      </c>
      <c r="L47" s="452">
        <f t="shared" si="21"/>
        <v>56198.691648</v>
      </c>
      <c r="M47" s="452">
        <f t="shared" si="21"/>
        <v>58165.645855679999</v>
      </c>
      <c r="N47" s="452">
        <f t="shared" si="21"/>
        <v>60201.443460628798</v>
      </c>
      <c r="O47" s="453">
        <f t="shared" si="21"/>
        <v>62308.493981750806</v>
      </c>
      <c r="P47" s="412"/>
      <c r="Q47" s="446"/>
      <c r="R47" s="446"/>
      <c r="S47" s="447" t="s">
        <v>424</v>
      </c>
      <c r="T47" s="448"/>
      <c r="U47" s="449"/>
      <c r="V47" s="1449">
        <v>3.5000000000000003E-2</v>
      </c>
      <c r="W47" s="1162"/>
      <c r="X47" s="450"/>
      <c r="Y47" s="1720">
        <f>IFERROR(Z47/'1B'!$L$44,"")</f>
        <v>986.5</v>
      </c>
      <c r="Z47" s="1163">
        <f>'8C'!X29</f>
        <v>39460</v>
      </c>
      <c r="AA47" s="452">
        <f t="shared" ref="AA47:AA66" si="22">Z47+(Z47*$F47)</f>
        <v>40841.1</v>
      </c>
      <c r="AB47" s="452">
        <f t="shared" si="16"/>
        <v>42270.538499999995</v>
      </c>
      <c r="AC47" s="452">
        <f t="shared" si="17"/>
        <v>43750.007347499995</v>
      </c>
      <c r="AD47" s="452">
        <f t="shared" si="18"/>
        <v>45281.257604662496</v>
      </c>
      <c r="AE47" s="452">
        <f t="shared" si="19"/>
        <v>46866.101620825684</v>
      </c>
      <c r="AF47" s="453">
        <f t="shared" si="20"/>
        <v>48506.415177554583</v>
      </c>
      <c r="AG47" s="412"/>
    </row>
    <row r="48" spans="2:33" x14ac:dyDescent="0.25">
      <c r="B48" s="413"/>
      <c r="C48" s="447" t="s">
        <v>425</v>
      </c>
      <c r="D48" s="448"/>
      <c r="E48" s="449"/>
      <c r="F48" s="1449">
        <v>3.5000000000000003E-2</v>
      </c>
      <c r="G48" s="450"/>
      <c r="H48" s="1720">
        <f>IFERROR(I48/'1B'!$L$20,"")</f>
        <v>126</v>
      </c>
      <c r="I48" s="1732">
        <f>11088</f>
        <v>11088</v>
      </c>
      <c r="J48" s="452">
        <f t="shared" ref="J48:O48" si="23">I48+(I48*$F48)</f>
        <v>11476.08</v>
      </c>
      <c r="K48" s="452">
        <f t="shared" si="23"/>
        <v>11877.7428</v>
      </c>
      <c r="L48" s="452">
        <f t="shared" si="23"/>
        <v>12293.463798000001</v>
      </c>
      <c r="M48" s="452">
        <f t="shared" si="23"/>
        <v>12723.73503093</v>
      </c>
      <c r="N48" s="452">
        <f t="shared" si="23"/>
        <v>13169.06575701255</v>
      </c>
      <c r="O48" s="453">
        <f t="shared" si="23"/>
        <v>13629.983058507989</v>
      </c>
      <c r="P48" s="412"/>
      <c r="Q48" s="413"/>
      <c r="R48" s="413"/>
      <c r="S48" s="447" t="s">
        <v>425</v>
      </c>
      <c r="T48" s="448"/>
      <c r="U48" s="449"/>
      <c r="V48" s="1449">
        <v>3.5000000000000003E-2</v>
      </c>
      <c r="W48" s="1162"/>
      <c r="X48" s="450"/>
      <c r="Y48" s="1720">
        <f>IFERROR(Z48/'1B'!$L$44,"")</f>
        <v>126</v>
      </c>
      <c r="Z48" s="451">
        <v>5040</v>
      </c>
      <c r="AA48" s="452">
        <f t="shared" si="22"/>
        <v>5216.3999999999996</v>
      </c>
      <c r="AB48" s="452">
        <f t="shared" si="16"/>
        <v>5398.9739999999993</v>
      </c>
      <c r="AC48" s="452">
        <f t="shared" si="17"/>
        <v>5587.9380899999996</v>
      </c>
      <c r="AD48" s="452">
        <f t="shared" si="18"/>
        <v>5783.5159231499993</v>
      </c>
      <c r="AE48" s="452">
        <f t="shared" si="19"/>
        <v>5985.9389804602488</v>
      </c>
      <c r="AF48" s="453">
        <f t="shared" si="20"/>
        <v>6195.4468447763575</v>
      </c>
      <c r="AG48" s="412"/>
    </row>
    <row r="49" spans="2:33" x14ac:dyDescent="0.25">
      <c r="B49" s="413"/>
      <c r="C49" s="447" t="s">
        <v>426</v>
      </c>
      <c r="D49" s="449"/>
      <c r="E49" s="448"/>
      <c r="F49" s="1449">
        <v>3.5000000000000003E-2</v>
      </c>
      <c r="G49" s="450"/>
      <c r="H49" s="1720">
        <f>IFERROR(I49/'1B'!$L$20,"")</f>
        <v>0</v>
      </c>
      <c r="I49" s="1732">
        <v>0</v>
      </c>
      <c r="J49" s="452">
        <f t="shared" ref="J49:O49" si="24">I49+(I49*$F49)</f>
        <v>0</v>
      </c>
      <c r="K49" s="452">
        <f t="shared" si="24"/>
        <v>0</v>
      </c>
      <c r="L49" s="452">
        <f t="shared" si="24"/>
        <v>0</v>
      </c>
      <c r="M49" s="452">
        <f t="shared" si="24"/>
        <v>0</v>
      </c>
      <c r="N49" s="452">
        <f t="shared" si="24"/>
        <v>0</v>
      </c>
      <c r="O49" s="453">
        <f t="shared" si="24"/>
        <v>0</v>
      </c>
      <c r="P49" s="412"/>
      <c r="Q49" s="413"/>
      <c r="R49" s="413"/>
      <c r="S49" s="447" t="s">
        <v>426</v>
      </c>
      <c r="T49" s="449"/>
      <c r="U49" s="448"/>
      <c r="V49" s="1449">
        <v>3.5000000000000003E-2</v>
      </c>
      <c r="W49" s="1162"/>
      <c r="X49" s="450"/>
      <c r="Y49" s="1720">
        <f>IFERROR(Z49/'1B'!$L$44,"")</f>
        <v>148</v>
      </c>
      <c r="Z49" s="451">
        <v>5920</v>
      </c>
      <c r="AA49" s="452">
        <f t="shared" si="22"/>
        <v>6127.2</v>
      </c>
      <c r="AB49" s="452">
        <f t="shared" si="16"/>
        <v>6341.652</v>
      </c>
      <c r="AC49" s="452">
        <f t="shared" si="17"/>
        <v>6563.6098199999997</v>
      </c>
      <c r="AD49" s="452">
        <f t="shared" si="18"/>
        <v>6793.3361636999998</v>
      </c>
      <c r="AE49" s="452">
        <f t="shared" si="19"/>
        <v>7031.1029294294995</v>
      </c>
      <c r="AF49" s="453">
        <f t="shared" si="20"/>
        <v>7277.1915319595319</v>
      </c>
      <c r="AG49" s="412"/>
    </row>
    <row r="50" spans="2:33" x14ac:dyDescent="0.25">
      <c r="B50" s="413"/>
      <c r="C50" s="447" t="s">
        <v>427</v>
      </c>
      <c r="D50" s="448"/>
      <c r="E50" s="449"/>
      <c r="F50" s="1449">
        <v>3.5000000000000003E-2</v>
      </c>
      <c r="G50" s="450"/>
      <c r="H50" s="1720">
        <f>IFERROR(I50/'1B'!$L$20,"")</f>
        <v>524</v>
      </c>
      <c r="I50" s="1732">
        <v>46112</v>
      </c>
      <c r="J50" s="452">
        <f t="shared" ref="J50:O50" si="25">I50+(I50*$F50)</f>
        <v>47725.919999999998</v>
      </c>
      <c r="K50" s="452">
        <f t="shared" si="25"/>
        <v>49396.3272</v>
      </c>
      <c r="L50" s="452">
        <f t="shared" si="25"/>
        <v>51125.198651999999</v>
      </c>
      <c r="M50" s="452">
        <f t="shared" si="25"/>
        <v>52914.580604820003</v>
      </c>
      <c r="N50" s="452">
        <f t="shared" si="25"/>
        <v>54766.590925988705</v>
      </c>
      <c r="O50" s="453">
        <f t="shared" si="25"/>
        <v>56683.421608398312</v>
      </c>
      <c r="P50" s="412"/>
      <c r="Q50" s="413"/>
      <c r="R50" s="413"/>
      <c r="S50" s="447" t="s">
        <v>427</v>
      </c>
      <c r="T50" s="448"/>
      <c r="U50" s="449"/>
      <c r="V50" s="1449">
        <v>3.5000000000000003E-2</v>
      </c>
      <c r="W50" s="1162"/>
      <c r="X50" s="450"/>
      <c r="Y50" s="1720">
        <f>IFERROR(Z50/'1B'!$L$44,"")</f>
        <v>306.8</v>
      </c>
      <c r="Z50" s="451">
        <f>22000-Z51</f>
        <v>12272</v>
      </c>
      <c r="AA50" s="452">
        <f t="shared" si="22"/>
        <v>12701.52</v>
      </c>
      <c r="AB50" s="452">
        <f t="shared" si="16"/>
        <v>13146.073200000001</v>
      </c>
      <c r="AC50" s="452">
        <f t="shared" si="17"/>
        <v>13606.185762000001</v>
      </c>
      <c r="AD50" s="452">
        <f t="shared" si="18"/>
        <v>14082.402263670001</v>
      </c>
      <c r="AE50" s="452">
        <f t="shared" si="19"/>
        <v>14575.286342898451</v>
      </c>
      <c r="AF50" s="453">
        <f t="shared" si="20"/>
        <v>15085.421364899898</v>
      </c>
      <c r="AG50" s="412"/>
    </row>
    <row r="51" spans="2:33" x14ac:dyDescent="0.25">
      <c r="B51" s="413"/>
      <c r="C51" s="447" t="s">
        <v>428</v>
      </c>
      <c r="D51" s="448"/>
      <c r="E51" s="449"/>
      <c r="F51" s="1449">
        <v>3.5000000000000003E-2</v>
      </c>
      <c r="G51" s="450"/>
      <c r="H51" s="1720">
        <f>IFERROR(I51/'1B'!$L$20,"")</f>
        <v>436</v>
      </c>
      <c r="I51" s="1732">
        <v>38368</v>
      </c>
      <c r="J51" s="452">
        <f t="shared" ref="J51:O51" si="26">I51+(I51*$F51)</f>
        <v>39710.879999999997</v>
      </c>
      <c r="K51" s="452">
        <f t="shared" si="26"/>
        <v>41100.760799999996</v>
      </c>
      <c r="L51" s="452">
        <f t="shared" si="26"/>
        <v>42539.287427999996</v>
      </c>
      <c r="M51" s="452">
        <f t="shared" si="26"/>
        <v>44028.162487979993</v>
      </c>
      <c r="N51" s="452">
        <f t="shared" si="26"/>
        <v>45569.148175059294</v>
      </c>
      <c r="O51" s="453">
        <f t="shared" si="26"/>
        <v>47164.068361186371</v>
      </c>
      <c r="P51" s="412"/>
      <c r="Q51" s="413"/>
      <c r="R51" s="413"/>
      <c r="S51" s="447" t="s">
        <v>428</v>
      </c>
      <c r="T51" s="448"/>
      <c r="U51" s="449"/>
      <c r="V51" s="1449">
        <v>3.5000000000000003E-2</v>
      </c>
      <c r="W51" s="1162"/>
      <c r="X51" s="450"/>
      <c r="Y51" s="1720">
        <f>IFERROR(Z51/'1B'!$L$44,"")</f>
        <v>243.2</v>
      </c>
      <c r="Z51" s="451">
        <v>9728</v>
      </c>
      <c r="AA51" s="452">
        <f t="shared" si="22"/>
        <v>10068.48</v>
      </c>
      <c r="AB51" s="452">
        <f t="shared" si="16"/>
        <v>10420.8768</v>
      </c>
      <c r="AC51" s="452">
        <f t="shared" si="17"/>
        <v>10785.607488</v>
      </c>
      <c r="AD51" s="452">
        <f t="shared" si="18"/>
        <v>11163.103750079999</v>
      </c>
      <c r="AE51" s="452">
        <f t="shared" si="19"/>
        <v>11553.8123813328</v>
      </c>
      <c r="AF51" s="453">
        <f t="shared" si="20"/>
        <v>11958.195814679448</v>
      </c>
      <c r="AG51" s="412"/>
    </row>
    <row r="52" spans="2:33" x14ac:dyDescent="0.25">
      <c r="B52" s="413"/>
      <c r="C52" s="447" t="s">
        <v>429</v>
      </c>
      <c r="D52" s="448"/>
      <c r="E52" s="449"/>
      <c r="F52" s="1449">
        <v>3.5000000000000003E-2</v>
      </c>
      <c r="G52" s="450"/>
      <c r="H52" s="1720">
        <f>IFERROR(I52/'1B'!$L$20,"")</f>
        <v>16</v>
      </c>
      <c r="I52" s="1732">
        <f>1320+88</f>
        <v>1408</v>
      </c>
      <c r="J52" s="452">
        <f t="shared" ref="J52:O52" si="27">I52+(I52*$F52)</f>
        <v>1457.28</v>
      </c>
      <c r="K52" s="452">
        <f t="shared" si="27"/>
        <v>1508.2847999999999</v>
      </c>
      <c r="L52" s="452">
        <f t="shared" si="27"/>
        <v>1561.0747679999999</v>
      </c>
      <c r="M52" s="452">
        <f t="shared" si="27"/>
        <v>1615.7123848799999</v>
      </c>
      <c r="N52" s="452">
        <f t="shared" si="27"/>
        <v>1672.2623183507999</v>
      </c>
      <c r="O52" s="453">
        <f t="shared" si="27"/>
        <v>1730.7914994930779</v>
      </c>
      <c r="P52" s="412"/>
      <c r="Q52" s="413"/>
      <c r="R52" s="413"/>
      <c r="S52" s="447" t="s">
        <v>429</v>
      </c>
      <c r="T52" s="448"/>
      <c r="U52" s="449"/>
      <c r="V52" s="1449">
        <v>3.5000000000000003E-2</v>
      </c>
      <c r="W52" s="1162"/>
      <c r="X52" s="450"/>
      <c r="Y52" s="1720">
        <f>IFERROR(Z52/'1B'!$L$44,"")</f>
        <v>16</v>
      </c>
      <c r="Z52" s="451">
        <f>600+40</f>
        <v>640</v>
      </c>
      <c r="AA52" s="452">
        <f t="shared" si="22"/>
        <v>662.4</v>
      </c>
      <c r="AB52" s="452">
        <f t="shared" si="16"/>
        <v>685.58399999999995</v>
      </c>
      <c r="AC52" s="452">
        <f t="shared" si="17"/>
        <v>709.57943999999998</v>
      </c>
      <c r="AD52" s="452">
        <f t="shared" si="18"/>
        <v>734.41472039999996</v>
      </c>
      <c r="AE52" s="452">
        <f t="shared" si="19"/>
        <v>760.11923561399999</v>
      </c>
      <c r="AF52" s="453">
        <f t="shared" si="20"/>
        <v>786.72340886048994</v>
      </c>
      <c r="AG52" s="412"/>
    </row>
    <row r="53" spans="2:33" x14ac:dyDescent="0.25">
      <c r="B53" s="413"/>
      <c r="C53" s="447" t="s">
        <v>430</v>
      </c>
      <c r="D53" s="449"/>
      <c r="E53" s="448"/>
      <c r="F53" s="1449">
        <v>3.5000000000000003E-2</v>
      </c>
      <c r="G53" s="450"/>
      <c r="H53" s="1720">
        <f>IFERROR(I53/'1B'!$L$20,"")</f>
        <v>0</v>
      </c>
      <c r="I53" s="1732">
        <v>0</v>
      </c>
      <c r="J53" s="452">
        <f t="shared" ref="J53:O53" si="28">I53+(I53*$F53)</f>
        <v>0</v>
      </c>
      <c r="K53" s="452">
        <f t="shared" si="28"/>
        <v>0</v>
      </c>
      <c r="L53" s="452">
        <f t="shared" si="28"/>
        <v>0</v>
      </c>
      <c r="M53" s="452">
        <f t="shared" si="28"/>
        <v>0</v>
      </c>
      <c r="N53" s="452">
        <f t="shared" si="28"/>
        <v>0</v>
      </c>
      <c r="O53" s="453">
        <f t="shared" si="28"/>
        <v>0</v>
      </c>
      <c r="P53" s="412"/>
      <c r="Q53" s="413"/>
      <c r="R53" s="413"/>
      <c r="S53" s="447" t="s">
        <v>430</v>
      </c>
      <c r="T53" s="449"/>
      <c r="U53" s="448"/>
      <c r="V53" s="1449">
        <v>3.5000000000000003E-2</v>
      </c>
      <c r="W53" s="1162"/>
      <c r="X53" s="450"/>
      <c r="Y53" s="1720">
        <f>IFERROR(Z53/'1B'!$L$44,"")</f>
        <v>0</v>
      </c>
      <c r="Z53" s="451">
        <v>0</v>
      </c>
      <c r="AA53" s="452">
        <f t="shared" si="22"/>
        <v>0</v>
      </c>
      <c r="AB53" s="452">
        <f t="shared" si="16"/>
        <v>0</v>
      </c>
      <c r="AC53" s="452">
        <f t="shared" si="17"/>
        <v>0</v>
      </c>
      <c r="AD53" s="452">
        <f t="shared" si="18"/>
        <v>0</v>
      </c>
      <c r="AE53" s="452">
        <f t="shared" si="19"/>
        <v>0</v>
      </c>
      <c r="AF53" s="453">
        <f t="shared" si="20"/>
        <v>0</v>
      </c>
      <c r="AG53" s="412"/>
    </row>
    <row r="54" spans="2:33" x14ac:dyDescent="0.25">
      <c r="B54" s="413"/>
      <c r="C54" s="447" t="s">
        <v>431</v>
      </c>
      <c r="D54" s="448"/>
      <c r="E54" s="449"/>
      <c r="F54" s="1449">
        <v>3.5000000000000003E-2</v>
      </c>
      <c r="G54" s="1731"/>
      <c r="H54" s="1720">
        <f>IFERROR(I54/'1B'!$L$20,"")</f>
        <v>87.5</v>
      </c>
      <c r="I54" s="1732">
        <v>7700</v>
      </c>
      <c r="J54" s="452">
        <f t="shared" ref="J54:O54" si="29">I54+(I54*$F54)</f>
        <v>7969.5</v>
      </c>
      <c r="K54" s="452">
        <f t="shared" si="29"/>
        <v>8248.4325000000008</v>
      </c>
      <c r="L54" s="452">
        <f t="shared" si="29"/>
        <v>8537.1276375000016</v>
      </c>
      <c r="M54" s="452">
        <f t="shared" si="29"/>
        <v>8835.9271048125011</v>
      </c>
      <c r="N54" s="452">
        <f t="shared" si="29"/>
        <v>9145.1845534809381</v>
      </c>
      <c r="O54" s="453">
        <f t="shared" si="29"/>
        <v>9465.2660128527714</v>
      </c>
      <c r="P54" s="412"/>
      <c r="Q54" s="413"/>
      <c r="R54" s="413"/>
      <c r="S54" s="447" t="s">
        <v>431</v>
      </c>
      <c r="T54" s="448"/>
      <c r="U54" s="449"/>
      <c r="V54" s="1449">
        <v>3.5000000000000003E-2</v>
      </c>
      <c r="W54" s="1162"/>
      <c r="X54" s="450"/>
      <c r="Y54" s="1720">
        <f>IFERROR(Z54/'1B'!$L$44,"")</f>
        <v>75</v>
      </c>
      <c r="Z54" s="451">
        <v>3000</v>
      </c>
      <c r="AA54" s="452">
        <f t="shared" si="22"/>
        <v>3105</v>
      </c>
      <c r="AB54" s="452">
        <f t="shared" si="16"/>
        <v>3213.6750000000002</v>
      </c>
      <c r="AC54" s="452">
        <f t="shared" si="17"/>
        <v>3326.1536250000004</v>
      </c>
      <c r="AD54" s="452">
        <f t="shared" si="18"/>
        <v>3442.5690018750006</v>
      </c>
      <c r="AE54" s="452">
        <f t="shared" si="19"/>
        <v>3563.0589169406257</v>
      </c>
      <c r="AF54" s="453">
        <f t="shared" si="20"/>
        <v>3687.7659790335479</v>
      </c>
      <c r="AG54" s="412"/>
    </row>
    <row r="55" spans="2:33" x14ac:dyDescent="0.25">
      <c r="B55" s="413"/>
      <c r="C55" s="447" t="s">
        <v>432</v>
      </c>
      <c r="D55" s="449"/>
      <c r="E55" s="449"/>
      <c r="F55" s="1449">
        <v>3.5000000000000003E-2</v>
      </c>
      <c r="G55" s="450"/>
      <c r="H55" s="1720">
        <f>IFERROR(I55/'1B'!$L$20,"")</f>
        <v>0</v>
      </c>
      <c r="I55" s="1732">
        <v>0</v>
      </c>
      <c r="J55" s="452">
        <f t="shared" ref="J55:O55" si="30">I55+(I55*$F55)</f>
        <v>0</v>
      </c>
      <c r="K55" s="452">
        <f t="shared" si="30"/>
        <v>0</v>
      </c>
      <c r="L55" s="452">
        <f t="shared" si="30"/>
        <v>0</v>
      </c>
      <c r="M55" s="452">
        <f t="shared" si="30"/>
        <v>0</v>
      </c>
      <c r="N55" s="452">
        <f t="shared" si="30"/>
        <v>0</v>
      </c>
      <c r="O55" s="453">
        <f t="shared" si="30"/>
        <v>0</v>
      </c>
      <c r="P55" s="412"/>
      <c r="Q55" s="413"/>
      <c r="R55" s="413"/>
      <c r="S55" s="447" t="s">
        <v>432</v>
      </c>
      <c r="T55" s="449"/>
      <c r="U55" s="449"/>
      <c r="V55" s="1449">
        <v>3.5000000000000003E-2</v>
      </c>
      <c r="W55" s="1162"/>
      <c r="X55" s="450"/>
      <c r="Y55" s="1720">
        <f>IFERROR(Z55/'1B'!$L$44,"")</f>
        <v>0</v>
      </c>
      <c r="Z55" s="451">
        <v>0</v>
      </c>
      <c r="AA55" s="452">
        <f t="shared" si="22"/>
        <v>0</v>
      </c>
      <c r="AB55" s="452">
        <f t="shared" si="16"/>
        <v>0</v>
      </c>
      <c r="AC55" s="452">
        <f t="shared" si="17"/>
        <v>0</v>
      </c>
      <c r="AD55" s="452">
        <f t="shared" si="18"/>
        <v>0</v>
      </c>
      <c r="AE55" s="452">
        <f t="shared" si="19"/>
        <v>0</v>
      </c>
      <c r="AF55" s="453">
        <f t="shared" si="20"/>
        <v>0</v>
      </c>
      <c r="AG55" s="412"/>
    </row>
    <row r="56" spans="2:33" x14ac:dyDescent="0.25">
      <c r="B56" s="413"/>
      <c r="C56" s="447" t="s">
        <v>433</v>
      </c>
      <c r="D56" s="448"/>
      <c r="E56" s="449"/>
      <c r="F56" s="1449">
        <v>3.5000000000000003E-2</v>
      </c>
      <c r="G56" s="1731"/>
      <c r="H56" s="1720">
        <f>IFERROR(I56/'1B'!$L$20,"")</f>
        <v>87.5</v>
      </c>
      <c r="I56" s="1732">
        <v>7700</v>
      </c>
      <c r="J56" s="452">
        <f t="shared" ref="J56:O56" si="31">I56+(I56*$F56)</f>
        <v>7969.5</v>
      </c>
      <c r="K56" s="452">
        <f t="shared" si="31"/>
        <v>8248.4325000000008</v>
      </c>
      <c r="L56" s="452">
        <f t="shared" si="31"/>
        <v>8537.1276375000016</v>
      </c>
      <c r="M56" s="452">
        <f t="shared" si="31"/>
        <v>8835.9271048125011</v>
      </c>
      <c r="N56" s="452">
        <f t="shared" si="31"/>
        <v>9145.1845534809381</v>
      </c>
      <c r="O56" s="453">
        <f t="shared" si="31"/>
        <v>9465.2660128527714</v>
      </c>
      <c r="P56" s="412"/>
      <c r="Q56" s="413"/>
      <c r="R56" s="413"/>
      <c r="S56" s="447" t="s">
        <v>433</v>
      </c>
      <c r="T56" s="448"/>
      <c r="U56" s="449"/>
      <c r="V56" s="1449">
        <v>3.5000000000000003E-2</v>
      </c>
      <c r="W56" s="1162"/>
      <c r="X56" s="450"/>
      <c r="Y56" s="1720">
        <f>IFERROR(Z56/'1B'!$L$44,"")</f>
        <v>75</v>
      </c>
      <c r="Z56" s="451">
        <v>3000</v>
      </c>
      <c r="AA56" s="452">
        <f t="shared" si="22"/>
        <v>3105</v>
      </c>
      <c r="AB56" s="452">
        <f t="shared" si="16"/>
        <v>3213.6750000000002</v>
      </c>
      <c r="AC56" s="452">
        <f t="shared" si="17"/>
        <v>3326.1536250000004</v>
      </c>
      <c r="AD56" s="452">
        <f t="shared" si="18"/>
        <v>3442.5690018750006</v>
      </c>
      <c r="AE56" s="452">
        <f t="shared" si="19"/>
        <v>3563.0589169406257</v>
      </c>
      <c r="AF56" s="453">
        <f t="shared" si="20"/>
        <v>3687.7659790335479</v>
      </c>
      <c r="AG56" s="412"/>
    </row>
    <row r="57" spans="2:33" x14ac:dyDescent="0.25">
      <c r="B57" s="413"/>
      <c r="C57" s="447" t="s">
        <v>434</v>
      </c>
      <c r="D57" s="449"/>
      <c r="E57" s="449"/>
      <c r="F57" s="1449">
        <v>3.5000000000000003E-2</v>
      </c>
      <c r="G57" s="1731"/>
      <c r="H57" s="1720">
        <f>IFERROR(I57/'1B'!$L$20,"")</f>
        <v>146.59090909090909</v>
      </c>
      <c r="I57" s="1732">
        <f>15400-I60</f>
        <v>12900</v>
      </c>
      <c r="J57" s="452">
        <f t="shared" ref="J57:O57" si="32">I57+(I57*$F57)</f>
        <v>13351.5</v>
      </c>
      <c r="K57" s="452">
        <f t="shared" si="32"/>
        <v>13818.8025</v>
      </c>
      <c r="L57" s="452">
        <f t="shared" si="32"/>
        <v>14302.4605875</v>
      </c>
      <c r="M57" s="452">
        <f t="shared" si="32"/>
        <v>14803.0467080625</v>
      </c>
      <c r="N57" s="452">
        <f t="shared" si="32"/>
        <v>15321.153342844687</v>
      </c>
      <c r="O57" s="453">
        <f t="shared" si="32"/>
        <v>15857.393709844251</v>
      </c>
      <c r="P57" s="412"/>
      <c r="Q57" s="413"/>
      <c r="R57" s="413"/>
      <c r="S57" s="447" t="s">
        <v>434</v>
      </c>
      <c r="T57" s="449"/>
      <c r="U57" s="449"/>
      <c r="V57" s="1449">
        <v>3.5000000000000003E-2</v>
      </c>
      <c r="W57" s="1162"/>
      <c r="X57" s="450"/>
      <c r="Y57" s="1720">
        <f>IFERROR(Z57/'1B'!$L$44,"")</f>
        <v>139.5</v>
      </c>
      <c r="Z57" s="451">
        <v>5580</v>
      </c>
      <c r="AA57" s="452">
        <f t="shared" si="22"/>
        <v>5775.3</v>
      </c>
      <c r="AB57" s="452">
        <f t="shared" si="16"/>
        <v>5977.4355000000005</v>
      </c>
      <c r="AC57" s="452">
        <f t="shared" si="17"/>
        <v>6186.6457425000008</v>
      </c>
      <c r="AD57" s="452">
        <f t="shared" si="18"/>
        <v>6403.1783434875006</v>
      </c>
      <c r="AE57" s="452">
        <f t="shared" si="19"/>
        <v>6627.289585509563</v>
      </c>
      <c r="AF57" s="453">
        <f t="shared" si="20"/>
        <v>6859.2447210023975</v>
      </c>
      <c r="AG57" s="412"/>
    </row>
    <row r="58" spans="2:33" x14ac:dyDescent="0.25">
      <c r="B58" s="413"/>
      <c r="C58" s="447" t="s">
        <v>435</v>
      </c>
      <c r="D58" s="449"/>
      <c r="E58" s="449"/>
      <c r="F58" s="1449">
        <v>3.5000000000000003E-2</v>
      </c>
      <c r="G58" s="450"/>
      <c r="H58" s="1720">
        <f>IFERROR(I58/'1B'!$L$20,"")</f>
        <v>0</v>
      </c>
      <c r="I58" s="1732">
        <v>0</v>
      </c>
      <c r="J58" s="452">
        <f t="shared" ref="J58:O58" si="33">I58+(I58*$F58)</f>
        <v>0</v>
      </c>
      <c r="K58" s="452">
        <f t="shared" si="33"/>
        <v>0</v>
      </c>
      <c r="L58" s="452">
        <f t="shared" si="33"/>
        <v>0</v>
      </c>
      <c r="M58" s="452">
        <f t="shared" si="33"/>
        <v>0</v>
      </c>
      <c r="N58" s="452">
        <f t="shared" si="33"/>
        <v>0</v>
      </c>
      <c r="O58" s="453">
        <f t="shared" si="33"/>
        <v>0</v>
      </c>
      <c r="P58" s="412"/>
      <c r="Q58" s="413"/>
      <c r="R58" s="413"/>
      <c r="S58" s="447" t="s">
        <v>435</v>
      </c>
      <c r="T58" s="449"/>
      <c r="U58" s="449"/>
      <c r="V58" s="1449">
        <v>3.5000000000000003E-2</v>
      </c>
      <c r="W58" s="1162"/>
      <c r="X58" s="1731"/>
      <c r="Y58" s="1720">
        <f>IFERROR(Z58/'1B'!$L$44,"")</f>
        <v>0</v>
      </c>
      <c r="Z58" s="451">
        <v>0</v>
      </c>
      <c r="AA58" s="452">
        <f t="shared" si="22"/>
        <v>0</v>
      </c>
      <c r="AB58" s="452">
        <f t="shared" si="16"/>
        <v>0</v>
      </c>
      <c r="AC58" s="452">
        <f t="shared" si="17"/>
        <v>0</v>
      </c>
      <c r="AD58" s="452">
        <f t="shared" si="18"/>
        <v>0</v>
      </c>
      <c r="AE58" s="452">
        <f t="shared" si="19"/>
        <v>0</v>
      </c>
      <c r="AF58" s="453">
        <f t="shared" si="20"/>
        <v>0</v>
      </c>
      <c r="AG58" s="412"/>
    </row>
    <row r="59" spans="2:33" x14ac:dyDescent="0.25">
      <c r="B59" s="413"/>
      <c r="C59" s="447" t="s">
        <v>436</v>
      </c>
      <c r="D59" s="449"/>
      <c r="E59" s="449"/>
      <c r="F59" s="1449">
        <v>3.5000000000000003E-2</v>
      </c>
      <c r="G59" s="450"/>
      <c r="H59" s="1720">
        <f>IFERROR(I59/'1B'!$L$20,"")</f>
        <v>0</v>
      </c>
      <c r="I59" s="1732">
        <v>0</v>
      </c>
      <c r="J59" s="452">
        <f t="shared" ref="J59:O59" si="34">I59+(I59*$F59)</f>
        <v>0</v>
      </c>
      <c r="K59" s="452">
        <f t="shared" si="34"/>
        <v>0</v>
      </c>
      <c r="L59" s="452">
        <f t="shared" si="34"/>
        <v>0</v>
      </c>
      <c r="M59" s="452">
        <f t="shared" si="34"/>
        <v>0</v>
      </c>
      <c r="N59" s="452">
        <f t="shared" si="34"/>
        <v>0</v>
      </c>
      <c r="O59" s="453">
        <f t="shared" si="34"/>
        <v>0</v>
      </c>
      <c r="P59" s="412"/>
      <c r="Q59" s="413"/>
      <c r="R59" s="413"/>
      <c r="S59" s="447" t="s">
        <v>436</v>
      </c>
      <c r="T59" s="449"/>
      <c r="U59" s="449"/>
      <c r="V59" s="1449">
        <v>3.5000000000000003E-2</v>
      </c>
      <c r="W59" s="1162"/>
      <c r="X59" s="450"/>
      <c r="Y59" s="1720">
        <f>IFERROR(Z59/'1B'!$L$44,"")</f>
        <v>0</v>
      </c>
      <c r="Z59" s="451">
        <v>0</v>
      </c>
      <c r="AA59" s="452">
        <f t="shared" si="22"/>
        <v>0</v>
      </c>
      <c r="AB59" s="452">
        <f t="shared" si="16"/>
        <v>0</v>
      </c>
      <c r="AC59" s="452">
        <f t="shared" si="17"/>
        <v>0</v>
      </c>
      <c r="AD59" s="452">
        <f t="shared" si="18"/>
        <v>0</v>
      </c>
      <c r="AE59" s="452">
        <f t="shared" si="19"/>
        <v>0</v>
      </c>
      <c r="AF59" s="453">
        <f t="shared" si="20"/>
        <v>0</v>
      </c>
      <c r="AG59" s="412"/>
    </row>
    <row r="60" spans="2:33" x14ac:dyDescent="0.25">
      <c r="B60" s="413"/>
      <c r="C60" s="447" t="s">
        <v>437</v>
      </c>
      <c r="D60" s="449"/>
      <c r="E60" s="449"/>
      <c r="F60" s="1449">
        <v>3.5000000000000003E-2</v>
      </c>
      <c r="G60" s="1731"/>
      <c r="H60" s="1720">
        <f>IFERROR(I60/'1B'!$L$20,"")</f>
        <v>28.40909090909091</v>
      </c>
      <c r="I60" s="1732">
        <v>2500</v>
      </c>
      <c r="J60" s="452">
        <f t="shared" ref="J60:O60" si="35">I60+(I60*$F60)</f>
        <v>2587.5</v>
      </c>
      <c r="K60" s="452">
        <f t="shared" si="35"/>
        <v>2678.0625</v>
      </c>
      <c r="L60" s="452">
        <f t="shared" si="35"/>
        <v>2771.7946874999998</v>
      </c>
      <c r="M60" s="452">
        <f t="shared" si="35"/>
        <v>2868.8075015625</v>
      </c>
      <c r="N60" s="452">
        <f t="shared" si="35"/>
        <v>2969.2157641171875</v>
      </c>
      <c r="O60" s="453">
        <f t="shared" si="35"/>
        <v>3073.1383158612889</v>
      </c>
      <c r="P60" s="412"/>
      <c r="Q60" s="413"/>
      <c r="R60" s="413"/>
      <c r="S60" s="447" t="s">
        <v>437</v>
      </c>
      <c r="T60" s="449"/>
      <c r="U60" s="449"/>
      <c r="V60" s="1449">
        <v>3.5000000000000003E-2</v>
      </c>
      <c r="W60" s="1162"/>
      <c r="X60" s="450"/>
      <c r="Y60" s="1720">
        <f>IFERROR(Z60/'1B'!$L$44,"")</f>
        <v>62.5</v>
      </c>
      <c r="Z60" s="451">
        <v>2500</v>
      </c>
      <c r="AA60" s="452">
        <f t="shared" si="22"/>
        <v>2587.5</v>
      </c>
      <c r="AB60" s="452">
        <f t="shared" si="16"/>
        <v>2678.0625</v>
      </c>
      <c r="AC60" s="452">
        <f t="shared" si="17"/>
        <v>2771.7946874999998</v>
      </c>
      <c r="AD60" s="452">
        <f t="shared" si="18"/>
        <v>2868.8075015625</v>
      </c>
      <c r="AE60" s="452">
        <f t="shared" si="19"/>
        <v>2969.2157641171875</v>
      </c>
      <c r="AF60" s="453">
        <f t="shared" si="20"/>
        <v>3073.1383158612889</v>
      </c>
      <c r="AG60" s="412"/>
    </row>
    <row r="61" spans="2:33" x14ac:dyDescent="0.25">
      <c r="B61" s="413"/>
      <c r="C61" s="447" t="s">
        <v>438</v>
      </c>
      <c r="D61" s="448"/>
      <c r="E61" s="449"/>
      <c r="F61" s="1449">
        <v>3.5000000000000003E-2</v>
      </c>
      <c r="G61" s="450"/>
      <c r="H61" s="1720">
        <f>IFERROR(I61/'1B'!$L$20,"")</f>
        <v>957</v>
      </c>
      <c r="I61" s="1732">
        <f>28600+55616</f>
        <v>84216</v>
      </c>
      <c r="J61" s="452">
        <f t="shared" ref="J61:O61" si="36">I61+(I61*$F61)</f>
        <v>87163.56</v>
      </c>
      <c r="K61" s="452">
        <f t="shared" si="36"/>
        <v>90214.284599999999</v>
      </c>
      <c r="L61" s="452">
        <f t="shared" si="36"/>
        <v>93371.784560999993</v>
      </c>
      <c r="M61" s="452">
        <f t="shared" si="36"/>
        <v>96639.797020635</v>
      </c>
      <c r="N61" s="452">
        <f t="shared" si="36"/>
        <v>100022.18991635722</v>
      </c>
      <c r="O61" s="453">
        <f t="shared" si="36"/>
        <v>103522.96656342973</v>
      </c>
      <c r="P61" s="412"/>
      <c r="Q61" s="413"/>
      <c r="R61" s="413"/>
      <c r="S61" s="447" t="s">
        <v>438</v>
      </c>
      <c r="T61" s="448"/>
      <c r="U61" s="449"/>
      <c r="V61" s="1449">
        <v>3.5000000000000003E-2</v>
      </c>
      <c r="W61" s="1162"/>
      <c r="X61" s="450"/>
      <c r="Y61" s="1720">
        <f>IFERROR(Z61/'1B'!$L$44,"")</f>
        <v>1100</v>
      </c>
      <c r="Z61" s="451">
        <f>16000+28000</f>
        <v>44000</v>
      </c>
      <c r="AA61" s="452">
        <f t="shared" si="22"/>
        <v>45540</v>
      </c>
      <c r="AB61" s="452">
        <f t="shared" si="16"/>
        <v>47133.9</v>
      </c>
      <c r="AC61" s="452">
        <f t="shared" si="17"/>
        <v>48783.586500000005</v>
      </c>
      <c r="AD61" s="452">
        <f t="shared" si="18"/>
        <v>50491.012027500008</v>
      </c>
      <c r="AE61" s="452">
        <f t="shared" si="19"/>
        <v>52258.19744846251</v>
      </c>
      <c r="AF61" s="453">
        <f t="shared" si="20"/>
        <v>54087.234359158698</v>
      </c>
      <c r="AG61" s="412"/>
    </row>
    <row r="62" spans="2:33" x14ac:dyDescent="0.25">
      <c r="B62" s="413"/>
      <c r="C62" s="447" t="s">
        <v>439</v>
      </c>
      <c r="D62" s="448"/>
      <c r="E62" s="449"/>
      <c r="F62" s="1449">
        <v>3.5000000000000003E-2</v>
      </c>
      <c r="G62" s="450"/>
      <c r="H62" s="1720">
        <f>IFERROR(I62/'1B'!$L$20,"")</f>
        <v>200</v>
      </c>
      <c r="I62" s="1732">
        <v>17600</v>
      </c>
      <c r="J62" s="452">
        <f t="shared" ref="J62:O62" si="37">I62+(I62*$F62)</f>
        <v>18216</v>
      </c>
      <c r="K62" s="452">
        <f t="shared" si="37"/>
        <v>18853.560000000001</v>
      </c>
      <c r="L62" s="452">
        <f t="shared" si="37"/>
        <v>19513.434600000001</v>
      </c>
      <c r="M62" s="452">
        <f t="shared" si="37"/>
        <v>20196.404811</v>
      </c>
      <c r="N62" s="452">
        <f t="shared" si="37"/>
        <v>20903.278979384999</v>
      </c>
      <c r="O62" s="453">
        <f t="shared" si="37"/>
        <v>21634.893743663473</v>
      </c>
      <c r="P62" s="412"/>
      <c r="Q62" s="413"/>
      <c r="R62" s="413"/>
      <c r="S62" s="447" t="s">
        <v>439</v>
      </c>
      <c r="T62" s="448"/>
      <c r="U62" s="449"/>
      <c r="V62" s="1449">
        <v>3.5000000000000003E-2</v>
      </c>
      <c r="W62" s="1162"/>
      <c r="X62" s="450"/>
      <c r="Y62" s="1720">
        <f>IFERROR(Z62/'1B'!$L$44,"")</f>
        <v>315</v>
      </c>
      <c r="Z62" s="451">
        <v>12600</v>
      </c>
      <c r="AA62" s="452">
        <f t="shared" si="22"/>
        <v>13041</v>
      </c>
      <c r="AB62" s="452">
        <f t="shared" si="16"/>
        <v>13497.434999999999</v>
      </c>
      <c r="AC62" s="452">
        <f t="shared" si="17"/>
        <v>13969.845224999999</v>
      </c>
      <c r="AD62" s="452">
        <f t="shared" si="18"/>
        <v>14458.789807874999</v>
      </c>
      <c r="AE62" s="452">
        <f t="shared" si="19"/>
        <v>14964.847451150623</v>
      </c>
      <c r="AF62" s="453">
        <f t="shared" si="20"/>
        <v>15488.617111940895</v>
      </c>
      <c r="AG62" s="412"/>
    </row>
    <row r="63" spans="2:33" x14ac:dyDescent="0.25">
      <c r="B63" s="454"/>
      <c r="C63" s="447" t="s">
        <v>440</v>
      </c>
      <c r="D63" s="448"/>
      <c r="E63" s="449"/>
      <c r="F63" s="1449">
        <v>3.5000000000000003E-2</v>
      </c>
      <c r="G63" s="450"/>
      <c r="H63" s="1720">
        <f>IFERROR(I63/'1B'!$L$20,"")</f>
        <v>200</v>
      </c>
      <c r="I63" s="1732">
        <v>17600</v>
      </c>
      <c r="J63" s="452">
        <f t="shared" ref="J63:O63" si="38">I63+(I63*$F63)</f>
        <v>18216</v>
      </c>
      <c r="K63" s="452">
        <f t="shared" si="38"/>
        <v>18853.560000000001</v>
      </c>
      <c r="L63" s="452">
        <f t="shared" si="38"/>
        <v>19513.434600000001</v>
      </c>
      <c r="M63" s="452">
        <f t="shared" si="38"/>
        <v>20196.404811</v>
      </c>
      <c r="N63" s="452">
        <f t="shared" si="38"/>
        <v>20903.278979384999</v>
      </c>
      <c r="O63" s="453">
        <f t="shared" si="38"/>
        <v>21634.893743663473</v>
      </c>
      <c r="P63" s="455"/>
      <c r="Q63" s="454"/>
      <c r="R63" s="454"/>
      <c r="S63" s="447" t="s">
        <v>440</v>
      </c>
      <c r="T63" s="448"/>
      <c r="U63" s="449"/>
      <c r="V63" s="1449">
        <v>3.5000000000000003E-2</v>
      </c>
      <c r="W63" s="1162"/>
      <c r="X63" s="450"/>
      <c r="Y63" s="1720">
        <f>IFERROR(Z63/'1B'!$L$44,"")</f>
        <v>275</v>
      </c>
      <c r="Z63" s="451">
        <v>11000</v>
      </c>
      <c r="AA63" s="452">
        <f t="shared" si="22"/>
        <v>11385</v>
      </c>
      <c r="AB63" s="452">
        <f t="shared" si="16"/>
        <v>11783.475</v>
      </c>
      <c r="AC63" s="452">
        <f t="shared" si="17"/>
        <v>12195.896625000001</v>
      </c>
      <c r="AD63" s="452">
        <f t="shared" si="18"/>
        <v>12622.753006875002</v>
      </c>
      <c r="AE63" s="452">
        <f t="shared" si="19"/>
        <v>13064.549362115627</v>
      </c>
      <c r="AF63" s="453">
        <f t="shared" si="20"/>
        <v>13521.808589789674</v>
      </c>
      <c r="AG63" s="455"/>
    </row>
    <row r="64" spans="2:33" x14ac:dyDescent="0.25">
      <c r="B64" s="413"/>
      <c r="C64" s="447" t="s">
        <v>441</v>
      </c>
      <c r="D64" s="449"/>
      <c r="E64" s="449"/>
      <c r="F64" s="1449">
        <v>3.5000000000000003E-2</v>
      </c>
      <c r="G64" s="450"/>
      <c r="H64" s="1720">
        <f>IFERROR(I64/'1B'!$L$20,"")</f>
        <v>160</v>
      </c>
      <c r="I64" s="1732">
        <v>14080</v>
      </c>
      <c r="J64" s="452">
        <f t="shared" ref="J64:O64" si="39">I64+(I64*$F64)</f>
        <v>14572.8</v>
      </c>
      <c r="K64" s="452">
        <f t="shared" si="39"/>
        <v>15082.848</v>
      </c>
      <c r="L64" s="452">
        <f t="shared" si="39"/>
        <v>15610.74768</v>
      </c>
      <c r="M64" s="452">
        <f t="shared" si="39"/>
        <v>16157.1238488</v>
      </c>
      <c r="N64" s="452">
        <f t="shared" si="39"/>
        <v>16722.623183508</v>
      </c>
      <c r="O64" s="453">
        <f t="shared" si="39"/>
        <v>17307.914994930779</v>
      </c>
      <c r="P64" s="412"/>
      <c r="Q64" s="413"/>
      <c r="R64" s="413"/>
      <c r="S64" s="447" t="s">
        <v>441</v>
      </c>
      <c r="T64" s="449"/>
      <c r="U64" s="449"/>
      <c r="V64" s="1449">
        <v>3.5000000000000003E-2</v>
      </c>
      <c r="W64" s="1162"/>
      <c r="X64" s="450"/>
      <c r="Y64" s="1720">
        <f>IFERROR(Z64/'1B'!$L$44,"")</f>
        <v>200</v>
      </c>
      <c r="Z64" s="451">
        <v>8000</v>
      </c>
      <c r="AA64" s="452">
        <f t="shared" si="22"/>
        <v>8280</v>
      </c>
      <c r="AB64" s="452">
        <f t="shared" si="16"/>
        <v>8569.7999999999993</v>
      </c>
      <c r="AC64" s="452">
        <f t="shared" si="17"/>
        <v>8869.7429999999986</v>
      </c>
      <c r="AD64" s="452">
        <f t="shared" si="18"/>
        <v>9180.1840049999992</v>
      </c>
      <c r="AE64" s="452">
        <f t="shared" si="19"/>
        <v>9501.490445174999</v>
      </c>
      <c r="AF64" s="453">
        <f t="shared" si="20"/>
        <v>9834.0426107561234</v>
      </c>
      <c r="AG64" s="412"/>
    </row>
    <row r="65" spans="2:33" x14ac:dyDescent="0.25">
      <c r="B65" s="413"/>
      <c r="C65" s="447" t="s">
        <v>442</v>
      </c>
      <c r="D65" s="449"/>
      <c r="E65" s="449"/>
      <c r="F65" s="1449">
        <v>3.5000000000000003E-2</v>
      </c>
      <c r="G65" s="450"/>
      <c r="H65" s="1720">
        <f>IFERROR(I65/'1B'!$L$20,"")</f>
        <v>100</v>
      </c>
      <c r="I65" s="1732">
        <v>8800</v>
      </c>
      <c r="J65" s="452">
        <f t="shared" ref="J65:O65" si="40">I65+(I65*$F65)</f>
        <v>9108</v>
      </c>
      <c r="K65" s="452">
        <f t="shared" si="40"/>
        <v>9426.7800000000007</v>
      </c>
      <c r="L65" s="452">
        <f t="shared" si="40"/>
        <v>9756.7173000000003</v>
      </c>
      <c r="M65" s="452">
        <f t="shared" si="40"/>
        <v>10098.2024055</v>
      </c>
      <c r="N65" s="452">
        <f t="shared" si="40"/>
        <v>10451.639489692499</v>
      </c>
      <c r="O65" s="453">
        <f t="shared" si="40"/>
        <v>10817.446871831737</v>
      </c>
      <c r="P65" s="412"/>
      <c r="Q65" s="413"/>
      <c r="R65" s="413"/>
      <c r="S65" s="447" t="s">
        <v>442</v>
      </c>
      <c r="T65" s="449"/>
      <c r="U65" s="449"/>
      <c r="V65" s="1449">
        <v>3.5000000000000003E-2</v>
      </c>
      <c r="W65" s="1162"/>
      <c r="X65" s="450"/>
      <c r="Y65" s="1720">
        <f>IFERROR(Z65/'1B'!$L$44,"")</f>
        <v>100</v>
      </c>
      <c r="Z65" s="451">
        <v>4000</v>
      </c>
      <c r="AA65" s="452">
        <f t="shared" si="22"/>
        <v>4140</v>
      </c>
      <c r="AB65" s="452">
        <f t="shared" si="16"/>
        <v>4284.8999999999996</v>
      </c>
      <c r="AC65" s="452">
        <f t="shared" si="17"/>
        <v>4434.8714999999993</v>
      </c>
      <c r="AD65" s="452">
        <f t="shared" si="18"/>
        <v>4590.0920024999996</v>
      </c>
      <c r="AE65" s="452">
        <f t="shared" si="19"/>
        <v>4750.7452225874995</v>
      </c>
      <c r="AF65" s="453">
        <f t="shared" si="20"/>
        <v>4917.0213053780617</v>
      </c>
      <c r="AG65" s="412"/>
    </row>
    <row r="66" spans="2:33" ht="15.75" thickBot="1" x14ac:dyDescent="0.3">
      <c r="B66" s="413"/>
      <c r="C66" s="456" t="s">
        <v>240</v>
      </c>
      <c r="D66" s="457"/>
      <c r="E66" s="458"/>
      <c r="F66" s="1450">
        <v>0</v>
      </c>
      <c r="G66" s="450"/>
      <c r="H66" s="1721">
        <f>IFERROR(I66/'1B'!$L$20,"")</f>
        <v>266.71590909090907</v>
      </c>
      <c r="I66" s="1733">
        <f>14516+8955</f>
        <v>23471</v>
      </c>
      <c r="J66" s="460">
        <f t="shared" ref="J66:O66" si="41">I66+(I66*$F66)</f>
        <v>23471</v>
      </c>
      <c r="K66" s="460">
        <f t="shared" si="41"/>
        <v>23471</v>
      </c>
      <c r="L66" s="460">
        <f>K66+(K66*$F66)</f>
        <v>23471</v>
      </c>
      <c r="M66" s="460">
        <f t="shared" si="41"/>
        <v>23471</v>
      </c>
      <c r="N66" s="460">
        <f t="shared" si="41"/>
        <v>23471</v>
      </c>
      <c r="O66" s="461">
        <f t="shared" si="41"/>
        <v>23471</v>
      </c>
      <c r="P66" s="412"/>
      <c r="Q66" s="413"/>
      <c r="R66" s="413"/>
      <c r="S66" s="456" t="s">
        <v>240</v>
      </c>
      <c r="T66" s="457"/>
      <c r="U66" s="458"/>
      <c r="V66" s="1450">
        <v>0</v>
      </c>
      <c r="W66" s="1162"/>
      <c r="X66" s="450"/>
      <c r="Y66" s="1721">
        <f>IFERROR(Z66/'1B'!$L$44,"")</f>
        <v>45</v>
      </c>
      <c r="Z66" s="459">
        <f>1800</f>
        <v>1800</v>
      </c>
      <c r="AA66" s="460">
        <f t="shared" si="22"/>
        <v>1800</v>
      </c>
      <c r="AB66" s="460">
        <f t="shared" si="16"/>
        <v>1800</v>
      </c>
      <c r="AC66" s="460">
        <f>AB66+(AB66*$F66)</f>
        <v>1800</v>
      </c>
      <c r="AD66" s="460">
        <f t="shared" si="18"/>
        <v>1800</v>
      </c>
      <c r="AE66" s="460">
        <f t="shared" si="19"/>
        <v>1800</v>
      </c>
      <c r="AF66" s="461">
        <f t="shared" si="20"/>
        <v>1800</v>
      </c>
      <c r="AG66" s="412"/>
    </row>
    <row r="67" spans="2:33" ht="15.75" thickBot="1" x14ac:dyDescent="0.3">
      <c r="B67" s="413"/>
      <c r="C67" s="370" t="s">
        <v>443</v>
      </c>
      <c r="D67" s="428"/>
      <c r="E67" s="411"/>
      <c r="F67" s="429"/>
      <c r="G67" s="1730"/>
      <c r="H67" s="1721">
        <f>IFERROR(I67/'1B'!$L$20,"")</f>
        <v>5772.965909090909</v>
      </c>
      <c r="I67" s="364">
        <f>SUM(I46:I66)</f>
        <v>508021</v>
      </c>
      <c r="J67" s="365">
        <f t="shared" ref="J67:O67" si="42">SUM(J46:J66)</f>
        <v>524980.25</v>
      </c>
      <c r="K67" s="365">
        <f t="shared" si="42"/>
        <v>542533.07374999998</v>
      </c>
      <c r="L67" s="365">
        <f t="shared" si="42"/>
        <v>560700.24633125006</v>
      </c>
      <c r="M67" s="365">
        <f t="shared" si="42"/>
        <v>579503.26995284378</v>
      </c>
      <c r="N67" s="365">
        <f t="shared" si="42"/>
        <v>598964.39940119337</v>
      </c>
      <c r="O67" s="366">
        <f t="shared" si="42"/>
        <v>619106.66838023497</v>
      </c>
      <c r="P67" s="412"/>
      <c r="Q67" s="413"/>
      <c r="R67" s="413"/>
      <c r="S67" s="370" t="s">
        <v>443</v>
      </c>
      <c r="T67" s="428"/>
      <c r="U67" s="411"/>
      <c r="V67" s="429"/>
      <c r="W67" s="429"/>
      <c r="X67" s="411"/>
      <c r="Y67" s="1721">
        <f>IFERROR(Z67/'1B'!$L$44,"")</f>
        <v>6074.75</v>
      </c>
      <c r="Z67" s="364">
        <f>SUM(Z46:Z66)</f>
        <v>242990</v>
      </c>
      <c r="AA67" s="365">
        <f t="shared" ref="AA67:AF67" si="43">SUM(AA46:AA66)</f>
        <v>251431.65</v>
      </c>
      <c r="AB67" s="365">
        <f t="shared" si="43"/>
        <v>260168.75774999996</v>
      </c>
      <c r="AC67" s="365">
        <f t="shared" si="43"/>
        <v>269211.66427125002</v>
      </c>
      <c r="AD67" s="365">
        <f t="shared" si="43"/>
        <v>278571.07252074376</v>
      </c>
      <c r="AE67" s="365">
        <f t="shared" si="43"/>
        <v>288258.06005896971</v>
      </c>
      <c r="AF67" s="366">
        <f t="shared" si="43"/>
        <v>298284.09216103371</v>
      </c>
      <c r="AG67" s="412"/>
    </row>
    <row r="68" spans="2:33" ht="15.75" thickBot="1" x14ac:dyDescent="0.3">
      <c r="B68" s="413"/>
      <c r="C68" s="370"/>
      <c r="D68" s="428"/>
      <c r="E68" s="411"/>
      <c r="F68" s="437" t="s">
        <v>408</v>
      </c>
      <c r="G68" s="1722"/>
      <c r="H68" s="1722"/>
      <c r="I68" s="367"/>
      <c r="J68" s="368"/>
      <c r="K68" s="368"/>
      <c r="L68" s="1978"/>
      <c r="M68" s="368"/>
      <c r="N68" s="368"/>
      <c r="O68" s="369"/>
      <c r="P68" s="412"/>
      <c r="Q68" s="413"/>
      <c r="R68" s="413"/>
      <c r="S68" s="370"/>
      <c r="T68" s="428"/>
      <c r="U68" s="411"/>
      <c r="V68" s="2007" t="s">
        <v>408</v>
      </c>
      <c r="W68" s="438"/>
      <c r="X68" s="411"/>
      <c r="Y68" s="2008"/>
      <c r="Z68" s="367"/>
      <c r="AA68" s="368"/>
      <c r="AB68" s="368"/>
      <c r="AC68" s="368"/>
      <c r="AD68" s="368"/>
      <c r="AE68" s="368"/>
      <c r="AF68" s="369"/>
      <c r="AG68" s="412"/>
    </row>
    <row r="69" spans="2:33" x14ac:dyDescent="0.25">
      <c r="B69" s="446"/>
      <c r="C69" s="462" t="s">
        <v>444</v>
      </c>
      <c r="D69" s="463"/>
      <c r="E69" s="442"/>
      <c r="F69" s="1438">
        <v>3.5000000000000003E-2</v>
      </c>
      <c r="G69" s="442"/>
      <c r="H69" s="1719">
        <f>IFERROR(I69/'1B'!$L$20,"")</f>
        <v>350</v>
      </c>
      <c r="I69" s="464">
        <f>350*88</f>
        <v>30800</v>
      </c>
      <c r="J69" s="452">
        <f t="shared" ref="J69:O69" si="44">I69+(I69*$F69)</f>
        <v>31878</v>
      </c>
      <c r="K69" s="452">
        <f t="shared" si="44"/>
        <v>32993.730000000003</v>
      </c>
      <c r="L69" s="452">
        <f t="shared" si="44"/>
        <v>34148.510550000006</v>
      </c>
      <c r="M69" s="452">
        <f t="shared" si="44"/>
        <v>35343.708419250004</v>
      </c>
      <c r="N69" s="452">
        <f t="shared" si="44"/>
        <v>36580.738213923752</v>
      </c>
      <c r="O69" s="453">
        <f t="shared" si="44"/>
        <v>37861.064051411086</v>
      </c>
      <c r="P69" s="412"/>
      <c r="Q69" s="446"/>
      <c r="R69" s="446"/>
      <c r="S69" s="462" t="s">
        <v>444</v>
      </c>
      <c r="T69" s="463"/>
      <c r="U69" s="442"/>
      <c r="V69" s="2005">
        <v>3.5000000000000003E-2</v>
      </c>
      <c r="W69" s="1164"/>
      <c r="X69" s="442"/>
      <c r="Y69" s="1719">
        <f>IFERROR(Z69/'1B'!$L$44,"")</f>
        <v>350</v>
      </c>
      <c r="Z69" s="464">
        <v>14000</v>
      </c>
      <c r="AA69" s="452">
        <f t="shared" ref="AA69:AF70" si="45">Z69+(Z69*$F69)</f>
        <v>14490</v>
      </c>
      <c r="AB69" s="452">
        <f t="shared" si="45"/>
        <v>14997.15</v>
      </c>
      <c r="AC69" s="452">
        <f t="shared" si="45"/>
        <v>15522.05025</v>
      </c>
      <c r="AD69" s="452">
        <f t="shared" si="45"/>
        <v>16065.322008749999</v>
      </c>
      <c r="AE69" s="452">
        <f t="shared" si="45"/>
        <v>16627.60827905625</v>
      </c>
      <c r="AF69" s="453">
        <f t="shared" si="45"/>
        <v>17209.57456882322</v>
      </c>
      <c r="AG69" s="412"/>
    </row>
    <row r="70" spans="2:33" ht="15.75" thickBot="1" x14ac:dyDescent="0.3">
      <c r="B70" s="446"/>
      <c r="C70" s="465" t="s">
        <v>445</v>
      </c>
      <c r="D70" s="457"/>
      <c r="E70" s="458"/>
      <c r="F70" s="1451">
        <v>3.5000000000000003E-2</v>
      </c>
      <c r="G70" s="450"/>
      <c r="H70" s="1721">
        <f>IFERROR(I70/'1B'!$L$20,"")</f>
        <v>0</v>
      </c>
      <c r="I70" s="675">
        <v>0</v>
      </c>
      <c r="J70" s="460">
        <f t="shared" ref="J70:O70" si="46">I70+(I70*$F70)</f>
        <v>0</v>
      </c>
      <c r="K70" s="460">
        <f t="shared" si="46"/>
        <v>0</v>
      </c>
      <c r="L70" s="460">
        <f t="shared" si="46"/>
        <v>0</v>
      </c>
      <c r="M70" s="460">
        <f t="shared" si="46"/>
        <v>0</v>
      </c>
      <c r="N70" s="460">
        <f t="shared" si="46"/>
        <v>0</v>
      </c>
      <c r="O70" s="461">
        <f t="shared" si="46"/>
        <v>0</v>
      </c>
      <c r="P70" s="412"/>
      <c r="Q70" s="446"/>
      <c r="R70" s="446"/>
      <c r="S70" s="465" t="s">
        <v>445</v>
      </c>
      <c r="T70" s="457"/>
      <c r="U70" s="458"/>
      <c r="V70" s="1451">
        <v>3.5000000000000003E-2</v>
      </c>
      <c r="W70" s="1162"/>
      <c r="X70" s="450"/>
      <c r="Y70" s="1721">
        <f>IFERROR(Z70/'1B'!$L$44,"")</f>
        <v>0</v>
      </c>
      <c r="Z70" s="675">
        <v>0</v>
      </c>
      <c r="AA70" s="460">
        <f t="shared" si="45"/>
        <v>0</v>
      </c>
      <c r="AB70" s="460">
        <f t="shared" si="45"/>
        <v>0</v>
      </c>
      <c r="AC70" s="460">
        <f t="shared" si="45"/>
        <v>0</v>
      </c>
      <c r="AD70" s="460">
        <f t="shared" si="45"/>
        <v>0</v>
      </c>
      <c r="AE70" s="460">
        <f t="shared" si="45"/>
        <v>0</v>
      </c>
      <c r="AF70" s="461">
        <f t="shared" si="45"/>
        <v>0</v>
      </c>
      <c r="AG70" s="412"/>
    </row>
    <row r="71" spans="2:33" x14ac:dyDescent="0.25">
      <c r="B71" s="446"/>
      <c r="C71" s="370" t="s">
        <v>446</v>
      </c>
      <c r="D71" s="428"/>
      <c r="E71" s="428"/>
      <c r="F71" s="428"/>
      <c r="G71" s="411"/>
      <c r="H71" s="1723">
        <f>IFERROR(I71/'1B'!$L$20,"")</f>
        <v>350</v>
      </c>
      <c r="I71" s="364">
        <f>SUM(I69:I70)</f>
        <v>30800</v>
      </c>
      <c r="J71" s="365">
        <f t="shared" ref="J71:O71" si="47">SUM(J69:J70)</f>
        <v>31878</v>
      </c>
      <c r="K71" s="365">
        <f t="shared" si="47"/>
        <v>32993.730000000003</v>
      </c>
      <c r="L71" s="365">
        <f t="shared" si="47"/>
        <v>34148.510550000006</v>
      </c>
      <c r="M71" s="365">
        <f t="shared" si="47"/>
        <v>35343.708419250004</v>
      </c>
      <c r="N71" s="365">
        <f t="shared" si="47"/>
        <v>36580.738213923752</v>
      </c>
      <c r="O71" s="366">
        <f t="shared" si="47"/>
        <v>37861.064051411086</v>
      </c>
      <c r="P71" s="412"/>
      <c r="Q71" s="446"/>
      <c r="R71" s="446"/>
      <c r="S71" s="370" t="s">
        <v>446</v>
      </c>
      <c r="T71" s="428"/>
      <c r="U71" s="428"/>
      <c r="V71" s="428"/>
      <c r="W71" s="428"/>
      <c r="X71" s="411"/>
      <c r="Y71" s="1723">
        <f>IFERROR(Z71/'1B'!$L$44,"")</f>
        <v>350</v>
      </c>
      <c r="Z71" s="364">
        <f>SUM(Z69:Z70)</f>
        <v>14000</v>
      </c>
      <c r="AA71" s="365">
        <f t="shared" ref="AA71:AF71" si="48">SUM(AA69:AA70)</f>
        <v>14490</v>
      </c>
      <c r="AB71" s="365">
        <f t="shared" si="48"/>
        <v>14997.15</v>
      </c>
      <c r="AC71" s="365">
        <f t="shared" si="48"/>
        <v>15522.05025</v>
      </c>
      <c r="AD71" s="365">
        <f t="shared" si="48"/>
        <v>16065.322008749999</v>
      </c>
      <c r="AE71" s="365">
        <f t="shared" si="48"/>
        <v>16627.60827905625</v>
      </c>
      <c r="AF71" s="366">
        <f t="shared" si="48"/>
        <v>17209.57456882322</v>
      </c>
      <c r="AG71" s="412"/>
    </row>
    <row r="72" spans="2:33" ht="7.5" customHeight="1" thickBot="1" x14ac:dyDescent="0.3">
      <c r="B72" s="446"/>
      <c r="C72" s="370"/>
      <c r="D72" s="428"/>
      <c r="E72" s="428"/>
      <c r="F72" s="428"/>
      <c r="G72" s="411"/>
      <c r="H72" s="1723"/>
      <c r="I72" s="367"/>
      <c r="J72" s="368"/>
      <c r="K72" s="368"/>
      <c r="L72" s="368"/>
      <c r="M72" s="368"/>
      <c r="N72" s="368"/>
      <c r="O72" s="369"/>
      <c r="P72" s="412"/>
      <c r="Q72" s="446"/>
      <c r="R72" s="446"/>
      <c r="S72" s="370"/>
      <c r="T72" s="428"/>
      <c r="U72" s="428"/>
      <c r="V72" s="428"/>
      <c r="W72" s="428"/>
      <c r="X72" s="411"/>
      <c r="Y72" s="1723"/>
      <c r="Z72" s="367"/>
      <c r="AA72" s="368"/>
      <c r="AB72" s="368"/>
      <c r="AC72" s="368"/>
      <c r="AD72" s="368"/>
      <c r="AE72" s="368"/>
      <c r="AF72" s="369"/>
      <c r="AG72" s="412"/>
    </row>
    <row r="73" spans="2:33" ht="15.75" thickBot="1" x14ac:dyDescent="0.3">
      <c r="B73" s="413"/>
      <c r="C73" s="370" t="s">
        <v>447</v>
      </c>
      <c r="D73" s="428"/>
      <c r="E73" s="239"/>
      <c r="F73" s="1452">
        <v>3.5000000000000003E-2</v>
      </c>
      <c r="G73" s="442"/>
      <c r="H73" s="1724">
        <f>IFERROR(I73/'1B'!$L$20,"")</f>
        <v>737.45454545454527</v>
      </c>
      <c r="I73" s="371">
        <f>'8D'!K43</f>
        <v>64895.999999999985</v>
      </c>
      <c r="J73" s="467">
        <f>I73+(I73*$F73)</f>
        <v>67167.359999999986</v>
      </c>
      <c r="K73" s="467">
        <f t="shared" ref="K73:O75" si="49">J73+(J73*$F73)</f>
        <v>69518.217599999989</v>
      </c>
      <c r="L73" s="467">
        <f t="shared" si="49"/>
        <v>71951.355215999996</v>
      </c>
      <c r="M73" s="467">
        <f t="shared" si="49"/>
        <v>74469.65264855999</v>
      </c>
      <c r="N73" s="467">
        <f t="shared" si="49"/>
        <v>77076.090491259587</v>
      </c>
      <c r="O73" s="468">
        <f t="shared" si="49"/>
        <v>79773.753658453672</v>
      </c>
      <c r="P73" s="412"/>
      <c r="Q73" s="413"/>
      <c r="R73" s="413"/>
      <c r="S73" s="370" t="s">
        <v>447</v>
      </c>
      <c r="T73" s="428"/>
      <c r="U73" s="239"/>
      <c r="V73" s="1452">
        <v>3.5000000000000003E-2</v>
      </c>
      <c r="W73" s="1165"/>
      <c r="X73" s="442"/>
      <c r="Y73" s="1724">
        <f>IFERROR(Z73/'1B'!$L$44,"")</f>
        <v>0</v>
      </c>
      <c r="Z73" s="371">
        <f>'8D'!AA43</f>
        <v>0</v>
      </c>
      <c r="AA73" s="467">
        <f t="shared" ref="AA73:AF73" si="50">Z73+(Z73*$F73)</f>
        <v>0</v>
      </c>
      <c r="AB73" s="467">
        <f t="shared" si="50"/>
        <v>0</v>
      </c>
      <c r="AC73" s="467">
        <f t="shared" si="50"/>
        <v>0</v>
      </c>
      <c r="AD73" s="467">
        <f t="shared" si="50"/>
        <v>0</v>
      </c>
      <c r="AE73" s="467">
        <f t="shared" si="50"/>
        <v>0</v>
      </c>
      <c r="AF73" s="468">
        <f t="shared" si="50"/>
        <v>0</v>
      </c>
      <c r="AG73" s="412"/>
    </row>
    <row r="74" spans="2:33" ht="7.5" customHeight="1" thickBot="1" x14ac:dyDescent="0.3">
      <c r="B74" s="413"/>
      <c r="C74" s="370"/>
      <c r="D74" s="428"/>
      <c r="E74" s="239"/>
      <c r="F74" s="428"/>
      <c r="G74" s="411"/>
      <c r="H74" s="466"/>
      <c r="I74" s="367"/>
      <c r="J74" s="368"/>
      <c r="K74" s="368"/>
      <c r="L74" s="368"/>
      <c r="M74" s="368"/>
      <c r="N74" s="368"/>
      <c r="O74" s="369"/>
      <c r="P74" s="412"/>
      <c r="Q74" s="413"/>
      <c r="R74" s="413"/>
      <c r="S74" s="370"/>
      <c r="T74" s="428"/>
      <c r="U74" s="239"/>
      <c r="V74" s="428"/>
      <c r="W74" s="428"/>
      <c r="X74" s="411"/>
      <c r="Y74" s="466"/>
      <c r="Z74" s="367"/>
      <c r="AA74" s="368"/>
      <c r="AB74" s="368"/>
      <c r="AC74" s="368"/>
      <c r="AD74" s="368"/>
      <c r="AE74" s="368"/>
      <c r="AF74" s="369"/>
      <c r="AG74" s="412"/>
    </row>
    <row r="75" spans="2:33" ht="15.75" thickBot="1" x14ac:dyDescent="0.3">
      <c r="B75" s="413"/>
      <c r="C75" s="469" t="s">
        <v>448</v>
      </c>
      <c r="D75" s="431"/>
      <c r="E75" s="431"/>
      <c r="F75" s="1453">
        <v>0</v>
      </c>
      <c r="G75" s="470"/>
      <c r="H75" s="431"/>
      <c r="I75" s="1454">
        <v>0</v>
      </c>
      <c r="J75" s="1455">
        <f>I75+(I75*$F75)</f>
        <v>0</v>
      </c>
      <c r="K75" s="1455">
        <f t="shared" si="49"/>
        <v>0</v>
      </c>
      <c r="L75" s="1455">
        <f t="shared" si="49"/>
        <v>0</v>
      </c>
      <c r="M75" s="1455">
        <f t="shared" si="49"/>
        <v>0</v>
      </c>
      <c r="N75" s="1455">
        <f t="shared" si="49"/>
        <v>0</v>
      </c>
      <c r="O75" s="1456">
        <f>N75+(N75*$F75)</f>
        <v>0</v>
      </c>
      <c r="P75" s="412"/>
      <c r="Q75" s="413"/>
      <c r="R75" s="413"/>
      <c r="S75" s="469" t="s">
        <v>448</v>
      </c>
      <c r="T75" s="431"/>
      <c r="U75" s="431"/>
      <c r="V75" s="1453">
        <v>0</v>
      </c>
      <c r="W75" s="1166"/>
      <c r="X75" s="470"/>
      <c r="Y75" s="431"/>
      <c r="Z75" s="1454">
        <v>0</v>
      </c>
      <c r="AA75" s="1455">
        <f t="shared" ref="AA75:AF75" si="51">Z75+(Z75*$F75)</f>
        <v>0</v>
      </c>
      <c r="AB75" s="1455">
        <f t="shared" si="51"/>
        <v>0</v>
      </c>
      <c r="AC75" s="1455">
        <f t="shared" si="51"/>
        <v>0</v>
      </c>
      <c r="AD75" s="1455">
        <f t="shared" si="51"/>
        <v>0</v>
      </c>
      <c r="AE75" s="1455">
        <f t="shared" si="51"/>
        <v>0</v>
      </c>
      <c r="AF75" s="1456">
        <f t="shared" si="51"/>
        <v>0</v>
      </c>
      <c r="AG75" s="412"/>
    </row>
    <row r="76" spans="2:33" ht="16.5" thickTop="1" thickBot="1" x14ac:dyDescent="0.3">
      <c r="B76" s="413"/>
      <c r="C76" s="436" t="s">
        <v>449</v>
      </c>
      <c r="D76" s="428"/>
      <c r="E76" s="411"/>
      <c r="F76" s="428"/>
      <c r="G76" s="471"/>
      <c r="H76" s="429" t="s">
        <v>412</v>
      </c>
      <c r="I76" s="372">
        <f>I67+I71+I73+I75</f>
        <v>603717</v>
      </c>
      <c r="J76" s="373">
        <f t="shared" ref="J76:O76" si="52">J67+J71+J73+J75</f>
        <v>624025.61</v>
      </c>
      <c r="K76" s="373">
        <f t="shared" si="52"/>
        <v>645045.02134999994</v>
      </c>
      <c r="L76" s="373">
        <f t="shared" si="52"/>
        <v>666800.11209725006</v>
      </c>
      <c r="M76" s="373">
        <f t="shared" si="52"/>
        <v>689316.63102065376</v>
      </c>
      <c r="N76" s="373">
        <f t="shared" si="52"/>
        <v>712621.22810637672</v>
      </c>
      <c r="O76" s="374">
        <f t="shared" si="52"/>
        <v>736741.48609009979</v>
      </c>
      <c r="P76" s="412"/>
      <c r="Q76" s="413"/>
      <c r="R76" s="413"/>
      <c r="S76" s="436" t="s">
        <v>449</v>
      </c>
      <c r="T76" s="428"/>
      <c r="U76" s="411"/>
      <c r="V76" s="428"/>
      <c r="W76" s="428"/>
      <c r="X76" s="471"/>
      <c r="Y76" s="429" t="s">
        <v>412</v>
      </c>
      <c r="Z76" s="372">
        <f>Z67+Z71+Z73+Z75</f>
        <v>256990</v>
      </c>
      <c r="AA76" s="373">
        <f t="shared" ref="AA76:AF76" si="53">AA67+AA71+AA73+AA75</f>
        <v>265921.65000000002</v>
      </c>
      <c r="AB76" s="373">
        <f t="shared" si="53"/>
        <v>275165.90774999995</v>
      </c>
      <c r="AC76" s="373">
        <f t="shared" si="53"/>
        <v>284733.71452124999</v>
      </c>
      <c r="AD76" s="373">
        <f t="shared" si="53"/>
        <v>294636.39452949376</v>
      </c>
      <c r="AE76" s="373">
        <f t="shared" si="53"/>
        <v>304885.66833802598</v>
      </c>
      <c r="AF76" s="374">
        <f t="shared" si="53"/>
        <v>315493.66672985692</v>
      </c>
      <c r="AG76" s="412"/>
    </row>
    <row r="77" spans="2:33" ht="7.5" customHeight="1" thickBot="1" x14ac:dyDescent="0.3">
      <c r="B77" s="413"/>
      <c r="C77" s="428"/>
      <c r="D77" s="428"/>
      <c r="E77" s="428"/>
      <c r="F77" s="428"/>
      <c r="G77" s="428"/>
      <c r="H77" s="428"/>
      <c r="I77" s="472"/>
      <c r="J77" s="472"/>
      <c r="K77" s="472"/>
      <c r="L77" s="472"/>
      <c r="M77" s="472"/>
      <c r="N77" s="472"/>
      <c r="O77" s="472"/>
      <c r="P77" s="412"/>
      <c r="Q77" s="413"/>
      <c r="R77" s="413"/>
      <c r="S77" s="428"/>
      <c r="T77" s="428"/>
      <c r="U77" s="428"/>
      <c r="V77" s="428"/>
      <c r="W77" s="428"/>
      <c r="X77" s="428"/>
      <c r="Y77" s="428"/>
      <c r="Z77" s="2009"/>
      <c r="AA77" s="2009"/>
      <c r="AB77" s="2009"/>
      <c r="AC77" s="2009"/>
      <c r="AD77" s="2009"/>
      <c r="AE77" s="2009"/>
      <c r="AF77" s="2009"/>
      <c r="AG77" s="412"/>
    </row>
    <row r="78" spans="2:33" ht="15.75" thickBot="1" x14ac:dyDescent="0.3">
      <c r="B78" s="413"/>
      <c r="C78" s="436" t="s">
        <v>450</v>
      </c>
      <c r="D78" s="428"/>
      <c r="E78" s="428"/>
      <c r="F78" s="428"/>
      <c r="G78" s="428"/>
      <c r="H78" s="429" t="s">
        <v>412</v>
      </c>
      <c r="I78" s="375">
        <f>I42-I76</f>
        <v>411373.19999999995</v>
      </c>
      <c r="J78" s="376">
        <f t="shared" ref="J78:O78" si="54">J42-J76</f>
        <v>416341.52499999979</v>
      </c>
      <c r="K78" s="376">
        <f t="shared" si="54"/>
        <v>421228.96562499984</v>
      </c>
      <c r="L78" s="376">
        <f t="shared" si="54"/>
        <v>426026.35162412468</v>
      </c>
      <c r="M78" s="376">
        <f t="shared" si="54"/>
        <v>430724.03390719555</v>
      </c>
      <c r="N78" s="376">
        <f t="shared" si="54"/>
        <v>435311.8638503775</v>
      </c>
      <c r="O78" s="377">
        <f t="shared" si="54"/>
        <v>439779.17177939613</v>
      </c>
      <c r="P78" s="412"/>
      <c r="Q78" s="413"/>
      <c r="R78" s="413"/>
      <c r="S78" s="436" t="s">
        <v>450</v>
      </c>
      <c r="T78" s="428"/>
      <c r="U78" s="428"/>
      <c r="V78" s="428"/>
      <c r="W78" s="428"/>
      <c r="X78" s="428"/>
      <c r="Y78" s="429" t="s">
        <v>412</v>
      </c>
      <c r="Z78" s="375">
        <f>Z42-Z76</f>
        <v>95349.799999999988</v>
      </c>
      <c r="AA78" s="376">
        <f t="shared" ref="AA78:AF78" si="55">AA42-AA76</f>
        <v>95171.924999999988</v>
      </c>
      <c r="AB78" s="376">
        <f t="shared" si="55"/>
        <v>94899.192225000006</v>
      </c>
      <c r="AC78" s="376">
        <f t="shared" si="55"/>
        <v>94526.082265124947</v>
      </c>
      <c r="AD78" s="376">
        <f t="shared" si="55"/>
        <v>94046.827874780574</v>
      </c>
      <c r="AE78" s="376">
        <f t="shared" si="55"/>
        <v>93455.403938560048</v>
      </c>
      <c r="AF78" s="377">
        <f t="shared" si="55"/>
        <v>92745.517052092648</v>
      </c>
      <c r="AG78" s="412"/>
    </row>
    <row r="79" spans="2:33" x14ac:dyDescent="0.25">
      <c r="B79" s="413"/>
      <c r="C79" s="436"/>
      <c r="D79" s="428"/>
      <c r="E79" s="428"/>
      <c r="F79" s="428"/>
      <c r="G79" s="428"/>
      <c r="H79" s="429"/>
      <c r="I79" s="1725"/>
      <c r="J79" s="466"/>
      <c r="K79" s="466"/>
      <c r="L79" s="466"/>
      <c r="M79" s="466"/>
      <c r="N79" s="466"/>
      <c r="O79" s="466"/>
      <c r="P79" s="412"/>
      <c r="Q79" s="413"/>
      <c r="R79" s="413"/>
      <c r="S79" s="436"/>
      <c r="T79" s="428"/>
      <c r="U79" s="428"/>
      <c r="V79" s="428"/>
      <c r="W79" s="428"/>
      <c r="X79" s="428"/>
      <c r="Y79" s="429"/>
      <c r="Z79" s="466"/>
      <c r="AA79" s="466"/>
      <c r="AB79" s="466"/>
      <c r="AC79" s="466"/>
      <c r="AD79" s="466"/>
      <c r="AE79" s="466"/>
      <c r="AF79" s="466"/>
      <c r="AG79" s="412"/>
    </row>
    <row r="80" spans="2:33" ht="15.75" thickBot="1" x14ac:dyDescent="0.3">
      <c r="B80" s="290"/>
      <c r="C80" s="2562" t="s">
        <v>451</v>
      </c>
      <c r="D80" s="2562"/>
      <c r="E80" s="2562"/>
      <c r="F80" s="378"/>
      <c r="G80" s="378"/>
      <c r="H80" s="378"/>
      <c r="I80" s="378"/>
      <c r="J80" s="378"/>
      <c r="K80" s="378"/>
      <c r="L80" s="1167"/>
      <c r="M80" s="1167"/>
      <c r="N80" s="1167"/>
      <c r="O80" s="1167"/>
      <c r="P80" s="251"/>
      <c r="Q80" s="290"/>
      <c r="R80" s="2022"/>
      <c r="S80" s="2562" t="s">
        <v>451</v>
      </c>
      <c r="T80" s="2562"/>
      <c r="U80" s="2562"/>
      <c r="V80" s="378"/>
      <c r="W80" s="378"/>
      <c r="X80" s="378"/>
      <c r="Y80" s="378"/>
      <c r="Z80" s="378"/>
      <c r="AA80" s="378"/>
      <c r="AB80" s="378"/>
      <c r="AC80" s="378"/>
      <c r="AD80" s="378"/>
      <c r="AE80" s="378"/>
      <c r="AF80" s="378"/>
      <c r="AG80" s="2199"/>
    </row>
    <row r="81" spans="2:33" ht="15.75" thickBot="1" x14ac:dyDescent="0.3">
      <c r="B81" s="290"/>
      <c r="C81" s="599" t="s">
        <v>452</v>
      </c>
      <c r="D81" s="250"/>
      <c r="E81" s="1038"/>
      <c r="F81" s="1038"/>
      <c r="G81" s="2585" t="s">
        <v>453</v>
      </c>
      <c r="H81" s="2586"/>
      <c r="I81" s="342" t="s">
        <v>400</v>
      </c>
      <c r="J81" s="343" t="s">
        <v>401</v>
      </c>
      <c r="K81" s="343" t="s">
        <v>402</v>
      </c>
      <c r="L81" s="343" t="s">
        <v>403</v>
      </c>
      <c r="M81" s="343" t="s">
        <v>404</v>
      </c>
      <c r="N81" s="343" t="s">
        <v>405</v>
      </c>
      <c r="O81" s="344" t="s">
        <v>406</v>
      </c>
      <c r="P81" s="251"/>
      <c r="Q81" s="290"/>
      <c r="R81" s="2022"/>
      <c r="S81" s="599" t="s">
        <v>452</v>
      </c>
      <c r="T81" s="841"/>
      <c r="U81" s="841"/>
      <c r="V81" s="841"/>
      <c r="W81" s="841"/>
      <c r="X81" s="2585" t="s">
        <v>453</v>
      </c>
      <c r="Y81" s="2593"/>
      <c r="Z81" s="342" t="s">
        <v>400</v>
      </c>
      <c r="AA81" s="2000" t="s">
        <v>401</v>
      </c>
      <c r="AB81" s="2000" t="s">
        <v>402</v>
      </c>
      <c r="AC81" s="2000" t="s">
        <v>403</v>
      </c>
      <c r="AD81" s="2000" t="s">
        <v>404</v>
      </c>
      <c r="AE81" s="2000" t="s">
        <v>405</v>
      </c>
      <c r="AF81" s="2001" t="s">
        <v>406</v>
      </c>
      <c r="AG81" s="2199"/>
    </row>
    <row r="82" spans="2:33" x14ac:dyDescent="0.25">
      <c r="B82" s="290"/>
      <c r="C82" s="2577" t="s">
        <v>1530</v>
      </c>
      <c r="D82" s="2578"/>
      <c r="E82" s="2578"/>
      <c r="F82" s="2578"/>
      <c r="G82" s="2571">
        <f>+'7A'!E25</f>
        <v>6032000</v>
      </c>
      <c r="H82" s="2572"/>
      <c r="I82" s="1457">
        <v>399707</v>
      </c>
      <c r="J82" s="1458">
        <f t="shared" ref="J82:O82" si="56">+I82</f>
        <v>399707</v>
      </c>
      <c r="K82" s="1458">
        <f t="shared" si="56"/>
        <v>399707</v>
      </c>
      <c r="L82" s="1458">
        <f t="shared" si="56"/>
        <v>399707</v>
      </c>
      <c r="M82" s="1458">
        <f t="shared" si="56"/>
        <v>399707</v>
      </c>
      <c r="N82" s="1458">
        <f t="shared" si="56"/>
        <v>399707</v>
      </c>
      <c r="O82" s="1459">
        <f t="shared" si="56"/>
        <v>399707</v>
      </c>
      <c r="P82" s="251"/>
      <c r="Q82" s="290"/>
      <c r="R82" s="2022"/>
      <c r="S82" s="2594" t="s">
        <v>454</v>
      </c>
      <c r="T82" s="2594"/>
      <c r="U82" s="2594"/>
      <c r="V82" s="2594"/>
      <c r="W82" s="2595"/>
      <c r="X82" s="2596">
        <v>0</v>
      </c>
      <c r="Y82" s="2597"/>
      <c r="Z82" s="1457">
        <v>0</v>
      </c>
      <c r="AA82" s="1458">
        <v>0</v>
      </c>
      <c r="AB82" s="1458">
        <v>0</v>
      </c>
      <c r="AC82" s="1458">
        <v>0</v>
      </c>
      <c r="AD82" s="1458">
        <v>0</v>
      </c>
      <c r="AE82" s="1458">
        <v>0</v>
      </c>
      <c r="AF82" s="1459">
        <v>0</v>
      </c>
      <c r="AG82" s="2199"/>
    </row>
    <row r="83" spans="2:33" x14ac:dyDescent="0.25">
      <c r="B83" s="290"/>
      <c r="C83" s="2583" t="s">
        <v>455</v>
      </c>
      <c r="D83" s="2584"/>
      <c r="E83" s="2584"/>
      <c r="F83" s="2584"/>
      <c r="G83" s="2573">
        <v>0</v>
      </c>
      <c r="H83" s="2574"/>
      <c r="I83" s="1460">
        <v>0</v>
      </c>
      <c r="J83" s="1461">
        <v>0</v>
      </c>
      <c r="K83" s="1461">
        <v>0</v>
      </c>
      <c r="L83" s="1461">
        <v>0</v>
      </c>
      <c r="M83" s="1461">
        <v>0</v>
      </c>
      <c r="N83" s="1461">
        <v>0</v>
      </c>
      <c r="O83" s="1462">
        <v>0</v>
      </c>
      <c r="P83" s="251"/>
      <c r="Q83" s="290"/>
      <c r="R83" s="2022"/>
      <c r="S83" s="2584" t="s">
        <v>455</v>
      </c>
      <c r="T83" s="2584"/>
      <c r="U83" s="2584"/>
      <c r="V83" s="2584"/>
      <c r="W83" s="2598"/>
      <c r="X83" s="2573">
        <v>0</v>
      </c>
      <c r="Y83" s="2574"/>
      <c r="Z83" s="1460">
        <v>0</v>
      </c>
      <c r="AA83" s="1461">
        <v>0</v>
      </c>
      <c r="AB83" s="1461">
        <v>0</v>
      </c>
      <c r="AC83" s="1461">
        <v>0</v>
      </c>
      <c r="AD83" s="1461">
        <v>0</v>
      </c>
      <c r="AE83" s="1461">
        <v>0</v>
      </c>
      <c r="AF83" s="1462">
        <v>0</v>
      </c>
      <c r="AG83" s="2199"/>
    </row>
    <row r="84" spans="2:33" ht="15.75" thickBot="1" x14ac:dyDescent="0.3">
      <c r="B84" s="290"/>
      <c r="C84" s="2581" t="s">
        <v>456</v>
      </c>
      <c r="D84" s="2582"/>
      <c r="E84" s="2582"/>
      <c r="F84" s="2582"/>
      <c r="G84" s="2575">
        <v>0</v>
      </c>
      <c r="H84" s="2576"/>
      <c r="I84" s="1463">
        <v>0</v>
      </c>
      <c r="J84" s="1464">
        <v>0</v>
      </c>
      <c r="K84" s="1464">
        <v>0</v>
      </c>
      <c r="L84" s="1464">
        <v>0</v>
      </c>
      <c r="M84" s="1464">
        <v>0</v>
      </c>
      <c r="N84" s="1464">
        <v>0</v>
      </c>
      <c r="O84" s="1465">
        <v>0</v>
      </c>
      <c r="P84" s="251"/>
      <c r="Q84" s="290"/>
      <c r="R84" s="2022"/>
      <c r="S84" s="2582" t="s">
        <v>456</v>
      </c>
      <c r="T84" s="2582"/>
      <c r="U84" s="2582"/>
      <c r="V84" s="2582"/>
      <c r="W84" s="2599"/>
      <c r="X84" s="2600">
        <v>0</v>
      </c>
      <c r="Y84" s="2576"/>
      <c r="Z84" s="1463">
        <v>0</v>
      </c>
      <c r="AA84" s="1464">
        <v>0</v>
      </c>
      <c r="AB84" s="1464">
        <v>0</v>
      </c>
      <c r="AC84" s="1464">
        <v>0</v>
      </c>
      <c r="AD84" s="1464">
        <v>0</v>
      </c>
      <c r="AE84" s="1464">
        <v>0</v>
      </c>
      <c r="AF84" s="1465">
        <v>0</v>
      </c>
      <c r="AG84" s="2199"/>
    </row>
    <row r="85" spans="2:33" ht="15.75" thickTop="1" x14ac:dyDescent="0.25">
      <c r="B85" s="290"/>
      <c r="C85" s="1168"/>
      <c r="D85" s="1168"/>
      <c r="E85" s="1168"/>
      <c r="F85" s="1168"/>
      <c r="G85" s="1169"/>
      <c r="H85" s="1170" t="s">
        <v>457</v>
      </c>
      <c r="I85" s="379">
        <f>SUM(I82:I84)</f>
        <v>399707</v>
      </c>
      <c r="J85" s="380">
        <f t="shared" ref="J85:O85" si="57">SUM(J82:J84)</f>
        <v>399707</v>
      </c>
      <c r="K85" s="380">
        <f t="shared" si="57"/>
        <v>399707</v>
      </c>
      <c r="L85" s="380">
        <f t="shared" si="57"/>
        <v>399707</v>
      </c>
      <c r="M85" s="380">
        <f t="shared" si="57"/>
        <v>399707</v>
      </c>
      <c r="N85" s="380">
        <f t="shared" si="57"/>
        <v>399707</v>
      </c>
      <c r="O85" s="381">
        <f t="shared" si="57"/>
        <v>399707</v>
      </c>
      <c r="P85" s="251"/>
      <c r="Q85" s="290"/>
      <c r="R85" s="2022"/>
      <c r="S85" s="1168"/>
      <c r="T85" s="1168"/>
      <c r="U85" s="1168"/>
      <c r="V85" s="1168"/>
      <c r="W85" s="1168"/>
      <c r="X85" s="1169"/>
      <c r="Y85" s="1170" t="s">
        <v>457</v>
      </c>
      <c r="Z85" s="379">
        <f>SUM(Z82:Z84)</f>
        <v>0</v>
      </c>
      <c r="AA85" s="380">
        <f t="shared" ref="AA85:AF85" si="58">SUM(AA82:AA84)</f>
        <v>0</v>
      </c>
      <c r="AB85" s="380">
        <f t="shared" si="58"/>
        <v>0</v>
      </c>
      <c r="AC85" s="380">
        <f t="shared" si="58"/>
        <v>0</v>
      </c>
      <c r="AD85" s="380">
        <f t="shared" si="58"/>
        <v>0</v>
      </c>
      <c r="AE85" s="380">
        <f t="shared" si="58"/>
        <v>0</v>
      </c>
      <c r="AF85" s="381">
        <f t="shared" si="58"/>
        <v>0</v>
      </c>
      <c r="AG85" s="2199"/>
    </row>
    <row r="86" spans="2:33" x14ac:dyDescent="0.25">
      <c r="B86" s="290"/>
      <c r="C86" s="1168"/>
      <c r="D86" s="1168"/>
      <c r="E86" s="1168"/>
      <c r="F86" s="1038"/>
      <c r="G86" s="687"/>
      <c r="H86" s="687" t="s">
        <v>458</v>
      </c>
      <c r="I86" s="1726">
        <f>IFERROR((I78+I73)/I85,"$0 ")</f>
        <v>1.1915458073038498</v>
      </c>
      <c r="J86" s="1727">
        <f t="shared" ref="J86:O86" si="59">IFERROR((J78+J73)/J85,"$0 ")</f>
        <v>1.2096582871953701</v>
      </c>
      <c r="K86" s="1727">
        <f t="shared" si="59"/>
        <v>1.2277672976079974</v>
      </c>
      <c r="L86" s="1727">
        <f t="shared" si="59"/>
        <v>1.245856857248246</v>
      </c>
      <c r="M86" s="1727">
        <f t="shared" si="59"/>
        <v>1.2639100304867203</v>
      </c>
      <c r="N86" s="1727">
        <f t="shared" si="59"/>
        <v>1.2819088841117046</v>
      </c>
      <c r="O86" s="1728">
        <f t="shared" si="59"/>
        <v>1.2998344423236265</v>
      </c>
      <c r="P86" s="251"/>
      <c r="Q86" s="290"/>
      <c r="R86" s="2022"/>
      <c r="S86" s="1168"/>
      <c r="T86" s="1168"/>
      <c r="U86" s="1168"/>
      <c r="V86" s="841"/>
      <c r="W86" s="841"/>
      <c r="X86" s="2158"/>
      <c r="Y86" s="2158" t="s">
        <v>458</v>
      </c>
      <c r="Z86" s="619" t="str">
        <f>IFERROR(Z78/Z85,"$0 ")</f>
        <v xml:space="preserve">$0 </v>
      </c>
      <c r="AA86" s="620" t="str">
        <f t="shared" ref="AA86:AF86" si="60">IFERROR(AA78/AA85,"$0 ")</f>
        <v xml:space="preserve">$0 </v>
      </c>
      <c r="AB86" s="620" t="str">
        <f t="shared" si="60"/>
        <v xml:space="preserve">$0 </v>
      </c>
      <c r="AC86" s="620" t="str">
        <f t="shared" si="60"/>
        <v xml:space="preserve">$0 </v>
      </c>
      <c r="AD86" s="620" t="str">
        <f t="shared" si="60"/>
        <v xml:space="preserve">$0 </v>
      </c>
      <c r="AE86" s="620" t="str">
        <f t="shared" si="60"/>
        <v xml:space="preserve">$0 </v>
      </c>
      <c r="AF86" s="621" t="str">
        <f t="shared" si="60"/>
        <v xml:space="preserve">$0 </v>
      </c>
      <c r="AG86" s="2199"/>
    </row>
    <row r="87" spans="2:33" ht="15.75" thickBot="1" x14ac:dyDescent="0.3">
      <c r="B87" s="290"/>
      <c r="C87" s="1168"/>
      <c r="D87" s="1168"/>
      <c r="E87" s="1168"/>
      <c r="F87" s="2547" t="s">
        <v>459</v>
      </c>
      <c r="G87" s="2547"/>
      <c r="H87" s="2552"/>
      <c r="I87" s="382">
        <f>I78-I85</f>
        <v>11666.199999999953</v>
      </c>
      <c r="J87" s="383">
        <f t="shared" ref="J87:O87" si="61">J78-J85</f>
        <v>16634.52499999979</v>
      </c>
      <c r="K87" s="383">
        <f t="shared" si="61"/>
        <v>21521.965624999837</v>
      </c>
      <c r="L87" s="383">
        <f>L78-L85</f>
        <v>26319.351624124683</v>
      </c>
      <c r="M87" s="383">
        <f t="shared" si="61"/>
        <v>31017.033907195553</v>
      </c>
      <c r="N87" s="383">
        <f t="shared" si="61"/>
        <v>35604.8638503775</v>
      </c>
      <c r="O87" s="384">
        <f t="shared" si="61"/>
        <v>40072.171779396129</v>
      </c>
      <c r="P87" s="251"/>
      <c r="Q87" s="290"/>
      <c r="R87" s="2022"/>
      <c r="S87" s="1168"/>
      <c r="T87" s="1168"/>
      <c r="U87" s="1168"/>
      <c r="V87" s="2547" t="s">
        <v>459</v>
      </c>
      <c r="W87" s="2547"/>
      <c r="X87" s="2547"/>
      <c r="Y87" s="2552"/>
      <c r="Z87" s="382">
        <f t="shared" ref="Z87:AF87" si="62">Z78-Z85</f>
        <v>95349.799999999988</v>
      </c>
      <c r="AA87" s="383">
        <f t="shared" si="62"/>
        <v>95171.924999999988</v>
      </c>
      <c r="AB87" s="383">
        <f t="shared" si="62"/>
        <v>94899.192225000006</v>
      </c>
      <c r="AC87" s="383">
        <f t="shared" si="62"/>
        <v>94526.082265124947</v>
      </c>
      <c r="AD87" s="383">
        <f t="shared" si="62"/>
        <v>94046.827874780574</v>
      </c>
      <c r="AE87" s="383">
        <f t="shared" si="62"/>
        <v>93455.403938560048</v>
      </c>
      <c r="AF87" s="384">
        <f t="shared" si="62"/>
        <v>92745.517052092648</v>
      </c>
      <c r="AG87" s="2199"/>
    </row>
    <row r="88" spans="2:33" ht="15" customHeight="1" thickBot="1" x14ac:dyDescent="0.3">
      <c r="B88" s="290"/>
      <c r="C88" s="1168"/>
      <c r="D88" s="1168"/>
      <c r="E88" s="1168"/>
      <c r="F88" s="1168"/>
      <c r="G88" s="1169"/>
      <c r="H88" s="1169"/>
      <c r="I88" s="1171"/>
      <c r="J88" s="1171"/>
      <c r="K88" s="1171"/>
      <c r="L88" s="1171"/>
      <c r="M88" s="1171"/>
      <c r="N88" s="1171"/>
      <c r="O88" s="1171"/>
      <c r="P88" s="251"/>
      <c r="Q88" s="290"/>
      <c r="R88" s="2022"/>
      <c r="S88" s="1168"/>
      <c r="T88" s="1168"/>
      <c r="U88" s="1168"/>
      <c r="V88" s="1168"/>
      <c r="W88" s="1168"/>
      <c r="X88" s="1169"/>
      <c r="Y88" s="1169"/>
      <c r="Z88" s="1171"/>
      <c r="AA88" s="1171"/>
      <c r="AB88" s="1171"/>
      <c r="AC88" s="1171"/>
      <c r="AD88" s="1171"/>
      <c r="AE88" s="1171"/>
      <c r="AF88" s="1171"/>
      <c r="AG88" s="2199"/>
    </row>
    <row r="89" spans="2:33" ht="15.75" thickBot="1" x14ac:dyDescent="0.3">
      <c r="B89" s="290"/>
      <c r="C89" s="599" t="s">
        <v>460</v>
      </c>
      <c r="D89" s="250"/>
      <c r="E89" s="1038"/>
      <c r="F89" s="1038"/>
      <c r="G89" s="2585" t="s">
        <v>453</v>
      </c>
      <c r="H89" s="2586"/>
      <c r="I89" s="342" t="s">
        <v>400</v>
      </c>
      <c r="J89" s="343" t="s">
        <v>401</v>
      </c>
      <c r="K89" s="343" t="s">
        <v>402</v>
      </c>
      <c r="L89" s="343" t="s">
        <v>403</v>
      </c>
      <c r="M89" s="343" t="s">
        <v>404</v>
      </c>
      <c r="N89" s="343" t="s">
        <v>405</v>
      </c>
      <c r="O89" s="344" t="s">
        <v>406</v>
      </c>
      <c r="P89" s="251"/>
      <c r="Q89" s="290"/>
      <c r="R89" s="2022"/>
      <c r="S89" s="599" t="s">
        <v>460</v>
      </c>
      <c r="T89" s="841"/>
      <c r="U89" s="841"/>
      <c r="V89" s="841"/>
      <c r="W89" s="841"/>
      <c r="X89" s="2585" t="s">
        <v>453</v>
      </c>
      <c r="Y89" s="2593"/>
      <c r="Z89" s="342" t="s">
        <v>400</v>
      </c>
      <c r="AA89" s="2000" t="s">
        <v>401</v>
      </c>
      <c r="AB89" s="2000" t="s">
        <v>402</v>
      </c>
      <c r="AC89" s="2000" t="s">
        <v>403</v>
      </c>
      <c r="AD89" s="2000" t="s">
        <v>404</v>
      </c>
      <c r="AE89" s="2000" t="s">
        <v>405</v>
      </c>
      <c r="AF89" s="2001" t="s">
        <v>406</v>
      </c>
      <c r="AG89" s="2199"/>
    </row>
    <row r="90" spans="2:33" x14ac:dyDescent="0.25">
      <c r="B90" s="290"/>
      <c r="C90" s="2577" t="s">
        <v>1409</v>
      </c>
      <c r="D90" s="2578"/>
      <c r="E90" s="2578"/>
      <c r="F90" s="2578"/>
      <c r="G90" s="2571">
        <f>+'7A'!F28</f>
        <v>350000</v>
      </c>
      <c r="H90" s="2572"/>
      <c r="I90" s="1457">
        <f>+I87-I91</f>
        <v>4166.1999999999534</v>
      </c>
      <c r="J90" s="1458">
        <f t="shared" ref="J90:O90" si="63">+J87-J91</f>
        <v>8872.0249999997905</v>
      </c>
      <c r="K90" s="1458">
        <f t="shared" si="63"/>
        <v>13487.778124999839</v>
      </c>
      <c r="L90" s="1458">
        <f t="shared" si="63"/>
        <v>18003.967561624686</v>
      </c>
      <c r="M90" s="1458">
        <f t="shared" si="63"/>
        <v>22410.611402508057</v>
      </c>
      <c r="N90" s="1458">
        <f t="shared" si="63"/>
        <v>26697.216558025943</v>
      </c>
      <c r="O90" s="1459">
        <f t="shared" si="63"/>
        <v>30852.756831812265</v>
      </c>
      <c r="P90" s="251"/>
      <c r="Q90" s="290"/>
      <c r="R90" s="2022"/>
      <c r="S90" s="2594" t="s">
        <v>1409</v>
      </c>
      <c r="T90" s="2594"/>
      <c r="U90" s="2594"/>
      <c r="V90" s="2594"/>
      <c r="W90" s="2595"/>
      <c r="X90" s="2596">
        <f>+'7A'!F36</f>
        <v>900000</v>
      </c>
      <c r="Y90" s="2597"/>
      <c r="Z90" s="1457">
        <f t="shared" ref="Z90:AE90" si="64">+Z87-Z91</f>
        <v>87849.799999999988</v>
      </c>
      <c r="AA90" s="1458">
        <f t="shared" si="64"/>
        <v>87409.424999999988</v>
      </c>
      <c r="AB90" s="1458">
        <f t="shared" si="64"/>
        <v>86865.004725000006</v>
      </c>
      <c r="AC90" s="1458">
        <f t="shared" si="64"/>
        <v>86210.698202624946</v>
      </c>
      <c r="AD90" s="1458">
        <f t="shared" si="64"/>
        <v>85440.405370093082</v>
      </c>
      <c r="AE90" s="1458">
        <f t="shared" si="64"/>
        <v>84547.756646208494</v>
      </c>
      <c r="AF90" s="1459">
        <f>+IF((SUM($Z$90:$AE$90)&lt;$X$90),IF($X$90-(SUM($Z$90:$AE$90))&gt;AF$87-AF$91,AF$87-AF$91,($X$90-SUM($Z$90:$AE$90))),0)</f>
        <v>83526.102104508784</v>
      </c>
      <c r="AG90" s="2199"/>
    </row>
    <row r="91" spans="2:33" x14ac:dyDescent="0.25">
      <c r="B91" s="290"/>
      <c r="C91" s="2579" t="s">
        <v>1589</v>
      </c>
      <c r="D91" s="2580"/>
      <c r="E91" s="2580"/>
      <c r="F91" s="2580"/>
      <c r="G91" s="2573">
        <v>0</v>
      </c>
      <c r="H91" s="2574"/>
      <c r="I91" s="1460">
        <v>7500</v>
      </c>
      <c r="J91" s="1461">
        <f t="shared" ref="J91:O91" si="65">+I91*1.035</f>
        <v>7762.4999999999991</v>
      </c>
      <c r="K91" s="1461">
        <f t="shared" si="65"/>
        <v>8034.1874999999982</v>
      </c>
      <c r="L91" s="1461">
        <f t="shared" si="65"/>
        <v>8315.3840624999975</v>
      </c>
      <c r="M91" s="1461">
        <f t="shared" si="65"/>
        <v>8606.4225046874963</v>
      </c>
      <c r="N91" s="1461">
        <f t="shared" si="65"/>
        <v>8907.6472923515576</v>
      </c>
      <c r="O91" s="1462">
        <f t="shared" si="65"/>
        <v>9219.4149475838622</v>
      </c>
      <c r="P91" s="251"/>
      <c r="Q91" s="290"/>
      <c r="R91" s="2022"/>
      <c r="S91" s="2580" t="s">
        <v>1589</v>
      </c>
      <c r="T91" s="2580"/>
      <c r="U91" s="2580"/>
      <c r="V91" s="2580"/>
      <c r="W91" s="2601"/>
      <c r="X91" s="2573">
        <v>0</v>
      </c>
      <c r="Y91" s="2574"/>
      <c r="Z91" s="1460">
        <v>7500</v>
      </c>
      <c r="AA91" s="1461">
        <f t="shared" ref="AA91:AF91" si="66">+Z91*1.035</f>
        <v>7762.4999999999991</v>
      </c>
      <c r="AB91" s="1461">
        <f t="shared" si="66"/>
        <v>8034.1874999999982</v>
      </c>
      <c r="AC91" s="1461">
        <f t="shared" si="66"/>
        <v>8315.3840624999975</v>
      </c>
      <c r="AD91" s="1461">
        <f t="shared" si="66"/>
        <v>8606.4225046874963</v>
      </c>
      <c r="AE91" s="1461">
        <f t="shared" si="66"/>
        <v>8907.6472923515576</v>
      </c>
      <c r="AF91" s="1462">
        <f t="shared" si="66"/>
        <v>9219.4149475838622</v>
      </c>
      <c r="AG91" s="2199"/>
    </row>
    <row r="92" spans="2:33" x14ac:dyDescent="0.25">
      <c r="B92" s="290"/>
      <c r="C92" s="2579" t="s">
        <v>1590</v>
      </c>
      <c r="D92" s="2580"/>
      <c r="E92" s="2580"/>
      <c r="F92" s="2580"/>
      <c r="G92" s="2573">
        <v>0</v>
      </c>
      <c r="H92" s="2574"/>
      <c r="I92" s="1466">
        <v>0</v>
      </c>
      <c r="J92" s="1467">
        <v>0</v>
      </c>
      <c r="K92" s="1467">
        <v>0</v>
      </c>
      <c r="L92" s="1467">
        <v>0</v>
      </c>
      <c r="M92" s="1467">
        <v>0</v>
      </c>
      <c r="N92" s="1467">
        <v>0</v>
      </c>
      <c r="O92" s="1468">
        <v>0</v>
      </c>
      <c r="P92" s="251"/>
      <c r="Q92" s="290"/>
      <c r="R92" s="2022"/>
      <c r="S92" s="2580" t="s">
        <v>461</v>
      </c>
      <c r="T92" s="2580"/>
      <c r="U92" s="2580"/>
      <c r="V92" s="2580"/>
      <c r="W92" s="2601"/>
      <c r="X92" s="2573">
        <v>0</v>
      </c>
      <c r="Y92" s="2574"/>
      <c r="Z92" s="1466">
        <v>0</v>
      </c>
      <c r="AA92" s="1467">
        <v>0</v>
      </c>
      <c r="AB92" s="1467">
        <v>0</v>
      </c>
      <c r="AC92" s="1467">
        <v>0</v>
      </c>
      <c r="AD92" s="1467">
        <v>0</v>
      </c>
      <c r="AE92" s="1467">
        <v>0</v>
      </c>
      <c r="AF92" s="1468">
        <v>0</v>
      </c>
      <c r="AG92" s="2199"/>
    </row>
    <row r="93" spans="2:33" ht="15.75" thickBot="1" x14ac:dyDescent="0.3">
      <c r="B93" s="290"/>
      <c r="C93" s="2581" t="s">
        <v>456</v>
      </c>
      <c r="D93" s="2582"/>
      <c r="E93" s="2582"/>
      <c r="F93" s="2582"/>
      <c r="G93" s="2575">
        <v>0</v>
      </c>
      <c r="H93" s="2576"/>
      <c r="I93" s="1469">
        <v>0</v>
      </c>
      <c r="J93" s="1470">
        <v>0</v>
      </c>
      <c r="K93" s="1470">
        <v>0</v>
      </c>
      <c r="L93" s="1470">
        <v>0</v>
      </c>
      <c r="M93" s="1470">
        <v>0</v>
      </c>
      <c r="N93" s="1470">
        <v>0</v>
      </c>
      <c r="O93" s="1471">
        <v>0</v>
      </c>
      <c r="P93" s="251"/>
      <c r="Q93" s="290"/>
      <c r="R93" s="2022"/>
      <c r="S93" s="2582" t="s">
        <v>456</v>
      </c>
      <c r="T93" s="2582"/>
      <c r="U93" s="2582"/>
      <c r="V93" s="2582"/>
      <c r="W93" s="2599"/>
      <c r="X93" s="2600">
        <v>0</v>
      </c>
      <c r="Y93" s="2576"/>
      <c r="Z93" s="1469">
        <v>0</v>
      </c>
      <c r="AA93" s="1470">
        <v>0</v>
      </c>
      <c r="AB93" s="1470">
        <v>0</v>
      </c>
      <c r="AC93" s="1470">
        <v>0</v>
      </c>
      <c r="AD93" s="1470">
        <v>0</v>
      </c>
      <c r="AE93" s="1470">
        <v>0</v>
      </c>
      <c r="AF93" s="1471">
        <v>0</v>
      </c>
      <c r="AG93" s="2199"/>
    </row>
    <row r="94" spans="2:33" ht="16.5" thickTop="1" thickBot="1" x14ac:dyDescent="0.3">
      <c r="B94" s="290"/>
      <c r="C94" s="1038"/>
      <c r="D94" s="1038"/>
      <c r="E94" s="1038"/>
      <c r="F94" s="2547" t="s">
        <v>462</v>
      </c>
      <c r="G94" s="2547"/>
      <c r="H94" s="2552"/>
      <c r="I94" s="385">
        <f>SUM(I90:I93)</f>
        <v>11666.199999999953</v>
      </c>
      <c r="J94" s="386">
        <f t="shared" ref="J94:O94" si="67">SUM(J90:J93)</f>
        <v>16634.52499999979</v>
      </c>
      <c r="K94" s="386">
        <f t="shared" si="67"/>
        <v>21521.965624999837</v>
      </c>
      <c r="L94" s="386">
        <f t="shared" si="67"/>
        <v>26319.351624124683</v>
      </c>
      <c r="M94" s="386">
        <f t="shared" si="67"/>
        <v>31017.033907195553</v>
      </c>
      <c r="N94" s="386">
        <f t="shared" si="67"/>
        <v>35604.8638503775</v>
      </c>
      <c r="O94" s="387">
        <f t="shared" si="67"/>
        <v>40072.171779396129</v>
      </c>
      <c r="P94" s="251"/>
      <c r="Q94" s="290"/>
      <c r="R94" s="2022"/>
      <c r="S94" s="841"/>
      <c r="T94" s="841"/>
      <c r="U94" s="841"/>
      <c r="V94" s="2547" t="s">
        <v>462</v>
      </c>
      <c r="W94" s="2547"/>
      <c r="X94" s="2547"/>
      <c r="Y94" s="2552"/>
      <c r="Z94" s="385">
        <f>SUM(Z90:Z93)</f>
        <v>95349.799999999988</v>
      </c>
      <c r="AA94" s="386">
        <f t="shared" ref="AA94:AF94" si="68">SUM(AA90:AA93)</f>
        <v>95171.924999999988</v>
      </c>
      <c r="AB94" s="386">
        <f t="shared" si="68"/>
        <v>94899.192225000006</v>
      </c>
      <c r="AC94" s="386">
        <f t="shared" si="68"/>
        <v>94526.082265124947</v>
      </c>
      <c r="AD94" s="386">
        <f t="shared" si="68"/>
        <v>94046.827874780574</v>
      </c>
      <c r="AE94" s="386">
        <f t="shared" si="68"/>
        <v>93455.403938560048</v>
      </c>
      <c r="AF94" s="387">
        <f t="shared" si="68"/>
        <v>92745.517052092648</v>
      </c>
      <c r="AG94" s="2199"/>
    </row>
    <row r="95" spans="2:33" ht="7.5" customHeight="1" thickBot="1" x14ac:dyDescent="0.3">
      <c r="B95" s="290"/>
      <c r="C95" s="1038"/>
      <c r="D95" s="1038"/>
      <c r="E95" s="1038"/>
      <c r="F95" s="1038"/>
      <c r="G95" s="1038"/>
      <c r="H95" s="1038"/>
      <c r="I95" s="1038"/>
      <c r="J95" s="1038"/>
      <c r="K95" s="1038"/>
      <c r="L95" s="1038"/>
      <c r="M95" s="1038"/>
      <c r="N95" s="1038"/>
      <c r="O95" s="1038"/>
      <c r="P95" s="251"/>
      <c r="Q95" s="290"/>
      <c r="R95" s="2022"/>
      <c r="S95" s="841"/>
      <c r="T95" s="841"/>
      <c r="U95" s="841"/>
      <c r="V95" s="841"/>
      <c r="W95" s="841"/>
      <c r="X95" s="841"/>
      <c r="Y95" s="841"/>
      <c r="Z95" s="841"/>
      <c r="AA95" s="841"/>
      <c r="AB95" s="841"/>
      <c r="AC95" s="841"/>
      <c r="AD95" s="841"/>
      <c r="AE95" s="841"/>
      <c r="AF95" s="841"/>
      <c r="AG95" s="2199"/>
    </row>
    <row r="96" spans="2:33" x14ac:dyDescent="0.25">
      <c r="B96" s="290"/>
      <c r="C96" s="1038"/>
      <c r="D96" s="1038"/>
      <c r="E96" s="1038"/>
      <c r="F96" s="2547" t="s">
        <v>463</v>
      </c>
      <c r="G96" s="2547"/>
      <c r="H96" s="2552"/>
      <c r="I96" s="1734">
        <f>IFERROR(I78/(I85+I94),"$0 ")</f>
        <v>1</v>
      </c>
      <c r="J96" s="1735">
        <f t="shared" ref="J96:O96" si="69">IFERROR(J78/(J85+J94),"$0 ")</f>
        <v>1</v>
      </c>
      <c r="K96" s="1735">
        <f t="shared" si="69"/>
        <v>1</v>
      </c>
      <c r="L96" s="1735">
        <f t="shared" si="69"/>
        <v>1</v>
      </c>
      <c r="M96" s="1735">
        <f t="shared" si="69"/>
        <v>1</v>
      </c>
      <c r="N96" s="1735">
        <f t="shared" si="69"/>
        <v>1</v>
      </c>
      <c r="O96" s="1736">
        <f t="shared" si="69"/>
        <v>1</v>
      </c>
      <c r="P96" s="251"/>
      <c r="Q96" s="290"/>
      <c r="R96" s="2022"/>
      <c r="S96" s="841"/>
      <c r="T96" s="841"/>
      <c r="U96" s="841"/>
      <c r="V96" s="2547" t="s">
        <v>463</v>
      </c>
      <c r="W96" s="2547"/>
      <c r="X96" s="2547"/>
      <c r="Y96" s="2552"/>
      <c r="Z96" s="2010">
        <f>IFERROR(Z78/(Z85+Z94),"$0 ")</f>
        <v>1</v>
      </c>
      <c r="AA96" s="2011">
        <f t="shared" ref="AA96:AF96" si="70">IFERROR(AA78/(AA85+AA94),"$0 ")</f>
        <v>1</v>
      </c>
      <c r="AB96" s="2011">
        <f t="shared" si="70"/>
        <v>1</v>
      </c>
      <c r="AC96" s="2011">
        <f t="shared" si="70"/>
        <v>1</v>
      </c>
      <c r="AD96" s="2011">
        <f t="shared" si="70"/>
        <v>1</v>
      </c>
      <c r="AE96" s="2011">
        <f t="shared" si="70"/>
        <v>1</v>
      </c>
      <c r="AF96" s="2012">
        <f t="shared" si="70"/>
        <v>1</v>
      </c>
      <c r="AG96" s="2199"/>
    </row>
    <row r="97" spans="2:33" ht="15.75" thickBot="1" x14ac:dyDescent="0.3">
      <c r="B97" s="290"/>
      <c r="C97" s="1038"/>
      <c r="D97" s="1038"/>
      <c r="E97" s="1038"/>
      <c r="F97" s="2547" t="s">
        <v>464</v>
      </c>
      <c r="G97" s="2548"/>
      <c r="H97" s="2549"/>
      <c r="I97" s="1172">
        <f t="shared" ref="I97:O97" si="71">I87-I94</f>
        <v>0</v>
      </c>
      <c r="J97" s="1173">
        <f t="shared" si="71"/>
        <v>0</v>
      </c>
      <c r="K97" s="1174">
        <f t="shared" si="71"/>
        <v>0</v>
      </c>
      <c r="L97" s="1174">
        <f t="shared" si="71"/>
        <v>0</v>
      </c>
      <c r="M97" s="1174">
        <f t="shared" si="71"/>
        <v>0</v>
      </c>
      <c r="N97" s="1174">
        <f t="shared" si="71"/>
        <v>0</v>
      </c>
      <c r="O97" s="1175">
        <f t="shared" si="71"/>
        <v>0</v>
      </c>
      <c r="P97" s="251"/>
      <c r="Q97" s="290"/>
      <c r="R97" s="2022"/>
      <c r="S97" s="841"/>
      <c r="T97" s="841"/>
      <c r="U97" s="841"/>
      <c r="V97" s="2547" t="s">
        <v>464</v>
      </c>
      <c r="W97" s="2547"/>
      <c r="X97" s="2210"/>
      <c r="Y97" s="2549"/>
      <c r="Z97" s="1172">
        <f t="shared" ref="Z97:AF97" si="72">Z87-Z94</f>
        <v>0</v>
      </c>
      <c r="AA97" s="1173">
        <f t="shared" si="72"/>
        <v>0</v>
      </c>
      <c r="AB97" s="1174">
        <f t="shared" si="72"/>
        <v>0</v>
      </c>
      <c r="AC97" s="1174">
        <f t="shared" si="72"/>
        <v>0</v>
      </c>
      <c r="AD97" s="1174">
        <f t="shared" si="72"/>
        <v>0</v>
      </c>
      <c r="AE97" s="1174">
        <f t="shared" si="72"/>
        <v>0</v>
      </c>
      <c r="AF97" s="1175">
        <f t="shared" si="72"/>
        <v>0</v>
      </c>
      <c r="AG97" s="2199"/>
    </row>
    <row r="98" spans="2:33" ht="9" customHeight="1" thickBot="1" x14ac:dyDescent="0.3">
      <c r="B98" s="1122"/>
      <c r="C98" s="256"/>
      <c r="D98" s="473"/>
      <c r="E98" s="256"/>
      <c r="F98" s="256"/>
      <c r="G98" s="256"/>
      <c r="H98" s="256"/>
      <c r="I98" s="256"/>
      <c r="J98" s="256"/>
      <c r="K98" s="256"/>
      <c r="L98" s="256"/>
      <c r="M98" s="256"/>
      <c r="N98" s="256"/>
      <c r="O98" s="256"/>
      <c r="P98" s="257"/>
      <c r="Q98" s="1122"/>
      <c r="R98" s="2023"/>
      <c r="S98" s="256"/>
      <c r="T98" s="473"/>
      <c r="U98" s="256"/>
      <c r="V98" s="256"/>
      <c r="W98" s="256"/>
      <c r="X98" s="256"/>
      <c r="Y98" s="256"/>
      <c r="Z98" s="256"/>
      <c r="AA98" s="256"/>
      <c r="AB98" s="256"/>
      <c r="AC98" s="256"/>
      <c r="AD98" s="256"/>
      <c r="AE98" s="256"/>
      <c r="AF98" s="256"/>
      <c r="AG98" s="2200"/>
    </row>
    <row r="99" spans="2:33" ht="9" customHeight="1" x14ac:dyDescent="0.25">
      <c r="B99" s="407"/>
      <c r="C99" s="408"/>
      <c r="D99" s="408"/>
      <c r="E99" s="408"/>
      <c r="F99" s="408"/>
      <c r="G99" s="408"/>
      <c r="H99" s="408"/>
      <c r="I99" s="408"/>
      <c r="J99" s="408"/>
      <c r="K99" s="408"/>
      <c r="L99" s="408"/>
      <c r="M99" s="408"/>
      <c r="N99" s="408"/>
      <c r="O99" s="408"/>
      <c r="P99" s="409"/>
      <c r="Q99" s="407"/>
      <c r="R99" s="2197"/>
      <c r="S99" s="2013"/>
      <c r="T99" s="2013"/>
      <c r="U99" s="2013"/>
      <c r="V99" s="2013"/>
      <c r="W99" s="2013"/>
      <c r="X99" s="2013"/>
      <c r="Y99" s="2013"/>
      <c r="Z99" s="2013"/>
      <c r="AA99" s="2013"/>
      <c r="AB99" s="2013"/>
      <c r="AC99" s="2013"/>
      <c r="AD99" s="2013"/>
      <c r="AE99" s="2013"/>
      <c r="AF99" s="2013"/>
      <c r="AG99" s="2198"/>
    </row>
    <row r="100" spans="2:33" ht="18.75" x14ac:dyDescent="0.3">
      <c r="B100" s="410"/>
      <c r="C100" s="2323" t="s">
        <v>1066</v>
      </c>
      <c r="D100" s="2323"/>
      <c r="E100" s="2323"/>
      <c r="F100" s="2323"/>
      <c r="G100" s="2323"/>
      <c r="H100" s="2323"/>
      <c r="I100" s="2323"/>
      <c r="J100" s="2323"/>
      <c r="K100" s="2323"/>
      <c r="L100" s="2323"/>
      <c r="M100" s="2323"/>
      <c r="N100" s="2323"/>
      <c r="O100" s="2323"/>
      <c r="P100" s="412"/>
      <c r="Q100" s="410"/>
      <c r="R100" s="410"/>
      <c r="S100" s="2323" t="s">
        <v>1066</v>
      </c>
      <c r="T100" s="2323"/>
      <c r="U100" s="2323"/>
      <c r="V100" s="2323"/>
      <c r="W100" s="2323"/>
      <c r="X100" s="2323"/>
      <c r="Y100" s="2323"/>
      <c r="Z100" s="2323"/>
      <c r="AA100" s="2323"/>
      <c r="AB100" s="2323"/>
      <c r="AC100" s="2323"/>
      <c r="AD100" s="2323"/>
      <c r="AE100" s="2323"/>
      <c r="AF100" s="2323"/>
      <c r="AG100" s="412"/>
    </row>
    <row r="101" spans="2:33" x14ac:dyDescent="0.25">
      <c r="B101" s="410"/>
      <c r="C101" s="411"/>
      <c r="D101" s="411"/>
      <c r="E101" s="411"/>
      <c r="F101" s="411"/>
      <c r="G101" s="411"/>
      <c r="H101" s="411"/>
      <c r="I101" s="411"/>
      <c r="J101" s="411"/>
      <c r="K101" s="411"/>
      <c r="L101" s="411"/>
      <c r="M101" s="411"/>
      <c r="N101" s="411"/>
      <c r="O101" s="411"/>
      <c r="P101" s="412"/>
      <c r="Q101" s="410"/>
      <c r="R101" s="410"/>
      <c r="S101" s="411"/>
      <c r="T101" s="411"/>
      <c r="U101" s="411"/>
      <c r="V101" s="411"/>
      <c r="W101" s="411"/>
      <c r="X101" s="411"/>
      <c r="Y101" s="411"/>
      <c r="Z101" s="411"/>
      <c r="AA101" s="411"/>
      <c r="AB101" s="411"/>
      <c r="AC101" s="411"/>
      <c r="AD101" s="411"/>
      <c r="AE101" s="411"/>
      <c r="AF101" s="411"/>
      <c r="AG101" s="412"/>
    </row>
    <row r="102" spans="2:33" x14ac:dyDescent="0.25">
      <c r="B102" s="410"/>
      <c r="C102" s="979" t="s">
        <v>63</v>
      </c>
      <c r="D102" s="978" t="str">
        <f>IF('1A'!G7="","Enter Project Name on Form 1A",'1A'!G7)</f>
        <v>Building 9 South (4%)</v>
      </c>
      <c r="E102" s="978"/>
      <c r="F102" s="978"/>
      <c r="G102" s="978"/>
      <c r="H102" s="978"/>
      <c r="I102" s="978"/>
      <c r="J102" s="1038"/>
      <c r="K102" s="1038"/>
      <c r="L102" s="1038"/>
      <c r="M102" s="979"/>
      <c r="N102" s="979"/>
      <c r="O102" s="979"/>
      <c r="P102" s="412"/>
      <c r="Q102" s="410"/>
      <c r="R102" s="410"/>
      <c r="S102" s="979" t="s">
        <v>63</v>
      </c>
      <c r="T102" s="2157" t="str">
        <f>IF('1A'!G9="","Enter Project Name on Form 1A",'1A'!G9)</f>
        <v>Building 9 North (9%)</v>
      </c>
      <c r="U102" s="2157"/>
      <c r="V102" s="2157"/>
      <c r="W102" s="2157"/>
      <c r="X102" s="2157"/>
      <c r="Y102" s="2157"/>
      <c r="Z102" s="2157"/>
      <c r="AA102" s="841"/>
      <c r="AB102" s="841"/>
      <c r="AC102" s="841"/>
      <c r="AD102" s="979"/>
      <c r="AE102" s="979"/>
      <c r="AF102" s="979"/>
      <c r="AG102" s="412"/>
    </row>
    <row r="103" spans="2:33" ht="3.75" customHeight="1" x14ac:dyDescent="0.25">
      <c r="B103" s="410"/>
      <c r="C103" s="979"/>
      <c r="D103" s="979"/>
      <c r="E103" s="979"/>
      <c r="F103" s="979"/>
      <c r="G103" s="979"/>
      <c r="H103" s="979"/>
      <c r="I103" s="1038"/>
      <c r="J103" s="1038"/>
      <c r="K103" s="1038"/>
      <c r="L103" s="1038"/>
      <c r="M103" s="979"/>
      <c r="N103" s="979"/>
      <c r="O103" s="979"/>
      <c r="P103" s="412"/>
      <c r="Q103" s="410"/>
      <c r="R103" s="410"/>
      <c r="S103" s="979"/>
      <c r="T103" s="979"/>
      <c r="U103" s="979"/>
      <c r="V103" s="979"/>
      <c r="W103" s="979"/>
      <c r="X103" s="979"/>
      <c r="Y103" s="979"/>
      <c r="Z103" s="841"/>
      <c r="AA103" s="841"/>
      <c r="AB103" s="841"/>
      <c r="AC103" s="841"/>
      <c r="AD103" s="979"/>
      <c r="AE103" s="979"/>
      <c r="AF103" s="979"/>
      <c r="AG103" s="412"/>
    </row>
    <row r="104" spans="2:33" x14ac:dyDescent="0.25">
      <c r="B104" s="413"/>
      <c r="C104" s="979" t="s">
        <v>398</v>
      </c>
      <c r="D104" s="1186">
        <f ca="1">IF(D23=0,"",D23)</f>
        <v>42285</v>
      </c>
      <c r="E104" s="414"/>
      <c r="F104" s="414"/>
      <c r="G104" s="414"/>
      <c r="H104" s="414"/>
      <c r="I104" s="415"/>
      <c r="J104" s="415"/>
      <c r="K104" s="415"/>
      <c r="L104" s="415"/>
      <c r="M104" s="415"/>
      <c r="N104" s="416"/>
      <c r="O104" s="415"/>
      <c r="P104" s="417"/>
      <c r="Q104" s="413"/>
      <c r="R104" s="413"/>
      <c r="S104" s="979" t="s">
        <v>398</v>
      </c>
      <c r="T104" s="2014">
        <f ca="1">IF(T23=0,"",T23)</f>
        <v>42285</v>
      </c>
      <c r="U104" s="411"/>
      <c r="V104" s="411"/>
      <c r="W104" s="411"/>
      <c r="X104" s="411"/>
      <c r="Y104" s="411"/>
      <c r="Z104" s="415"/>
      <c r="AA104" s="415"/>
      <c r="AB104" s="415"/>
      <c r="AC104" s="415"/>
      <c r="AD104" s="415"/>
      <c r="AE104" s="416"/>
      <c r="AF104" s="415"/>
      <c r="AG104" s="417"/>
    </row>
    <row r="105" spans="2:33" ht="7.5" customHeight="1" x14ac:dyDescent="0.25">
      <c r="B105" s="290"/>
      <c r="C105" s="250"/>
      <c r="D105" s="250"/>
      <c r="E105" s="250"/>
      <c r="F105" s="250"/>
      <c r="G105" s="250"/>
      <c r="H105" s="250"/>
      <c r="I105" s="250"/>
      <c r="J105" s="250"/>
      <c r="K105" s="250"/>
      <c r="L105" s="250"/>
      <c r="M105" s="250"/>
      <c r="N105" s="250"/>
      <c r="O105" s="250"/>
      <c r="P105" s="251"/>
      <c r="Q105" s="290"/>
      <c r="R105" s="2022"/>
      <c r="S105" s="841"/>
      <c r="T105" s="841"/>
      <c r="U105" s="841"/>
      <c r="V105" s="841"/>
      <c r="W105" s="841"/>
      <c r="X105" s="841"/>
      <c r="Y105" s="841"/>
      <c r="Z105" s="841"/>
      <c r="AA105" s="841"/>
      <c r="AB105" s="841"/>
      <c r="AC105" s="841"/>
      <c r="AD105" s="841"/>
      <c r="AE105" s="841"/>
      <c r="AF105" s="841"/>
      <c r="AG105" s="2199"/>
    </row>
    <row r="106" spans="2:33" ht="15.75" thickBot="1" x14ac:dyDescent="0.3">
      <c r="B106" s="419"/>
      <c r="C106" s="338" t="s">
        <v>399</v>
      </c>
      <c r="D106" s="339"/>
      <c r="E106" s="337"/>
      <c r="F106" s="337"/>
      <c r="G106" s="337"/>
      <c r="H106" s="337"/>
      <c r="I106" s="339"/>
      <c r="J106" s="339"/>
      <c r="K106" s="339"/>
      <c r="L106" s="339"/>
      <c r="M106" s="339"/>
      <c r="N106" s="341"/>
      <c r="O106" s="339"/>
      <c r="P106" s="421"/>
      <c r="Q106" s="419"/>
      <c r="R106" s="413"/>
      <c r="S106" s="338" t="s">
        <v>399</v>
      </c>
      <c r="T106" s="339"/>
      <c r="U106" s="337"/>
      <c r="V106" s="337"/>
      <c r="W106" s="337"/>
      <c r="X106" s="337"/>
      <c r="Y106" s="337"/>
      <c r="Z106" s="339"/>
      <c r="AA106" s="339"/>
      <c r="AB106" s="339"/>
      <c r="AC106" s="339"/>
      <c r="AD106" s="339"/>
      <c r="AE106" s="341"/>
      <c r="AF106" s="339"/>
      <c r="AG106" s="417"/>
    </row>
    <row r="107" spans="2:33" ht="15.75" thickBot="1" x14ac:dyDescent="0.3">
      <c r="B107" s="290"/>
      <c r="C107" s="428"/>
      <c r="D107" s="1038"/>
      <c r="E107" s="1038"/>
      <c r="F107" s="1038"/>
      <c r="G107" s="1038"/>
      <c r="H107" s="388" t="s">
        <v>465</v>
      </c>
      <c r="I107" s="389" t="s">
        <v>466</v>
      </c>
      <c r="J107" s="343" t="s">
        <v>467</v>
      </c>
      <c r="K107" s="343" t="s">
        <v>468</v>
      </c>
      <c r="L107" s="343" t="s">
        <v>469</v>
      </c>
      <c r="M107" s="343" t="s">
        <v>470</v>
      </c>
      <c r="N107" s="343" t="s">
        <v>471</v>
      </c>
      <c r="O107" s="344" t="s">
        <v>472</v>
      </c>
      <c r="P107" s="251"/>
      <c r="Q107" s="290"/>
      <c r="R107" s="2022"/>
      <c r="S107" s="428"/>
      <c r="T107" s="841"/>
      <c r="U107" s="841"/>
      <c r="V107" s="841"/>
      <c r="W107" s="841"/>
      <c r="X107" s="841"/>
      <c r="Y107" s="388" t="s">
        <v>465</v>
      </c>
      <c r="Z107" s="2015" t="s">
        <v>466</v>
      </c>
      <c r="AA107" s="2000" t="s">
        <v>467</v>
      </c>
      <c r="AB107" s="2000" t="s">
        <v>468</v>
      </c>
      <c r="AC107" s="2000" t="s">
        <v>469</v>
      </c>
      <c r="AD107" s="2000" t="s">
        <v>470</v>
      </c>
      <c r="AE107" s="2000" t="s">
        <v>471</v>
      </c>
      <c r="AF107" s="2001" t="s">
        <v>472</v>
      </c>
      <c r="AG107" s="2199"/>
    </row>
    <row r="108" spans="2:33" x14ac:dyDescent="0.25">
      <c r="B108" s="290"/>
      <c r="C108" s="420" t="s">
        <v>407</v>
      </c>
      <c r="D108" s="1038"/>
      <c r="E108" s="1038"/>
      <c r="F108" s="1038"/>
      <c r="G108" s="1038"/>
      <c r="H108" s="346"/>
      <c r="I108" s="347"/>
      <c r="J108" s="347"/>
      <c r="K108" s="347"/>
      <c r="L108" s="347"/>
      <c r="M108" s="347"/>
      <c r="N108" s="347"/>
      <c r="O108" s="348"/>
      <c r="P108" s="251"/>
      <c r="Q108" s="290"/>
      <c r="R108" s="2022"/>
      <c r="S108" s="420" t="s">
        <v>407</v>
      </c>
      <c r="T108" s="841"/>
      <c r="U108" s="841"/>
      <c r="V108" s="841"/>
      <c r="W108" s="841"/>
      <c r="X108" s="841"/>
      <c r="Y108" s="2003"/>
      <c r="Z108" s="347"/>
      <c r="AA108" s="347"/>
      <c r="AB108" s="347"/>
      <c r="AC108" s="347"/>
      <c r="AD108" s="347"/>
      <c r="AE108" s="347"/>
      <c r="AF108" s="2004"/>
      <c r="AG108" s="2199"/>
    </row>
    <row r="109" spans="2:33" x14ac:dyDescent="0.25">
      <c r="B109" s="290"/>
      <c r="C109" s="474" t="s">
        <v>409</v>
      </c>
      <c r="D109" s="1038"/>
      <c r="E109" s="1038"/>
      <c r="F109" s="1038"/>
      <c r="G109" s="1038"/>
      <c r="H109" s="464">
        <f>O28+(O28*$G28)</f>
        <v>1245024.7036490713</v>
      </c>
      <c r="I109" s="475">
        <f>H109+(H109*$G28)</f>
        <v>1276150.321240298</v>
      </c>
      <c r="J109" s="475">
        <f t="shared" ref="J109:O109" si="73">I109+(I109*$G28)</f>
        <v>1308054.0792713054</v>
      </c>
      <c r="K109" s="475">
        <f t="shared" si="73"/>
        <v>1340755.4312530879</v>
      </c>
      <c r="L109" s="475">
        <f t="shared" si="73"/>
        <v>1374274.3170344152</v>
      </c>
      <c r="M109" s="475">
        <f t="shared" si="73"/>
        <v>1408631.1749602756</v>
      </c>
      <c r="N109" s="475">
        <f t="shared" si="73"/>
        <v>1443846.9543342825</v>
      </c>
      <c r="O109" s="476">
        <f t="shared" si="73"/>
        <v>1479943.1281926397</v>
      </c>
      <c r="P109" s="251"/>
      <c r="Q109" s="290"/>
      <c r="R109" s="2022"/>
      <c r="S109" s="474" t="s">
        <v>409</v>
      </c>
      <c r="T109" s="841"/>
      <c r="U109" s="841"/>
      <c r="V109" s="841"/>
      <c r="W109" s="841"/>
      <c r="X109" s="841"/>
      <c r="Y109" s="464">
        <f>AF28+(AF28*$G28)</f>
        <v>427170.86718122364</v>
      </c>
      <c r="Z109" s="475">
        <f t="shared" ref="Z109:AF110" si="74">Y109+(Y109*$G28)</f>
        <v>437850.13886075426</v>
      </c>
      <c r="AA109" s="475">
        <f t="shared" si="74"/>
        <v>448796.39233227313</v>
      </c>
      <c r="AB109" s="475">
        <f t="shared" si="74"/>
        <v>460016.30214057997</v>
      </c>
      <c r="AC109" s="475">
        <f t="shared" si="74"/>
        <v>471516.70969409449</v>
      </c>
      <c r="AD109" s="475">
        <f t="shared" si="74"/>
        <v>483304.62743644684</v>
      </c>
      <c r="AE109" s="475">
        <f t="shared" si="74"/>
        <v>495387.24312235799</v>
      </c>
      <c r="AF109" s="476">
        <f t="shared" si="74"/>
        <v>507771.92420041695</v>
      </c>
      <c r="AG109" s="2199"/>
    </row>
    <row r="110" spans="2:33" x14ac:dyDescent="0.25">
      <c r="B110" s="290"/>
      <c r="C110" s="474" t="s">
        <v>355</v>
      </c>
      <c r="D110" s="1038"/>
      <c r="E110" s="1038"/>
      <c r="F110" s="1038"/>
      <c r="G110" s="1038"/>
      <c r="H110" s="464">
        <f>O29+(O29*$G29)</f>
        <v>0</v>
      </c>
      <c r="I110" s="475">
        <f>H110+(H110*$G29)</f>
        <v>0</v>
      </c>
      <c r="J110" s="475">
        <f t="shared" ref="J110:O110" si="75">I110+(I110*$G29)</f>
        <v>0</v>
      </c>
      <c r="K110" s="475">
        <f t="shared" si="75"/>
        <v>0</v>
      </c>
      <c r="L110" s="475">
        <f t="shared" si="75"/>
        <v>0</v>
      </c>
      <c r="M110" s="475">
        <f t="shared" si="75"/>
        <v>0</v>
      </c>
      <c r="N110" s="475">
        <f t="shared" si="75"/>
        <v>0</v>
      </c>
      <c r="O110" s="476">
        <f t="shared" si="75"/>
        <v>0</v>
      </c>
      <c r="P110" s="251"/>
      <c r="Q110" s="290"/>
      <c r="R110" s="2022"/>
      <c r="S110" s="474" t="s">
        <v>355</v>
      </c>
      <c r="T110" s="841"/>
      <c r="U110" s="841"/>
      <c r="V110" s="841"/>
      <c r="W110" s="841"/>
      <c r="X110" s="841"/>
      <c r="Y110" s="464">
        <f>AF29+(AF29*$G29)</f>
        <v>0</v>
      </c>
      <c r="Z110" s="475">
        <f t="shared" si="74"/>
        <v>0</v>
      </c>
      <c r="AA110" s="475">
        <f t="shared" si="74"/>
        <v>0</v>
      </c>
      <c r="AB110" s="475">
        <f t="shared" si="74"/>
        <v>0</v>
      </c>
      <c r="AC110" s="475">
        <f t="shared" si="74"/>
        <v>0</v>
      </c>
      <c r="AD110" s="475">
        <f t="shared" si="74"/>
        <v>0</v>
      </c>
      <c r="AE110" s="475">
        <f t="shared" si="74"/>
        <v>0</v>
      </c>
      <c r="AF110" s="476">
        <f t="shared" si="74"/>
        <v>0</v>
      </c>
      <c r="AG110" s="2199"/>
    </row>
    <row r="111" spans="2:33" x14ac:dyDescent="0.25">
      <c r="B111" s="290"/>
      <c r="C111" s="474" t="s">
        <v>365</v>
      </c>
      <c r="D111" s="1038"/>
      <c r="E111" s="1038"/>
      <c r="F111" s="1038"/>
      <c r="G111" s="1038"/>
      <c r="H111" s="464">
        <v>0</v>
      </c>
      <c r="I111" s="475">
        <v>0</v>
      </c>
      <c r="J111" s="475">
        <v>0</v>
      </c>
      <c r="K111" s="475">
        <v>0</v>
      </c>
      <c r="L111" s="475">
        <v>0</v>
      </c>
      <c r="M111" s="475">
        <v>0</v>
      </c>
      <c r="N111" s="475">
        <v>0</v>
      </c>
      <c r="O111" s="476">
        <v>0</v>
      </c>
      <c r="P111" s="251"/>
      <c r="Q111" s="290"/>
      <c r="R111" s="2022"/>
      <c r="S111" s="474" t="s">
        <v>365</v>
      </c>
      <c r="T111" s="841"/>
      <c r="U111" s="841"/>
      <c r="V111" s="841"/>
      <c r="W111" s="841"/>
      <c r="X111" s="841"/>
      <c r="Y111" s="464">
        <v>0</v>
      </c>
      <c r="Z111" s="475">
        <v>0</v>
      </c>
      <c r="AA111" s="475">
        <v>0</v>
      </c>
      <c r="AB111" s="475">
        <v>0</v>
      </c>
      <c r="AC111" s="475">
        <v>0</v>
      </c>
      <c r="AD111" s="475">
        <v>0</v>
      </c>
      <c r="AE111" s="475">
        <v>0</v>
      </c>
      <c r="AF111" s="476">
        <v>0</v>
      </c>
      <c r="AG111" s="2199"/>
    </row>
    <row r="112" spans="2:33" x14ac:dyDescent="0.25">
      <c r="B112" s="290"/>
      <c r="C112" s="474" t="s">
        <v>473</v>
      </c>
      <c r="D112" s="2566" t="str">
        <f>IF(D31=0,"",D31)</f>
        <v>Laundry, Forfeited Deposits, App Fees, Parking</v>
      </c>
      <c r="E112" s="2567"/>
      <c r="F112" s="2567"/>
      <c r="G112" s="428"/>
      <c r="H112" s="464">
        <f>O31+(O31*$G31)</f>
        <v>24260.241300752798</v>
      </c>
      <c r="I112" s="475">
        <f>H112+(H112*$G31)</f>
        <v>24745.446126767853</v>
      </c>
      <c r="J112" s="475">
        <f t="shared" ref="J112:O112" si="76">I112+(I112*$G31)</f>
        <v>25240.355049303209</v>
      </c>
      <c r="K112" s="475">
        <f t="shared" si="76"/>
        <v>25745.162150289274</v>
      </c>
      <c r="L112" s="475">
        <f t="shared" si="76"/>
        <v>26260.065393295059</v>
      </c>
      <c r="M112" s="475">
        <f t="shared" si="76"/>
        <v>26785.266701160959</v>
      </c>
      <c r="N112" s="475">
        <f t="shared" si="76"/>
        <v>27320.972035184179</v>
      </c>
      <c r="O112" s="476">
        <f t="shared" si="76"/>
        <v>27867.391475887864</v>
      </c>
      <c r="P112" s="251"/>
      <c r="Q112" s="290"/>
      <c r="R112" s="2022"/>
      <c r="S112" s="474" t="s">
        <v>473</v>
      </c>
      <c r="T112" s="2566" t="str">
        <f>IF(T31=0,"",T31)</f>
        <v>Laundry, Forfeited Deposits, App Fees, Parking</v>
      </c>
      <c r="U112" s="2602"/>
      <c r="V112" s="2602"/>
      <c r="W112" s="487"/>
      <c r="X112" s="428"/>
      <c r="Y112" s="464">
        <f>AF31+(AF31*$G31)</f>
        <v>13232.858891319705</v>
      </c>
      <c r="Z112" s="475">
        <f t="shared" ref="Z112:AF113" si="77">Y112+(Y112*$G31)</f>
        <v>13497.516069146099</v>
      </c>
      <c r="AA112" s="475">
        <f t="shared" si="77"/>
        <v>13767.46639052902</v>
      </c>
      <c r="AB112" s="475">
        <f t="shared" si="77"/>
        <v>14042.8157183396</v>
      </c>
      <c r="AC112" s="475">
        <f t="shared" si="77"/>
        <v>14323.672032706392</v>
      </c>
      <c r="AD112" s="475">
        <f t="shared" si="77"/>
        <v>14610.145473360521</v>
      </c>
      <c r="AE112" s="475">
        <f t="shared" si="77"/>
        <v>14902.348382827731</v>
      </c>
      <c r="AF112" s="476">
        <f t="shared" si="77"/>
        <v>15200.395350484287</v>
      </c>
      <c r="AG112" s="2199"/>
    </row>
    <row r="113" spans="2:33" x14ac:dyDescent="0.25">
      <c r="B113" s="290"/>
      <c r="C113" s="456" t="s">
        <v>473</v>
      </c>
      <c r="D113" s="2566" t="str">
        <f>IF(D32=0,"",D32)</f>
        <v/>
      </c>
      <c r="E113" s="2567"/>
      <c r="F113" s="2567"/>
      <c r="G113" s="428"/>
      <c r="H113" s="464">
        <f>O32+(O32*$G32)</f>
        <v>0</v>
      </c>
      <c r="I113" s="475">
        <f>H113+(H113*$G32)</f>
        <v>0</v>
      </c>
      <c r="J113" s="475">
        <f t="shared" ref="J113:O113" si="78">I113+(I113*$G32)</f>
        <v>0</v>
      </c>
      <c r="K113" s="475">
        <f t="shared" si="78"/>
        <v>0</v>
      </c>
      <c r="L113" s="475">
        <f t="shared" si="78"/>
        <v>0</v>
      </c>
      <c r="M113" s="475">
        <f t="shared" si="78"/>
        <v>0</v>
      </c>
      <c r="N113" s="475">
        <f t="shared" si="78"/>
        <v>0</v>
      </c>
      <c r="O113" s="476">
        <f t="shared" si="78"/>
        <v>0</v>
      </c>
      <c r="P113" s="251"/>
      <c r="Q113" s="290"/>
      <c r="R113" s="2022"/>
      <c r="S113" s="456" t="s">
        <v>473</v>
      </c>
      <c r="T113" s="2566" t="str">
        <f>IF(T32=0,"",T32)</f>
        <v/>
      </c>
      <c r="U113" s="2602"/>
      <c r="V113" s="2602"/>
      <c r="W113" s="487"/>
      <c r="X113" s="428"/>
      <c r="Y113" s="464">
        <f>AF32+(AF32*$G32)</f>
        <v>0</v>
      </c>
      <c r="Z113" s="475">
        <f t="shared" si="77"/>
        <v>0</v>
      </c>
      <c r="AA113" s="475">
        <f t="shared" si="77"/>
        <v>0</v>
      </c>
      <c r="AB113" s="475">
        <f t="shared" si="77"/>
        <v>0</v>
      </c>
      <c r="AC113" s="475">
        <f t="shared" si="77"/>
        <v>0</v>
      </c>
      <c r="AD113" s="475">
        <f t="shared" si="77"/>
        <v>0</v>
      </c>
      <c r="AE113" s="475">
        <f t="shared" si="77"/>
        <v>0</v>
      </c>
      <c r="AF113" s="476">
        <f t="shared" si="77"/>
        <v>0</v>
      </c>
      <c r="AG113" s="2199"/>
    </row>
    <row r="114" spans="2:33" x14ac:dyDescent="0.25">
      <c r="B114" s="290"/>
      <c r="C114" s="428" t="s">
        <v>411</v>
      </c>
      <c r="D114" s="1038"/>
      <c r="E114" s="1038"/>
      <c r="F114" s="1038"/>
      <c r="G114" s="1038"/>
      <c r="H114" s="390">
        <f>SUM(H109:H113)</f>
        <v>1269284.9449498241</v>
      </c>
      <c r="I114" s="391">
        <f t="shared" ref="I114:N114" si="79">SUM(I109:I113)</f>
        <v>1300895.7673670659</v>
      </c>
      <c r="J114" s="391">
        <f t="shared" si="79"/>
        <v>1333294.4343206086</v>
      </c>
      <c r="K114" s="391">
        <f t="shared" si="79"/>
        <v>1366500.5934033771</v>
      </c>
      <c r="L114" s="391">
        <f t="shared" si="79"/>
        <v>1400534.3824277103</v>
      </c>
      <c r="M114" s="391">
        <f t="shared" si="79"/>
        <v>1435416.4416614366</v>
      </c>
      <c r="N114" s="391">
        <f t="shared" si="79"/>
        <v>1471167.9263694668</v>
      </c>
      <c r="O114" s="392">
        <f>SUM(O109:O113)</f>
        <v>1507810.5196685276</v>
      </c>
      <c r="P114" s="251"/>
      <c r="Q114" s="290"/>
      <c r="R114" s="2022"/>
      <c r="S114" s="428" t="s">
        <v>411</v>
      </c>
      <c r="T114" s="841"/>
      <c r="U114" s="841"/>
      <c r="V114" s="841"/>
      <c r="W114" s="841"/>
      <c r="X114" s="841"/>
      <c r="Y114" s="390">
        <f>SUM(Y109:Y113)</f>
        <v>440403.72607254336</v>
      </c>
      <c r="Z114" s="391">
        <f t="shared" ref="Z114:AE114" si="80">SUM(Z109:Z113)</f>
        <v>451347.65492990037</v>
      </c>
      <c r="AA114" s="391">
        <f t="shared" si="80"/>
        <v>462563.85872280214</v>
      </c>
      <c r="AB114" s="391">
        <f t="shared" si="80"/>
        <v>474059.11785891955</v>
      </c>
      <c r="AC114" s="391">
        <f t="shared" si="80"/>
        <v>485840.38172680087</v>
      </c>
      <c r="AD114" s="391">
        <f t="shared" si="80"/>
        <v>497914.77290980739</v>
      </c>
      <c r="AE114" s="391">
        <f t="shared" si="80"/>
        <v>510289.5915051857</v>
      </c>
      <c r="AF114" s="392">
        <f>SUM(AF109:AF113)</f>
        <v>522972.31955090124</v>
      </c>
      <c r="AG114" s="2199"/>
    </row>
    <row r="115" spans="2:33" x14ac:dyDescent="0.25">
      <c r="B115" s="290"/>
      <c r="C115" s="428"/>
      <c r="D115" s="1038"/>
      <c r="E115" s="1038"/>
      <c r="F115" s="1038"/>
      <c r="G115" s="1038"/>
      <c r="H115" s="393"/>
      <c r="I115" s="394"/>
      <c r="J115" s="394"/>
      <c r="K115" s="394"/>
      <c r="L115" s="394"/>
      <c r="M115" s="394"/>
      <c r="N115" s="394"/>
      <c r="O115" s="395"/>
      <c r="P115" s="251"/>
      <c r="Q115" s="290"/>
      <c r="R115" s="2022"/>
      <c r="S115" s="428"/>
      <c r="T115" s="841"/>
      <c r="U115" s="841"/>
      <c r="V115" s="841"/>
      <c r="W115" s="841"/>
      <c r="X115" s="841"/>
      <c r="Y115" s="393"/>
      <c r="Z115" s="394"/>
      <c r="AA115" s="394"/>
      <c r="AB115" s="394"/>
      <c r="AC115" s="394"/>
      <c r="AD115" s="394"/>
      <c r="AE115" s="394"/>
      <c r="AF115" s="395"/>
      <c r="AG115" s="2199"/>
    </row>
    <row r="116" spans="2:33" x14ac:dyDescent="0.25">
      <c r="B116" s="290"/>
      <c r="C116" s="428" t="s">
        <v>413</v>
      </c>
      <c r="D116" s="1038"/>
      <c r="E116" s="1038"/>
      <c r="F116" s="1038"/>
      <c r="G116" s="1038"/>
      <c r="H116" s="1472">
        <v>0</v>
      </c>
      <c r="I116" s="1473">
        <v>0</v>
      </c>
      <c r="J116" s="1473">
        <v>0</v>
      </c>
      <c r="K116" s="1473">
        <v>0</v>
      </c>
      <c r="L116" s="1473">
        <v>0</v>
      </c>
      <c r="M116" s="1473">
        <v>0</v>
      </c>
      <c r="N116" s="1473">
        <v>0</v>
      </c>
      <c r="O116" s="1474">
        <v>0</v>
      </c>
      <c r="P116" s="251"/>
      <c r="Q116" s="290"/>
      <c r="R116" s="2022"/>
      <c r="S116" s="428" t="s">
        <v>413</v>
      </c>
      <c r="T116" s="841"/>
      <c r="U116" s="841"/>
      <c r="V116" s="841"/>
      <c r="W116" s="841"/>
      <c r="X116" s="841"/>
      <c r="Y116" s="1472">
        <v>0</v>
      </c>
      <c r="Z116" s="1473">
        <v>0</v>
      </c>
      <c r="AA116" s="1473">
        <v>0</v>
      </c>
      <c r="AB116" s="1473">
        <v>0</v>
      </c>
      <c r="AC116" s="1473">
        <v>0</v>
      </c>
      <c r="AD116" s="1473">
        <v>0</v>
      </c>
      <c r="AE116" s="1473">
        <v>0</v>
      </c>
      <c r="AF116" s="1474">
        <v>0</v>
      </c>
      <c r="AG116" s="2199"/>
    </row>
    <row r="117" spans="2:33" x14ac:dyDescent="0.25">
      <c r="B117" s="290"/>
      <c r="C117" s="428"/>
      <c r="D117" s="1038"/>
      <c r="E117" s="1038"/>
      <c r="F117" s="1038"/>
      <c r="G117" s="1038"/>
      <c r="H117" s="393"/>
      <c r="I117" s="394"/>
      <c r="J117" s="394"/>
      <c r="K117" s="394"/>
      <c r="L117" s="394"/>
      <c r="M117" s="394"/>
      <c r="N117" s="394"/>
      <c r="O117" s="395"/>
      <c r="P117" s="251"/>
      <c r="Q117" s="290"/>
      <c r="R117" s="2022"/>
      <c r="S117" s="428"/>
      <c r="T117" s="841"/>
      <c r="U117" s="841"/>
      <c r="V117" s="841"/>
      <c r="W117" s="841"/>
      <c r="X117" s="841"/>
      <c r="Y117" s="393"/>
      <c r="Z117" s="394"/>
      <c r="AA117" s="394"/>
      <c r="AB117" s="394"/>
      <c r="AC117" s="394"/>
      <c r="AD117" s="394"/>
      <c r="AE117" s="394"/>
      <c r="AF117" s="395"/>
      <c r="AG117" s="2199"/>
    </row>
    <row r="118" spans="2:33" ht="15.75" thickBot="1" x14ac:dyDescent="0.3">
      <c r="B118" s="290"/>
      <c r="C118" s="431" t="s">
        <v>414</v>
      </c>
      <c r="D118" s="1150"/>
      <c r="E118" s="1150"/>
      <c r="F118" s="1150"/>
      <c r="G118" s="1150"/>
      <c r="H118" s="1475">
        <v>0</v>
      </c>
      <c r="I118" s="1476">
        <v>0</v>
      </c>
      <c r="J118" s="1476">
        <v>0</v>
      </c>
      <c r="K118" s="1476">
        <v>0</v>
      </c>
      <c r="L118" s="1476">
        <v>0</v>
      </c>
      <c r="M118" s="1476">
        <v>0</v>
      </c>
      <c r="N118" s="1476">
        <v>0</v>
      </c>
      <c r="O118" s="1477">
        <v>0</v>
      </c>
      <c r="P118" s="251"/>
      <c r="Q118" s="290"/>
      <c r="R118" s="2022"/>
      <c r="S118" s="431" t="s">
        <v>414</v>
      </c>
      <c r="T118" s="1150"/>
      <c r="U118" s="1150"/>
      <c r="V118" s="1150"/>
      <c r="W118" s="1150"/>
      <c r="X118" s="1150"/>
      <c r="Y118" s="1475">
        <v>0</v>
      </c>
      <c r="Z118" s="1476">
        <v>0</v>
      </c>
      <c r="AA118" s="1476">
        <v>0</v>
      </c>
      <c r="AB118" s="1476">
        <v>0</v>
      </c>
      <c r="AC118" s="1476">
        <v>0</v>
      </c>
      <c r="AD118" s="1476">
        <v>0</v>
      </c>
      <c r="AE118" s="1476">
        <v>0</v>
      </c>
      <c r="AF118" s="1477">
        <v>0</v>
      </c>
      <c r="AG118" s="2199"/>
    </row>
    <row r="119" spans="2:33" ht="15.75" thickTop="1" x14ac:dyDescent="0.25">
      <c r="B119" s="290"/>
      <c r="C119" s="420" t="s">
        <v>415</v>
      </c>
      <c r="D119" s="1038"/>
      <c r="E119" s="1038"/>
      <c r="F119" s="1038"/>
      <c r="G119" s="1038"/>
      <c r="H119" s="396">
        <f>H114+H116+H118</f>
        <v>1269284.9449498241</v>
      </c>
      <c r="I119" s="397">
        <f t="shared" ref="I119:N119" si="81">I114+I116+I118</f>
        <v>1300895.7673670659</v>
      </c>
      <c r="J119" s="397">
        <f t="shared" si="81"/>
        <v>1333294.4343206086</v>
      </c>
      <c r="K119" s="397">
        <f t="shared" si="81"/>
        <v>1366500.5934033771</v>
      </c>
      <c r="L119" s="397">
        <f t="shared" si="81"/>
        <v>1400534.3824277103</v>
      </c>
      <c r="M119" s="397">
        <f t="shared" si="81"/>
        <v>1435416.4416614366</v>
      </c>
      <c r="N119" s="397">
        <f t="shared" si="81"/>
        <v>1471167.9263694668</v>
      </c>
      <c r="O119" s="398">
        <f>O114+O116+O118</f>
        <v>1507810.5196685276</v>
      </c>
      <c r="P119" s="251"/>
      <c r="Q119" s="290"/>
      <c r="R119" s="2022"/>
      <c r="S119" s="420" t="s">
        <v>415</v>
      </c>
      <c r="T119" s="841"/>
      <c r="U119" s="841"/>
      <c r="V119" s="841"/>
      <c r="W119" s="841"/>
      <c r="X119" s="841"/>
      <c r="Y119" s="396">
        <f>Y114+Y116+Y118</f>
        <v>440403.72607254336</v>
      </c>
      <c r="Z119" s="397">
        <f t="shared" ref="Z119:AE119" si="82">Z114+Z116+Z118</f>
        <v>451347.65492990037</v>
      </c>
      <c r="AA119" s="397">
        <f t="shared" si="82"/>
        <v>462563.85872280214</v>
      </c>
      <c r="AB119" s="397">
        <f t="shared" si="82"/>
        <v>474059.11785891955</v>
      </c>
      <c r="AC119" s="397">
        <f t="shared" si="82"/>
        <v>485840.38172680087</v>
      </c>
      <c r="AD119" s="397">
        <f t="shared" si="82"/>
        <v>497914.77290980739</v>
      </c>
      <c r="AE119" s="397">
        <f t="shared" si="82"/>
        <v>510289.5915051857</v>
      </c>
      <c r="AF119" s="398">
        <f>AF114+AF116+AF118</f>
        <v>522972.31955090124</v>
      </c>
      <c r="AG119" s="2199"/>
    </row>
    <row r="120" spans="2:33" x14ac:dyDescent="0.25">
      <c r="B120" s="290"/>
      <c r="C120" s="420"/>
      <c r="D120" s="1038"/>
      <c r="E120" s="1038"/>
      <c r="F120" s="1038"/>
      <c r="G120" s="1038"/>
      <c r="H120" s="393"/>
      <c r="I120" s="394"/>
      <c r="J120" s="394"/>
      <c r="K120" s="394"/>
      <c r="L120" s="394"/>
      <c r="M120" s="394"/>
      <c r="N120" s="394"/>
      <c r="O120" s="395"/>
      <c r="P120" s="251"/>
      <c r="Q120" s="290"/>
      <c r="R120" s="2022"/>
      <c r="S120" s="420"/>
      <c r="T120" s="841"/>
      <c r="U120" s="841"/>
      <c r="V120" s="841"/>
      <c r="W120" s="841"/>
      <c r="X120" s="841"/>
      <c r="Y120" s="393"/>
      <c r="Z120" s="394"/>
      <c r="AA120" s="394"/>
      <c r="AB120" s="394"/>
      <c r="AC120" s="394"/>
      <c r="AD120" s="394"/>
      <c r="AE120" s="394"/>
      <c r="AF120" s="395"/>
      <c r="AG120" s="2199"/>
    </row>
    <row r="121" spans="2:33" x14ac:dyDescent="0.25">
      <c r="B121" s="290"/>
      <c r="C121" s="477" t="s">
        <v>474</v>
      </c>
      <c r="D121" s="1038"/>
      <c r="E121" s="1038"/>
      <c r="F121" s="1038"/>
      <c r="G121" s="1038"/>
      <c r="H121" s="1176">
        <f>-H114*$G40</f>
        <v>-63464.247247491207</v>
      </c>
      <c r="I121" s="1177">
        <f t="shared" ref="I121:O121" si="83">-I114*$G40</f>
        <v>-65044.7883683533</v>
      </c>
      <c r="J121" s="1177">
        <f t="shared" si="83"/>
        <v>-66664.721716030428</v>
      </c>
      <c r="K121" s="1177">
        <f t="shared" si="83"/>
        <v>-68325.029670168864</v>
      </c>
      <c r="L121" s="1177">
        <f t="shared" si="83"/>
        <v>-70026.719121385526</v>
      </c>
      <c r="M121" s="1177">
        <f t="shared" si="83"/>
        <v>-71770.822083071835</v>
      </c>
      <c r="N121" s="1177">
        <f t="shared" si="83"/>
        <v>-73558.396318473344</v>
      </c>
      <c r="O121" s="1178">
        <f t="shared" si="83"/>
        <v>-75390.525983426385</v>
      </c>
      <c r="P121" s="251"/>
      <c r="Q121" s="290"/>
      <c r="R121" s="2022"/>
      <c r="S121" s="477" t="s">
        <v>474</v>
      </c>
      <c r="T121" s="841"/>
      <c r="U121" s="841"/>
      <c r="V121" s="841"/>
      <c r="W121" s="841"/>
      <c r="X121" s="841"/>
      <c r="Y121" s="1176">
        <f>-Y114*$G40</f>
        <v>-22020.186303627168</v>
      </c>
      <c r="Z121" s="1177">
        <f t="shared" ref="Z121:AF121" si="84">-Z114*$G40</f>
        <v>-22567.382746495019</v>
      </c>
      <c r="AA121" s="1177">
        <f t="shared" si="84"/>
        <v>-23128.192936140109</v>
      </c>
      <c r="AB121" s="1177">
        <f t="shared" si="84"/>
        <v>-23702.955892945978</v>
      </c>
      <c r="AC121" s="1177">
        <f t="shared" si="84"/>
        <v>-24292.019086340046</v>
      </c>
      <c r="AD121" s="1177">
        <f t="shared" si="84"/>
        <v>-24895.738645490372</v>
      </c>
      <c r="AE121" s="1177">
        <f t="shared" si="84"/>
        <v>-25514.479575259287</v>
      </c>
      <c r="AF121" s="1178">
        <f t="shared" si="84"/>
        <v>-26148.615977545065</v>
      </c>
      <c r="AG121" s="2199"/>
    </row>
    <row r="122" spans="2:33" ht="15.75" thickBot="1" x14ac:dyDescent="0.3">
      <c r="B122" s="290"/>
      <c r="C122" s="435" t="s">
        <v>475</v>
      </c>
      <c r="D122" s="1150"/>
      <c r="E122" s="1150"/>
      <c r="F122" s="1150"/>
      <c r="G122" s="1150"/>
      <c r="H122" s="1179">
        <f>-H118*$G41</f>
        <v>0</v>
      </c>
      <c r="I122" s="1180">
        <f>-I118*$G41</f>
        <v>0</v>
      </c>
      <c r="J122" s="1180">
        <f t="shared" ref="J122:O122" si="85">-J118*$G41</f>
        <v>0</v>
      </c>
      <c r="K122" s="1180">
        <f t="shared" si="85"/>
        <v>0</v>
      </c>
      <c r="L122" s="1180">
        <f t="shared" si="85"/>
        <v>0</v>
      </c>
      <c r="M122" s="1180">
        <f t="shared" si="85"/>
        <v>0</v>
      </c>
      <c r="N122" s="1180">
        <f t="shared" si="85"/>
        <v>0</v>
      </c>
      <c r="O122" s="1181">
        <f t="shared" si="85"/>
        <v>0</v>
      </c>
      <c r="P122" s="251"/>
      <c r="Q122" s="290"/>
      <c r="R122" s="2022"/>
      <c r="S122" s="435" t="s">
        <v>475</v>
      </c>
      <c r="T122" s="1150"/>
      <c r="U122" s="1150"/>
      <c r="V122" s="1150"/>
      <c r="W122" s="1150"/>
      <c r="X122" s="1150"/>
      <c r="Y122" s="1179">
        <f>-Y118*$G41</f>
        <v>0</v>
      </c>
      <c r="Z122" s="1180">
        <f>-Z118*$G41</f>
        <v>0</v>
      </c>
      <c r="AA122" s="1180">
        <f t="shared" ref="AA122:AF122" si="86">-AA118*$G41</f>
        <v>0</v>
      </c>
      <c r="AB122" s="1180">
        <f t="shared" si="86"/>
        <v>0</v>
      </c>
      <c r="AC122" s="1180">
        <f t="shared" si="86"/>
        <v>0</v>
      </c>
      <c r="AD122" s="1180">
        <f t="shared" si="86"/>
        <v>0</v>
      </c>
      <c r="AE122" s="1180">
        <f t="shared" si="86"/>
        <v>0</v>
      </c>
      <c r="AF122" s="1181">
        <f t="shared" si="86"/>
        <v>0</v>
      </c>
      <c r="AG122" s="2199"/>
    </row>
    <row r="123" spans="2:33" ht="16.5" thickTop="1" thickBot="1" x14ac:dyDescent="0.3">
      <c r="B123" s="290"/>
      <c r="C123" s="436" t="s">
        <v>419</v>
      </c>
      <c r="D123" s="1038"/>
      <c r="E123" s="1038"/>
      <c r="F123" s="1038"/>
      <c r="G123" s="1038"/>
      <c r="H123" s="399">
        <f>H119+H121+H122</f>
        <v>1205820.6977023329</v>
      </c>
      <c r="I123" s="400">
        <f t="shared" ref="I123:N123" si="87">I119+I121+I122</f>
        <v>1235850.9789987125</v>
      </c>
      <c r="J123" s="401">
        <f t="shared" si="87"/>
        <v>1266629.7126045781</v>
      </c>
      <c r="K123" s="401">
        <f t="shared" si="87"/>
        <v>1298175.5637332082</v>
      </c>
      <c r="L123" s="401">
        <f t="shared" si="87"/>
        <v>1330507.6633063247</v>
      </c>
      <c r="M123" s="401">
        <f t="shared" si="87"/>
        <v>1363645.6195783648</v>
      </c>
      <c r="N123" s="401">
        <f t="shared" si="87"/>
        <v>1397609.5300509934</v>
      </c>
      <c r="O123" s="402">
        <f>O119+O121+O122</f>
        <v>1432419.9936851012</v>
      </c>
      <c r="P123" s="251"/>
      <c r="Q123" s="290"/>
      <c r="R123" s="2022"/>
      <c r="S123" s="436" t="s">
        <v>419</v>
      </c>
      <c r="T123" s="841"/>
      <c r="U123" s="841"/>
      <c r="V123" s="841"/>
      <c r="W123" s="841"/>
      <c r="X123" s="841"/>
      <c r="Y123" s="399">
        <f>Y119+Y121+Y122</f>
        <v>418383.53976891621</v>
      </c>
      <c r="Z123" s="400">
        <f t="shared" ref="Z123:AE123" si="88">Z119+Z121+Z122</f>
        <v>428780.27218340535</v>
      </c>
      <c r="AA123" s="401">
        <f t="shared" si="88"/>
        <v>439435.66578666202</v>
      </c>
      <c r="AB123" s="401">
        <f t="shared" si="88"/>
        <v>450356.16196597356</v>
      </c>
      <c r="AC123" s="401">
        <f t="shared" si="88"/>
        <v>461548.36264046084</v>
      </c>
      <c r="AD123" s="401">
        <f t="shared" si="88"/>
        <v>473019.03426431702</v>
      </c>
      <c r="AE123" s="401">
        <f t="shared" si="88"/>
        <v>484775.11192992644</v>
      </c>
      <c r="AF123" s="402">
        <f>AF119+AF121+AF122</f>
        <v>496823.70357335615</v>
      </c>
      <c r="AG123" s="2199"/>
    </row>
    <row r="124" spans="2:33" ht="7.5" customHeight="1" x14ac:dyDescent="0.25">
      <c r="B124" s="290"/>
      <c r="C124" s="250"/>
      <c r="D124" s="250"/>
      <c r="E124" s="250"/>
      <c r="F124" s="250"/>
      <c r="G124" s="250"/>
      <c r="H124" s="250"/>
      <c r="I124" s="250"/>
      <c r="J124" s="250"/>
      <c r="K124" s="250"/>
      <c r="L124" s="250"/>
      <c r="M124" s="250"/>
      <c r="N124" s="250"/>
      <c r="O124" s="250"/>
      <c r="P124" s="251"/>
      <c r="Q124" s="290"/>
      <c r="R124" s="2022"/>
      <c r="S124" s="841"/>
      <c r="T124" s="841"/>
      <c r="U124" s="841"/>
      <c r="V124" s="841"/>
      <c r="W124" s="841"/>
      <c r="X124" s="841"/>
      <c r="Y124" s="841"/>
      <c r="Z124" s="841"/>
      <c r="AA124" s="841"/>
      <c r="AB124" s="841"/>
      <c r="AC124" s="841"/>
      <c r="AD124" s="841"/>
      <c r="AE124" s="841"/>
      <c r="AF124" s="841"/>
      <c r="AG124" s="2199"/>
    </row>
    <row r="125" spans="2:33" ht="15.75" thickBot="1" x14ac:dyDescent="0.3">
      <c r="B125" s="413"/>
      <c r="C125" s="359" t="s">
        <v>420</v>
      </c>
      <c r="D125" s="360"/>
      <c r="E125" s="360"/>
      <c r="F125" s="360"/>
      <c r="G125" s="360"/>
      <c r="H125" s="360"/>
      <c r="I125" s="360"/>
      <c r="J125" s="360"/>
      <c r="K125" s="360"/>
      <c r="L125" s="361"/>
      <c r="M125" s="360"/>
      <c r="N125" s="360"/>
      <c r="O125" s="360"/>
      <c r="P125" s="417"/>
      <c r="Q125" s="413"/>
      <c r="R125" s="413"/>
      <c r="S125" s="359" t="s">
        <v>420</v>
      </c>
      <c r="T125" s="360"/>
      <c r="U125" s="360"/>
      <c r="V125" s="360"/>
      <c r="W125" s="360"/>
      <c r="X125" s="360"/>
      <c r="Y125" s="360"/>
      <c r="Z125" s="360"/>
      <c r="AA125" s="360"/>
      <c r="AB125" s="360"/>
      <c r="AC125" s="361"/>
      <c r="AD125" s="360"/>
      <c r="AE125" s="360"/>
      <c r="AF125" s="360"/>
      <c r="AG125" s="417"/>
    </row>
    <row r="126" spans="2:33" ht="15.75" thickBot="1" x14ac:dyDescent="0.3">
      <c r="B126" s="413"/>
      <c r="C126" s="420" t="s">
        <v>421</v>
      </c>
      <c r="D126" s="411"/>
      <c r="E126" s="428"/>
      <c r="F126" s="250"/>
      <c r="G126" s="411"/>
      <c r="H126" s="342" t="s">
        <v>465</v>
      </c>
      <c r="I126" s="342" t="s">
        <v>466</v>
      </c>
      <c r="J126" s="342" t="s">
        <v>467</v>
      </c>
      <c r="K126" s="342" t="s">
        <v>468</v>
      </c>
      <c r="L126" s="342" t="s">
        <v>469</v>
      </c>
      <c r="M126" s="342" t="s">
        <v>470</v>
      </c>
      <c r="N126" s="342" t="s">
        <v>471</v>
      </c>
      <c r="O126" s="388" t="s">
        <v>472</v>
      </c>
      <c r="P126" s="412"/>
      <c r="Q126" s="413"/>
      <c r="R126" s="413"/>
      <c r="S126" s="420" t="s">
        <v>421</v>
      </c>
      <c r="T126" s="411"/>
      <c r="U126" s="428"/>
      <c r="V126" s="841"/>
      <c r="W126" s="841"/>
      <c r="X126" s="411"/>
      <c r="Y126" s="342" t="s">
        <v>465</v>
      </c>
      <c r="Z126" s="342" t="s">
        <v>466</v>
      </c>
      <c r="AA126" s="342" t="s">
        <v>467</v>
      </c>
      <c r="AB126" s="342" t="s">
        <v>468</v>
      </c>
      <c r="AC126" s="342" t="s">
        <v>469</v>
      </c>
      <c r="AD126" s="342" t="s">
        <v>470</v>
      </c>
      <c r="AE126" s="342" t="s">
        <v>471</v>
      </c>
      <c r="AF126" s="388" t="s">
        <v>472</v>
      </c>
      <c r="AG126" s="412"/>
    </row>
    <row r="127" spans="2:33" x14ac:dyDescent="0.25">
      <c r="B127" s="413"/>
      <c r="C127" s="439" t="s">
        <v>423</v>
      </c>
      <c r="D127" s="440"/>
      <c r="E127" s="441"/>
      <c r="F127" s="440"/>
      <c r="G127" s="441"/>
      <c r="H127" s="443">
        <f t="shared" ref="H127:H147" si="89">O46+($F46*O46)</f>
        <v>208386.62044853711</v>
      </c>
      <c r="I127" s="444">
        <f t="shared" ref="I127:I147" si="90">H127+(H127*$F46)</f>
        <v>215680.15216423591</v>
      </c>
      <c r="J127" s="444">
        <f t="shared" ref="J127:O127" si="91">I127+(I127*$F46)</f>
        <v>223228.95748998417</v>
      </c>
      <c r="K127" s="444">
        <f t="shared" si="91"/>
        <v>231041.97100213362</v>
      </c>
      <c r="L127" s="444">
        <f t="shared" si="91"/>
        <v>239128.43998720829</v>
      </c>
      <c r="M127" s="444">
        <f t="shared" si="91"/>
        <v>247497.93538676057</v>
      </c>
      <c r="N127" s="444">
        <f t="shared" si="91"/>
        <v>256160.36312529718</v>
      </c>
      <c r="O127" s="445">
        <f t="shared" si="91"/>
        <v>265125.97583468258</v>
      </c>
      <c r="P127" s="412"/>
      <c r="Q127" s="413"/>
      <c r="R127" s="413"/>
      <c r="S127" s="439" t="s">
        <v>423</v>
      </c>
      <c r="T127" s="440"/>
      <c r="U127" s="441"/>
      <c r="V127" s="440"/>
      <c r="W127" s="440"/>
      <c r="X127" s="441"/>
      <c r="Y127" s="443">
        <f t="shared" ref="Y127:Y147" si="92">AF46+($F46*AF46)</f>
        <v>94721.191112971399</v>
      </c>
      <c r="Z127" s="444">
        <f t="shared" ref="Z127:Z147" si="93">Y127+(Y127*$F46)</f>
        <v>98036.432801925403</v>
      </c>
      <c r="AA127" s="444">
        <f t="shared" ref="AA127:AA147" si="94">Z127+(Z127*$F46)</f>
        <v>101467.70794999279</v>
      </c>
      <c r="AB127" s="444">
        <f t="shared" ref="AB127:AB147" si="95">AA127+(AA127*$F46)</f>
        <v>105019.07772824254</v>
      </c>
      <c r="AC127" s="444">
        <f t="shared" ref="AC127:AC147" si="96">AB127+(AB127*$F46)</f>
        <v>108694.74544873103</v>
      </c>
      <c r="AD127" s="444">
        <f t="shared" ref="AD127:AD147" si="97">AC127+(AC127*$F46)</f>
        <v>112499.06153943662</v>
      </c>
      <c r="AE127" s="444">
        <f t="shared" ref="AE127:AE147" si="98">AD127+(AD127*$F46)</f>
        <v>116436.5286933169</v>
      </c>
      <c r="AF127" s="445">
        <f t="shared" ref="AF127:AF147" si="99">AE127+(AE127*$F46)</f>
        <v>120511.807197583</v>
      </c>
      <c r="AG127" s="412"/>
    </row>
    <row r="128" spans="2:33" x14ac:dyDescent="0.25">
      <c r="B128" s="413"/>
      <c r="C128" s="447" t="s">
        <v>424</v>
      </c>
      <c r="D128" s="448"/>
      <c r="E128" s="449"/>
      <c r="F128" s="448"/>
      <c r="G128" s="449"/>
      <c r="H128" s="451">
        <f t="shared" si="89"/>
        <v>64489.291271112081</v>
      </c>
      <c r="I128" s="452">
        <f t="shared" si="90"/>
        <v>66746.416465601011</v>
      </c>
      <c r="J128" s="452">
        <f t="shared" ref="J128:O137" si="100">I128+(I128*$F47)</f>
        <v>69082.541041897042</v>
      </c>
      <c r="K128" s="452">
        <f t="shared" si="100"/>
        <v>71500.429978363434</v>
      </c>
      <c r="L128" s="452">
        <f t="shared" si="100"/>
        <v>74002.945027606154</v>
      </c>
      <c r="M128" s="452">
        <f t="shared" si="100"/>
        <v>76593.048103572364</v>
      </c>
      <c r="N128" s="452">
        <f t="shared" si="100"/>
        <v>79273.804787197398</v>
      </c>
      <c r="O128" s="453">
        <f t="shared" si="100"/>
        <v>82048.387954749312</v>
      </c>
      <c r="P128" s="412"/>
      <c r="Q128" s="413"/>
      <c r="R128" s="413"/>
      <c r="S128" s="447" t="s">
        <v>424</v>
      </c>
      <c r="T128" s="448"/>
      <c r="U128" s="449"/>
      <c r="V128" s="448"/>
      <c r="W128" s="448"/>
      <c r="X128" s="449"/>
      <c r="Y128" s="451">
        <f t="shared" si="92"/>
        <v>50204.139708768991</v>
      </c>
      <c r="Z128" s="452">
        <f t="shared" si="93"/>
        <v>51961.284598575905</v>
      </c>
      <c r="AA128" s="452">
        <f t="shared" si="94"/>
        <v>53779.929559526063</v>
      </c>
      <c r="AB128" s="452">
        <f t="shared" si="95"/>
        <v>55662.227094109476</v>
      </c>
      <c r="AC128" s="452">
        <f t="shared" si="96"/>
        <v>57610.405042403305</v>
      </c>
      <c r="AD128" s="452">
        <f t="shared" si="97"/>
        <v>59626.769218887421</v>
      </c>
      <c r="AE128" s="452">
        <f t="shared" si="98"/>
        <v>61713.706141548479</v>
      </c>
      <c r="AF128" s="453">
        <f t="shared" si="99"/>
        <v>63873.685856502678</v>
      </c>
      <c r="AG128" s="412"/>
    </row>
    <row r="129" spans="2:33" x14ac:dyDescent="0.25">
      <c r="B129" s="413"/>
      <c r="C129" s="447" t="s">
        <v>425</v>
      </c>
      <c r="D129" s="448"/>
      <c r="E129" s="449"/>
      <c r="F129" s="448"/>
      <c r="G129" s="449"/>
      <c r="H129" s="451">
        <f t="shared" si="89"/>
        <v>14107.032465555769</v>
      </c>
      <c r="I129" s="452">
        <f t="shared" si="90"/>
        <v>14600.778601850221</v>
      </c>
      <c r="J129" s="452">
        <f t="shared" si="100"/>
        <v>15111.805852914978</v>
      </c>
      <c r="K129" s="452">
        <f t="shared" si="100"/>
        <v>15640.719057767003</v>
      </c>
      <c r="L129" s="452">
        <f t="shared" si="100"/>
        <v>16188.144224788848</v>
      </c>
      <c r="M129" s="452">
        <f t="shared" si="100"/>
        <v>16754.729272656459</v>
      </c>
      <c r="N129" s="452">
        <f t="shared" si="100"/>
        <v>17341.144797199435</v>
      </c>
      <c r="O129" s="453">
        <f t="shared" si="100"/>
        <v>17948.084865101417</v>
      </c>
      <c r="P129" s="412"/>
      <c r="Q129" s="413"/>
      <c r="R129" s="413"/>
      <c r="S129" s="447" t="s">
        <v>425</v>
      </c>
      <c r="T129" s="448"/>
      <c r="U129" s="449"/>
      <c r="V129" s="448"/>
      <c r="W129" s="448"/>
      <c r="X129" s="449"/>
      <c r="Y129" s="451">
        <f t="shared" si="92"/>
        <v>6412.2874843435302</v>
      </c>
      <c r="Z129" s="452">
        <f t="shared" si="93"/>
        <v>6636.7175462955538</v>
      </c>
      <c r="AA129" s="452">
        <f t="shared" si="94"/>
        <v>6869.0026604158984</v>
      </c>
      <c r="AB129" s="452">
        <f t="shared" si="95"/>
        <v>7109.4177535304552</v>
      </c>
      <c r="AC129" s="452">
        <f t="shared" si="96"/>
        <v>7358.2473749040209</v>
      </c>
      <c r="AD129" s="452">
        <f t="shared" si="97"/>
        <v>7615.7860330256617</v>
      </c>
      <c r="AE129" s="452">
        <f t="shared" si="98"/>
        <v>7882.3385441815599</v>
      </c>
      <c r="AF129" s="453">
        <f t="shared" si="99"/>
        <v>8158.2203932279144</v>
      </c>
      <c r="AG129" s="412"/>
    </row>
    <row r="130" spans="2:33" x14ac:dyDescent="0.25">
      <c r="B130" s="413"/>
      <c r="C130" s="447" t="s">
        <v>426</v>
      </c>
      <c r="D130" s="449"/>
      <c r="E130" s="448"/>
      <c r="F130" s="478"/>
      <c r="G130" s="449"/>
      <c r="H130" s="451">
        <f t="shared" si="89"/>
        <v>0</v>
      </c>
      <c r="I130" s="452">
        <f t="shared" si="90"/>
        <v>0</v>
      </c>
      <c r="J130" s="452">
        <f t="shared" si="100"/>
        <v>0</v>
      </c>
      <c r="K130" s="452">
        <f t="shared" si="100"/>
        <v>0</v>
      </c>
      <c r="L130" s="452">
        <f t="shared" si="100"/>
        <v>0</v>
      </c>
      <c r="M130" s="452">
        <f t="shared" si="100"/>
        <v>0</v>
      </c>
      <c r="N130" s="452">
        <f t="shared" si="100"/>
        <v>0</v>
      </c>
      <c r="O130" s="453">
        <f t="shared" si="100"/>
        <v>0</v>
      </c>
      <c r="P130" s="412"/>
      <c r="Q130" s="413"/>
      <c r="R130" s="413"/>
      <c r="S130" s="447" t="s">
        <v>426</v>
      </c>
      <c r="T130" s="449"/>
      <c r="U130" s="448"/>
      <c r="V130" s="478"/>
      <c r="W130" s="478"/>
      <c r="X130" s="449"/>
      <c r="Y130" s="451">
        <f t="shared" si="92"/>
        <v>7531.8932355781153</v>
      </c>
      <c r="Z130" s="452">
        <f t="shared" si="93"/>
        <v>7795.5094988233495</v>
      </c>
      <c r="AA130" s="452">
        <f t="shared" si="94"/>
        <v>8068.3523312821671</v>
      </c>
      <c r="AB130" s="452">
        <f t="shared" si="95"/>
        <v>8350.7446628770431</v>
      </c>
      <c r="AC130" s="452">
        <f t="shared" si="96"/>
        <v>8643.0207260777388</v>
      </c>
      <c r="AD130" s="452">
        <f t="shared" si="97"/>
        <v>8945.5264514904593</v>
      </c>
      <c r="AE130" s="452">
        <f t="shared" si="98"/>
        <v>9258.6198772926255</v>
      </c>
      <c r="AF130" s="453">
        <f t="shared" si="99"/>
        <v>9582.6715729978678</v>
      </c>
      <c r="AG130" s="412"/>
    </row>
    <row r="131" spans="2:33" x14ac:dyDescent="0.25">
      <c r="B131" s="413"/>
      <c r="C131" s="447" t="s">
        <v>427</v>
      </c>
      <c r="D131" s="448"/>
      <c r="E131" s="449"/>
      <c r="F131" s="448"/>
      <c r="G131" s="449"/>
      <c r="H131" s="451">
        <f t="shared" si="89"/>
        <v>58667.341364692256</v>
      </c>
      <c r="I131" s="452">
        <f t="shared" si="90"/>
        <v>60720.698312456487</v>
      </c>
      <c r="J131" s="452">
        <f t="shared" si="100"/>
        <v>62845.922753392464</v>
      </c>
      <c r="K131" s="452">
        <f t="shared" si="100"/>
        <v>65045.530049761204</v>
      </c>
      <c r="L131" s="452">
        <f t="shared" si="100"/>
        <v>67322.123601502841</v>
      </c>
      <c r="M131" s="452">
        <f t="shared" si="100"/>
        <v>69678.397927555445</v>
      </c>
      <c r="N131" s="452">
        <f t="shared" si="100"/>
        <v>72117.141855019887</v>
      </c>
      <c r="O131" s="453">
        <f t="shared" si="100"/>
        <v>74641.241819945586</v>
      </c>
      <c r="P131" s="412"/>
      <c r="Q131" s="413"/>
      <c r="R131" s="413"/>
      <c r="S131" s="447" t="s">
        <v>427</v>
      </c>
      <c r="T131" s="448"/>
      <c r="U131" s="449"/>
      <c r="V131" s="448"/>
      <c r="W131" s="448"/>
      <c r="X131" s="449"/>
      <c r="Y131" s="451">
        <f t="shared" si="92"/>
        <v>15613.411112671394</v>
      </c>
      <c r="Z131" s="452">
        <f t="shared" si="93"/>
        <v>16159.880501614893</v>
      </c>
      <c r="AA131" s="452">
        <f t="shared" si="94"/>
        <v>16725.476319171416</v>
      </c>
      <c r="AB131" s="452">
        <f t="shared" si="95"/>
        <v>17310.867990342416</v>
      </c>
      <c r="AC131" s="452">
        <f t="shared" si="96"/>
        <v>17916.748370004399</v>
      </c>
      <c r="AD131" s="452">
        <f t="shared" si="97"/>
        <v>18543.834562954555</v>
      </c>
      <c r="AE131" s="452">
        <f t="shared" si="98"/>
        <v>19192.868772657963</v>
      </c>
      <c r="AF131" s="453">
        <f t="shared" si="99"/>
        <v>19864.619179700992</v>
      </c>
      <c r="AG131" s="412"/>
    </row>
    <row r="132" spans="2:33" x14ac:dyDescent="0.25">
      <c r="B132" s="413"/>
      <c r="C132" s="447" t="s">
        <v>428</v>
      </c>
      <c r="D132" s="448"/>
      <c r="E132" s="449"/>
      <c r="F132" s="479"/>
      <c r="G132" s="449"/>
      <c r="H132" s="451">
        <f t="shared" si="89"/>
        <v>48814.810753827893</v>
      </c>
      <c r="I132" s="452">
        <f t="shared" si="90"/>
        <v>50523.329130211867</v>
      </c>
      <c r="J132" s="452">
        <f t="shared" si="100"/>
        <v>52291.645649769285</v>
      </c>
      <c r="K132" s="452">
        <f t="shared" si="100"/>
        <v>54121.853247511208</v>
      </c>
      <c r="L132" s="452">
        <f t="shared" si="100"/>
        <v>56016.118111174103</v>
      </c>
      <c r="M132" s="452">
        <f t="shared" si="100"/>
        <v>57976.682245065196</v>
      </c>
      <c r="N132" s="452">
        <f t="shared" si="100"/>
        <v>60005.866123642481</v>
      </c>
      <c r="O132" s="453">
        <f t="shared" si="100"/>
        <v>62106.071437969971</v>
      </c>
      <c r="P132" s="412"/>
      <c r="Q132" s="413"/>
      <c r="R132" s="413"/>
      <c r="S132" s="447" t="s">
        <v>428</v>
      </c>
      <c r="T132" s="448"/>
      <c r="U132" s="449"/>
      <c r="V132" s="479"/>
      <c r="W132" s="479"/>
      <c r="X132" s="449"/>
      <c r="Y132" s="451">
        <f t="shared" si="92"/>
        <v>12376.732668193228</v>
      </c>
      <c r="Z132" s="452">
        <f t="shared" si="93"/>
        <v>12809.918311579991</v>
      </c>
      <c r="AA132" s="452">
        <f t="shared" si="94"/>
        <v>13258.265452485291</v>
      </c>
      <c r="AB132" s="452">
        <f t="shared" si="95"/>
        <v>13722.304743322276</v>
      </c>
      <c r="AC132" s="452">
        <f t="shared" si="96"/>
        <v>14202.585409338557</v>
      </c>
      <c r="AD132" s="452">
        <f t="shared" si="97"/>
        <v>14699.675898665406</v>
      </c>
      <c r="AE132" s="452">
        <f t="shared" si="98"/>
        <v>15214.164555118696</v>
      </c>
      <c r="AF132" s="453">
        <f t="shared" si="99"/>
        <v>15746.660314547849</v>
      </c>
      <c r="AG132" s="412"/>
    </row>
    <row r="133" spans="2:33" x14ac:dyDescent="0.25">
      <c r="B133" s="413"/>
      <c r="C133" s="447" t="s">
        <v>429</v>
      </c>
      <c r="D133" s="448"/>
      <c r="E133" s="449"/>
      <c r="F133" s="448"/>
      <c r="G133" s="449"/>
      <c r="H133" s="451">
        <f t="shared" si="89"/>
        <v>1791.3692019753357</v>
      </c>
      <c r="I133" s="452">
        <f t="shared" si="90"/>
        <v>1854.0671240444724</v>
      </c>
      <c r="J133" s="452">
        <f t="shared" si="100"/>
        <v>1918.959473386029</v>
      </c>
      <c r="K133" s="452">
        <f t="shared" si="100"/>
        <v>1986.1230549545401</v>
      </c>
      <c r="L133" s="452">
        <f t="shared" si="100"/>
        <v>2055.6373618779489</v>
      </c>
      <c r="M133" s="452">
        <f t="shared" si="100"/>
        <v>2127.5846695436771</v>
      </c>
      <c r="N133" s="452">
        <f t="shared" si="100"/>
        <v>2202.0501329777057</v>
      </c>
      <c r="O133" s="453">
        <f t="shared" si="100"/>
        <v>2279.1218876319253</v>
      </c>
      <c r="P133" s="412"/>
      <c r="Q133" s="413"/>
      <c r="R133" s="413"/>
      <c r="S133" s="447" t="s">
        <v>429</v>
      </c>
      <c r="T133" s="448"/>
      <c r="U133" s="449"/>
      <c r="V133" s="448"/>
      <c r="W133" s="448"/>
      <c r="X133" s="449"/>
      <c r="Y133" s="451">
        <f t="shared" si="92"/>
        <v>814.25872817060713</v>
      </c>
      <c r="Z133" s="452">
        <f t="shared" si="93"/>
        <v>842.75778365657834</v>
      </c>
      <c r="AA133" s="452">
        <f t="shared" si="94"/>
        <v>872.25430608455861</v>
      </c>
      <c r="AB133" s="452">
        <f t="shared" si="95"/>
        <v>902.78320679751812</v>
      </c>
      <c r="AC133" s="452">
        <f t="shared" si="96"/>
        <v>934.38061903543121</v>
      </c>
      <c r="AD133" s="452">
        <f t="shared" si="97"/>
        <v>967.08394070167128</v>
      </c>
      <c r="AE133" s="452">
        <f t="shared" si="98"/>
        <v>1000.9318786262298</v>
      </c>
      <c r="AF133" s="453">
        <f t="shared" si="99"/>
        <v>1035.9644943781479</v>
      </c>
      <c r="AG133" s="412"/>
    </row>
    <row r="134" spans="2:33" x14ac:dyDescent="0.25">
      <c r="B134" s="413"/>
      <c r="C134" s="447" t="s">
        <v>430</v>
      </c>
      <c r="D134" s="449"/>
      <c r="E134" s="448"/>
      <c r="F134" s="478"/>
      <c r="G134" s="449"/>
      <c r="H134" s="451">
        <f t="shared" si="89"/>
        <v>0</v>
      </c>
      <c r="I134" s="452">
        <f t="shared" si="90"/>
        <v>0</v>
      </c>
      <c r="J134" s="452">
        <f t="shared" si="100"/>
        <v>0</v>
      </c>
      <c r="K134" s="452">
        <f t="shared" si="100"/>
        <v>0</v>
      </c>
      <c r="L134" s="452">
        <f t="shared" si="100"/>
        <v>0</v>
      </c>
      <c r="M134" s="452">
        <f t="shared" si="100"/>
        <v>0</v>
      </c>
      <c r="N134" s="452">
        <f t="shared" si="100"/>
        <v>0</v>
      </c>
      <c r="O134" s="453">
        <f t="shared" si="100"/>
        <v>0</v>
      </c>
      <c r="P134" s="412"/>
      <c r="Q134" s="413"/>
      <c r="R134" s="413"/>
      <c r="S134" s="447" t="s">
        <v>430</v>
      </c>
      <c r="T134" s="449"/>
      <c r="U134" s="448"/>
      <c r="V134" s="478"/>
      <c r="W134" s="478"/>
      <c r="X134" s="449"/>
      <c r="Y134" s="451">
        <f t="shared" si="92"/>
        <v>0</v>
      </c>
      <c r="Z134" s="452">
        <f t="shared" si="93"/>
        <v>0</v>
      </c>
      <c r="AA134" s="452">
        <f t="shared" si="94"/>
        <v>0</v>
      </c>
      <c r="AB134" s="452">
        <f t="shared" si="95"/>
        <v>0</v>
      </c>
      <c r="AC134" s="452">
        <f t="shared" si="96"/>
        <v>0</v>
      </c>
      <c r="AD134" s="452">
        <f t="shared" si="97"/>
        <v>0</v>
      </c>
      <c r="AE134" s="452">
        <f t="shared" si="98"/>
        <v>0</v>
      </c>
      <c r="AF134" s="453">
        <f t="shared" si="99"/>
        <v>0</v>
      </c>
      <c r="AG134" s="412"/>
    </row>
    <row r="135" spans="2:33" x14ac:dyDescent="0.25">
      <c r="B135" s="413"/>
      <c r="C135" s="447" t="s">
        <v>431</v>
      </c>
      <c r="D135" s="448"/>
      <c r="E135" s="449"/>
      <c r="F135" s="448"/>
      <c r="G135" s="449"/>
      <c r="H135" s="451">
        <f t="shared" si="89"/>
        <v>9796.5503233026193</v>
      </c>
      <c r="I135" s="452">
        <f t="shared" si="90"/>
        <v>10139.42958461821</v>
      </c>
      <c r="J135" s="452">
        <f t="shared" si="100"/>
        <v>10494.309620079848</v>
      </c>
      <c r="K135" s="452">
        <f t="shared" si="100"/>
        <v>10861.610456782642</v>
      </c>
      <c r="L135" s="452">
        <f t="shared" si="100"/>
        <v>11241.766822770034</v>
      </c>
      <c r="M135" s="452">
        <f t="shared" si="100"/>
        <v>11635.228661566985</v>
      </c>
      <c r="N135" s="452">
        <f t="shared" si="100"/>
        <v>12042.46166472183</v>
      </c>
      <c r="O135" s="453">
        <f t="shared" si="100"/>
        <v>12463.947822987095</v>
      </c>
      <c r="P135" s="412"/>
      <c r="Q135" s="413"/>
      <c r="R135" s="413"/>
      <c r="S135" s="447" t="s">
        <v>431</v>
      </c>
      <c r="T135" s="448"/>
      <c r="U135" s="449"/>
      <c r="V135" s="448"/>
      <c r="W135" s="448"/>
      <c r="X135" s="449"/>
      <c r="Y135" s="451">
        <f t="shared" si="92"/>
        <v>3816.837788299722</v>
      </c>
      <c r="Z135" s="452">
        <f t="shared" si="93"/>
        <v>3950.4271108902121</v>
      </c>
      <c r="AA135" s="452">
        <f t="shared" si="94"/>
        <v>4088.6920597713697</v>
      </c>
      <c r="AB135" s="452">
        <f t="shared" si="95"/>
        <v>4231.7962818633678</v>
      </c>
      <c r="AC135" s="452">
        <f t="shared" si="96"/>
        <v>4379.909151728586</v>
      </c>
      <c r="AD135" s="452">
        <f t="shared" si="97"/>
        <v>4533.2059720390862</v>
      </c>
      <c r="AE135" s="452">
        <f t="shared" si="98"/>
        <v>4691.8681810604539</v>
      </c>
      <c r="AF135" s="453">
        <f t="shared" si="99"/>
        <v>4856.0835673975698</v>
      </c>
      <c r="AG135" s="412"/>
    </row>
    <row r="136" spans="2:33" x14ac:dyDescent="0.25">
      <c r="B136" s="413"/>
      <c r="C136" s="447" t="s">
        <v>432</v>
      </c>
      <c r="D136" s="449"/>
      <c r="E136" s="449"/>
      <c r="F136" s="449"/>
      <c r="G136" s="449"/>
      <c r="H136" s="451">
        <f t="shared" si="89"/>
        <v>0</v>
      </c>
      <c r="I136" s="452">
        <f t="shared" si="90"/>
        <v>0</v>
      </c>
      <c r="J136" s="452">
        <f t="shared" si="100"/>
        <v>0</v>
      </c>
      <c r="K136" s="452">
        <f t="shared" si="100"/>
        <v>0</v>
      </c>
      <c r="L136" s="452">
        <f t="shared" si="100"/>
        <v>0</v>
      </c>
      <c r="M136" s="452">
        <f t="shared" si="100"/>
        <v>0</v>
      </c>
      <c r="N136" s="452">
        <f t="shared" si="100"/>
        <v>0</v>
      </c>
      <c r="O136" s="453">
        <f t="shared" si="100"/>
        <v>0</v>
      </c>
      <c r="P136" s="412"/>
      <c r="Q136" s="413"/>
      <c r="R136" s="413"/>
      <c r="S136" s="447" t="s">
        <v>432</v>
      </c>
      <c r="T136" s="449"/>
      <c r="U136" s="449"/>
      <c r="V136" s="449"/>
      <c r="W136" s="449"/>
      <c r="X136" s="449"/>
      <c r="Y136" s="451">
        <f t="shared" si="92"/>
        <v>0</v>
      </c>
      <c r="Z136" s="452">
        <f t="shared" si="93"/>
        <v>0</v>
      </c>
      <c r="AA136" s="452">
        <f t="shared" si="94"/>
        <v>0</v>
      </c>
      <c r="AB136" s="452">
        <f t="shared" si="95"/>
        <v>0</v>
      </c>
      <c r="AC136" s="452">
        <f t="shared" si="96"/>
        <v>0</v>
      </c>
      <c r="AD136" s="452">
        <f t="shared" si="97"/>
        <v>0</v>
      </c>
      <c r="AE136" s="452">
        <f t="shared" si="98"/>
        <v>0</v>
      </c>
      <c r="AF136" s="453">
        <f t="shared" si="99"/>
        <v>0</v>
      </c>
      <c r="AG136" s="412"/>
    </row>
    <row r="137" spans="2:33" x14ac:dyDescent="0.25">
      <c r="B137" s="413"/>
      <c r="C137" s="447" t="s">
        <v>433</v>
      </c>
      <c r="D137" s="448"/>
      <c r="E137" s="449"/>
      <c r="F137" s="448"/>
      <c r="G137" s="449"/>
      <c r="H137" s="451">
        <f t="shared" si="89"/>
        <v>9796.5503233026193</v>
      </c>
      <c r="I137" s="452">
        <f t="shared" si="90"/>
        <v>10139.42958461821</v>
      </c>
      <c r="J137" s="452">
        <f t="shared" si="100"/>
        <v>10494.309620079848</v>
      </c>
      <c r="K137" s="452">
        <f t="shared" si="100"/>
        <v>10861.610456782642</v>
      </c>
      <c r="L137" s="452">
        <f t="shared" si="100"/>
        <v>11241.766822770034</v>
      </c>
      <c r="M137" s="452">
        <f t="shared" si="100"/>
        <v>11635.228661566985</v>
      </c>
      <c r="N137" s="452">
        <f t="shared" si="100"/>
        <v>12042.46166472183</v>
      </c>
      <c r="O137" s="453">
        <f t="shared" si="100"/>
        <v>12463.947822987095</v>
      </c>
      <c r="P137" s="412"/>
      <c r="Q137" s="413"/>
      <c r="R137" s="413"/>
      <c r="S137" s="447" t="s">
        <v>433</v>
      </c>
      <c r="T137" s="448"/>
      <c r="U137" s="449"/>
      <c r="V137" s="448"/>
      <c r="W137" s="448"/>
      <c r="X137" s="449"/>
      <c r="Y137" s="451">
        <f t="shared" si="92"/>
        <v>3816.837788299722</v>
      </c>
      <c r="Z137" s="452">
        <f t="shared" si="93"/>
        <v>3950.4271108902121</v>
      </c>
      <c r="AA137" s="452">
        <f t="shared" si="94"/>
        <v>4088.6920597713697</v>
      </c>
      <c r="AB137" s="452">
        <f t="shared" si="95"/>
        <v>4231.7962818633678</v>
      </c>
      <c r="AC137" s="452">
        <f t="shared" si="96"/>
        <v>4379.909151728586</v>
      </c>
      <c r="AD137" s="452">
        <f t="shared" si="97"/>
        <v>4533.2059720390862</v>
      </c>
      <c r="AE137" s="452">
        <f t="shared" si="98"/>
        <v>4691.8681810604539</v>
      </c>
      <c r="AF137" s="453">
        <f t="shared" si="99"/>
        <v>4856.0835673975698</v>
      </c>
      <c r="AG137" s="412"/>
    </row>
    <row r="138" spans="2:33" x14ac:dyDescent="0.25">
      <c r="B138" s="413"/>
      <c r="C138" s="447" t="s">
        <v>434</v>
      </c>
      <c r="D138" s="449"/>
      <c r="E138" s="449"/>
      <c r="F138" s="449"/>
      <c r="G138" s="449"/>
      <c r="H138" s="451">
        <f t="shared" si="89"/>
        <v>16412.4024896888</v>
      </c>
      <c r="I138" s="452">
        <f t="shared" si="90"/>
        <v>16986.836576827907</v>
      </c>
      <c r="J138" s="452">
        <f t="shared" ref="J138:O147" si="101">I138+(I138*$F57)</f>
        <v>17581.375857016883</v>
      </c>
      <c r="K138" s="452">
        <f t="shared" si="101"/>
        <v>18196.724012012473</v>
      </c>
      <c r="L138" s="452">
        <f t="shared" si="101"/>
        <v>18833.609352432912</v>
      </c>
      <c r="M138" s="452">
        <f t="shared" si="101"/>
        <v>19492.785679768065</v>
      </c>
      <c r="N138" s="452">
        <f t="shared" si="101"/>
        <v>20175.033178559948</v>
      </c>
      <c r="O138" s="453">
        <f t="shared" si="101"/>
        <v>20881.159339809547</v>
      </c>
      <c r="P138" s="412"/>
      <c r="Q138" s="413"/>
      <c r="R138" s="413"/>
      <c r="S138" s="447" t="s">
        <v>434</v>
      </c>
      <c r="T138" s="449"/>
      <c r="U138" s="449"/>
      <c r="V138" s="449"/>
      <c r="W138" s="449"/>
      <c r="X138" s="449"/>
      <c r="Y138" s="451">
        <f t="shared" si="92"/>
        <v>7099.3182862374815</v>
      </c>
      <c r="Z138" s="452">
        <f t="shared" si="93"/>
        <v>7347.794426255793</v>
      </c>
      <c r="AA138" s="452">
        <f t="shared" si="94"/>
        <v>7604.9672311747454</v>
      </c>
      <c r="AB138" s="452">
        <f t="shared" si="95"/>
        <v>7871.1410842658615</v>
      </c>
      <c r="AC138" s="452">
        <f t="shared" si="96"/>
        <v>8146.6310222151669</v>
      </c>
      <c r="AD138" s="452">
        <f t="shared" si="97"/>
        <v>8431.7631079926978</v>
      </c>
      <c r="AE138" s="452">
        <f t="shared" si="98"/>
        <v>8726.8748167724425</v>
      </c>
      <c r="AF138" s="453">
        <f t="shared" si="99"/>
        <v>9032.3154353594782</v>
      </c>
      <c r="AG138" s="412"/>
    </row>
    <row r="139" spans="2:33" x14ac:dyDescent="0.25">
      <c r="B139" s="413"/>
      <c r="C139" s="447" t="s">
        <v>435</v>
      </c>
      <c r="D139" s="449"/>
      <c r="E139" s="449"/>
      <c r="F139" s="449"/>
      <c r="G139" s="449"/>
      <c r="H139" s="451">
        <f t="shared" si="89"/>
        <v>0</v>
      </c>
      <c r="I139" s="452">
        <f t="shared" si="90"/>
        <v>0</v>
      </c>
      <c r="J139" s="452">
        <f t="shared" si="101"/>
        <v>0</v>
      </c>
      <c r="K139" s="452">
        <f t="shared" si="101"/>
        <v>0</v>
      </c>
      <c r="L139" s="452">
        <f t="shared" si="101"/>
        <v>0</v>
      </c>
      <c r="M139" s="452">
        <f t="shared" si="101"/>
        <v>0</v>
      </c>
      <c r="N139" s="452">
        <f t="shared" si="101"/>
        <v>0</v>
      </c>
      <c r="O139" s="453">
        <f t="shared" si="101"/>
        <v>0</v>
      </c>
      <c r="P139" s="412"/>
      <c r="Q139" s="413"/>
      <c r="R139" s="413"/>
      <c r="S139" s="447" t="s">
        <v>435</v>
      </c>
      <c r="T139" s="449"/>
      <c r="U139" s="449"/>
      <c r="V139" s="449"/>
      <c r="W139" s="449"/>
      <c r="X139" s="449"/>
      <c r="Y139" s="451">
        <f t="shared" si="92"/>
        <v>0</v>
      </c>
      <c r="Z139" s="452">
        <f t="shared" si="93"/>
        <v>0</v>
      </c>
      <c r="AA139" s="452">
        <f t="shared" si="94"/>
        <v>0</v>
      </c>
      <c r="AB139" s="452">
        <f t="shared" si="95"/>
        <v>0</v>
      </c>
      <c r="AC139" s="452">
        <f t="shared" si="96"/>
        <v>0</v>
      </c>
      <c r="AD139" s="452">
        <f t="shared" si="97"/>
        <v>0</v>
      </c>
      <c r="AE139" s="452">
        <f t="shared" si="98"/>
        <v>0</v>
      </c>
      <c r="AF139" s="453">
        <f t="shared" si="99"/>
        <v>0</v>
      </c>
      <c r="AG139" s="412"/>
    </row>
    <row r="140" spans="2:33" x14ac:dyDescent="0.25">
      <c r="B140" s="413"/>
      <c r="C140" s="447" t="s">
        <v>436</v>
      </c>
      <c r="D140" s="449"/>
      <c r="E140" s="449"/>
      <c r="F140" s="449"/>
      <c r="G140" s="449"/>
      <c r="H140" s="451">
        <f t="shared" si="89"/>
        <v>0</v>
      </c>
      <c r="I140" s="452">
        <f t="shared" si="90"/>
        <v>0</v>
      </c>
      <c r="J140" s="452">
        <f t="shared" si="101"/>
        <v>0</v>
      </c>
      <c r="K140" s="452">
        <f t="shared" si="101"/>
        <v>0</v>
      </c>
      <c r="L140" s="452">
        <f t="shared" si="101"/>
        <v>0</v>
      </c>
      <c r="M140" s="452">
        <f t="shared" si="101"/>
        <v>0</v>
      </c>
      <c r="N140" s="452">
        <f t="shared" si="101"/>
        <v>0</v>
      </c>
      <c r="O140" s="453">
        <f t="shared" si="101"/>
        <v>0</v>
      </c>
      <c r="P140" s="412"/>
      <c r="Q140" s="413"/>
      <c r="R140" s="413"/>
      <c r="S140" s="447" t="s">
        <v>436</v>
      </c>
      <c r="T140" s="449"/>
      <c r="U140" s="449"/>
      <c r="V140" s="449"/>
      <c r="W140" s="449"/>
      <c r="X140" s="449"/>
      <c r="Y140" s="451">
        <f t="shared" si="92"/>
        <v>0</v>
      </c>
      <c r="Z140" s="452">
        <f t="shared" si="93"/>
        <v>0</v>
      </c>
      <c r="AA140" s="452">
        <f t="shared" si="94"/>
        <v>0</v>
      </c>
      <c r="AB140" s="452">
        <f t="shared" si="95"/>
        <v>0</v>
      </c>
      <c r="AC140" s="452">
        <f t="shared" si="96"/>
        <v>0</v>
      </c>
      <c r="AD140" s="452">
        <f t="shared" si="97"/>
        <v>0</v>
      </c>
      <c r="AE140" s="452">
        <f t="shared" si="98"/>
        <v>0</v>
      </c>
      <c r="AF140" s="453">
        <f t="shared" si="99"/>
        <v>0</v>
      </c>
      <c r="AG140" s="412"/>
    </row>
    <row r="141" spans="2:33" x14ac:dyDescent="0.25">
      <c r="B141" s="413"/>
      <c r="C141" s="447" t="s">
        <v>437</v>
      </c>
      <c r="D141" s="449"/>
      <c r="E141" s="449"/>
      <c r="F141" s="449"/>
      <c r="G141" s="449"/>
      <c r="H141" s="451">
        <f t="shared" si="89"/>
        <v>3180.6981569164341</v>
      </c>
      <c r="I141" s="452">
        <f t="shared" si="90"/>
        <v>3292.0225924085094</v>
      </c>
      <c r="J141" s="452">
        <f t="shared" si="101"/>
        <v>3407.243383142807</v>
      </c>
      <c r="K141" s="452">
        <f t="shared" si="101"/>
        <v>3526.4969015528054</v>
      </c>
      <c r="L141" s="452">
        <f t="shared" si="101"/>
        <v>3649.9242931071535</v>
      </c>
      <c r="M141" s="452">
        <f t="shared" si="101"/>
        <v>3777.6716433659039</v>
      </c>
      <c r="N141" s="452">
        <f t="shared" si="101"/>
        <v>3909.8901508837107</v>
      </c>
      <c r="O141" s="453">
        <f t="shared" si="101"/>
        <v>4046.7363061646406</v>
      </c>
      <c r="P141" s="412"/>
      <c r="Q141" s="413"/>
      <c r="R141" s="413"/>
      <c r="S141" s="447" t="s">
        <v>437</v>
      </c>
      <c r="T141" s="449"/>
      <c r="U141" s="449"/>
      <c r="V141" s="449"/>
      <c r="W141" s="449"/>
      <c r="X141" s="449"/>
      <c r="Y141" s="451">
        <f t="shared" si="92"/>
        <v>3180.6981569164341</v>
      </c>
      <c r="Z141" s="452">
        <f t="shared" si="93"/>
        <v>3292.0225924085094</v>
      </c>
      <c r="AA141" s="452">
        <f t="shared" si="94"/>
        <v>3407.243383142807</v>
      </c>
      <c r="AB141" s="452">
        <f t="shared" si="95"/>
        <v>3526.4969015528054</v>
      </c>
      <c r="AC141" s="452">
        <f t="shared" si="96"/>
        <v>3649.9242931071535</v>
      </c>
      <c r="AD141" s="452">
        <f t="shared" si="97"/>
        <v>3777.6716433659039</v>
      </c>
      <c r="AE141" s="452">
        <f t="shared" si="98"/>
        <v>3909.8901508837107</v>
      </c>
      <c r="AF141" s="453">
        <f t="shared" si="99"/>
        <v>4046.7363061646406</v>
      </c>
      <c r="AG141" s="412"/>
    </row>
    <row r="142" spans="2:33" x14ac:dyDescent="0.25">
      <c r="B142" s="413"/>
      <c r="C142" s="447" t="s">
        <v>438</v>
      </c>
      <c r="D142" s="448"/>
      <c r="E142" s="449"/>
      <c r="F142" s="448"/>
      <c r="G142" s="449"/>
      <c r="H142" s="451">
        <f t="shared" si="89"/>
        <v>107146.27039314977</v>
      </c>
      <c r="I142" s="452">
        <f t="shared" si="90"/>
        <v>110896.38985691001</v>
      </c>
      <c r="J142" s="452">
        <f t="shared" si="101"/>
        <v>114777.76350190186</v>
      </c>
      <c r="K142" s="452">
        <f t="shared" si="101"/>
        <v>118794.98522446843</v>
      </c>
      <c r="L142" s="452">
        <f t="shared" si="101"/>
        <v>122952.80970732482</v>
      </c>
      <c r="M142" s="452">
        <f t="shared" si="101"/>
        <v>127256.15804708119</v>
      </c>
      <c r="N142" s="452">
        <f t="shared" si="101"/>
        <v>131710.12357872902</v>
      </c>
      <c r="O142" s="453">
        <f t="shared" si="101"/>
        <v>136319.97790398455</v>
      </c>
      <c r="P142" s="412"/>
      <c r="Q142" s="413"/>
      <c r="R142" s="413"/>
      <c r="S142" s="447" t="s">
        <v>438</v>
      </c>
      <c r="T142" s="448"/>
      <c r="U142" s="449"/>
      <c r="V142" s="448"/>
      <c r="W142" s="448"/>
      <c r="X142" s="449"/>
      <c r="Y142" s="451">
        <f t="shared" si="92"/>
        <v>55980.287561729252</v>
      </c>
      <c r="Z142" s="452">
        <f t="shared" si="93"/>
        <v>57939.597626389776</v>
      </c>
      <c r="AA142" s="452">
        <f t="shared" si="94"/>
        <v>59967.483543313421</v>
      </c>
      <c r="AB142" s="452">
        <f t="shared" si="95"/>
        <v>62066.345467329389</v>
      </c>
      <c r="AC142" s="452">
        <f t="shared" si="96"/>
        <v>64238.66755868592</v>
      </c>
      <c r="AD142" s="452">
        <f t="shared" si="97"/>
        <v>66487.020923239921</v>
      </c>
      <c r="AE142" s="452">
        <f t="shared" si="98"/>
        <v>68814.066655553324</v>
      </c>
      <c r="AF142" s="453">
        <f t="shared" si="99"/>
        <v>71222.558988497694</v>
      </c>
      <c r="AG142" s="412"/>
    </row>
    <row r="143" spans="2:33" x14ac:dyDescent="0.25">
      <c r="B143" s="413"/>
      <c r="C143" s="447" t="s">
        <v>439</v>
      </c>
      <c r="D143" s="448"/>
      <c r="E143" s="449"/>
      <c r="F143" s="448"/>
      <c r="G143" s="449"/>
      <c r="H143" s="451">
        <f t="shared" si="89"/>
        <v>22392.115024691695</v>
      </c>
      <c r="I143" s="452">
        <f t="shared" si="90"/>
        <v>23175.839050555904</v>
      </c>
      <c r="J143" s="452">
        <f t="shared" si="101"/>
        <v>23986.99341732536</v>
      </c>
      <c r="K143" s="452">
        <f t="shared" si="101"/>
        <v>24826.53818693175</v>
      </c>
      <c r="L143" s="452">
        <f t="shared" si="101"/>
        <v>25695.467023474361</v>
      </c>
      <c r="M143" s="452">
        <f t="shared" si="101"/>
        <v>26594.808369295963</v>
      </c>
      <c r="N143" s="452">
        <f t="shared" si="101"/>
        <v>27525.626662221322</v>
      </c>
      <c r="O143" s="453">
        <f t="shared" si="101"/>
        <v>28489.02359539907</v>
      </c>
      <c r="P143" s="412"/>
      <c r="Q143" s="413"/>
      <c r="R143" s="413"/>
      <c r="S143" s="447" t="s">
        <v>439</v>
      </c>
      <c r="T143" s="448"/>
      <c r="U143" s="449"/>
      <c r="V143" s="448"/>
      <c r="W143" s="448"/>
      <c r="X143" s="449"/>
      <c r="Y143" s="451">
        <f t="shared" si="92"/>
        <v>16030.718710858826</v>
      </c>
      <c r="Z143" s="452">
        <f t="shared" si="93"/>
        <v>16591.793865738884</v>
      </c>
      <c r="AA143" s="452">
        <f t="shared" si="94"/>
        <v>17172.506651039745</v>
      </c>
      <c r="AB143" s="452">
        <f t="shared" si="95"/>
        <v>17773.544383826134</v>
      </c>
      <c r="AC143" s="452">
        <f t="shared" si="96"/>
        <v>18395.618437260047</v>
      </c>
      <c r="AD143" s="452">
        <f t="shared" si="97"/>
        <v>19039.465082564147</v>
      </c>
      <c r="AE143" s="452">
        <f t="shared" si="98"/>
        <v>19705.846360453892</v>
      </c>
      <c r="AF143" s="453">
        <f t="shared" si="99"/>
        <v>20395.550983069777</v>
      </c>
      <c r="AG143" s="412"/>
    </row>
    <row r="144" spans="2:33" x14ac:dyDescent="0.25">
      <c r="B144" s="413"/>
      <c r="C144" s="447" t="s">
        <v>440</v>
      </c>
      <c r="D144" s="448"/>
      <c r="E144" s="449"/>
      <c r="F144" s="448"/>
      <c r="G144" s="449"/>
      <c r="H144" s="451">
        <f t="shared" si="89"/>
        <v>22392.115024691695</v>
      </c>
      <c r="I144" s="452">
        <f t="shared" si="90"/>
        <v>23175.839050555904</v>
      </c>
      <c r="J144" s="452">
        <f t="shared" si="101"/>
        <v>23986.99341732536</v>
      </c>
      <c r="K144" s="452">
        <f t="shared" si="101"/>
        <v>24826.53818693175</v>
      </c>
      <c r="L144" s="452">
        <f t="shared" si="101"/>
        <v>25695.467023474361</v>
      </c>
      <c r="M144" s="452">
        <f t="shared" si="101"/>
        <v>26594.808369295963</v>
      </c>
      <c r="N144" s="452">
        <f t="shared" si="101"/>
        <v>27525.626662221322</v>
      </c>
      <c r="O144" s="453">
        <f t="shared" si="101"/>
        <v>28489.02359539907</v>
      </c>
      <c r="P144" s="412"/>
      <c r="Q144" s="413"/>
      <c r="R144" s="413"/>
      <c r="S144" s="447" t="s">
        <v>440</v>
      </c>
      <c r="T144" s="448"/>
      <c r="U144" s="449"/>
      <c r="V144" s="448"/>
      <c r="W144" s="448"/>
      <c r="X144" s="449"/>
      <c r="Y144" s="451">
        <f t="shared" si="92"/>
        <v>13995.071890432313</v>
      </c>
      <c r="Z144" s="452">
        <f t="shared" si="93"/>
        <v>14484.899406597444</v>
      </c>
      <c r="AA144" s="452">
        <f t="shared" si="94"/>
        <v>14991.870885828355</v>
      </c>
      <c r="AB144" s="452">
        <f t="shared" si="95"/>
        <v>15516.586366832347</v>
      </c>
      <c r="AC144" s="452">
        <f t="shared" si="96"/>
        <v>16059.66688967148</v>
      </c>
      <c r="AD144" s="452">
        <f t="shared" si="97"/>
        <v>16621.75523080998</v>
      </c>
      <c r="AE144" s="452">
        <f t="shared" si="98"/>
        <v>17203.516663888331</v>
      </c>
      <c r="AF144" s="453">
        <f t="shared" si="99"/>
        <v>17805.639747124424</v>
      </c>
      <c r="AG144" s="412"/>
    </row>
    <row r="145" spans="2:33" x14ac:dyDescent="0.25">
      <c r="B145" s="413"/>
      <c r="C145" s="447" t="s">
        <v>441</v>
      </c>
      <c r="D145" s="449"/>
      <c r="E145" s="449"/>
      <c r="F145" s="449"/>
      <c r="G145" s="449"/>
      <c r="H145" s="451">
        <f t="shared" si="89"/>
        <v>17913.692019753358</v>
      </c>
      <c r="I145" s="452">
        <f t="shared" si="90"/>
        <v>18540.671240444724</v>
      </c>
      <c r="J145" s="452">
        <f t="shared" si="101"/>
        <v>19189.594733860289</v>
      </c>
      <c r="K145" s="452">
        <f t="shared" si="101"/>
        <v>19861.230549545398</v>
      </c>
      <c r="L145" s="452">
        <f t="shared" si="101"/>
        <v>20556.373618779486</v>
      </c>
      <c r="M145" s="452">
        <f t="shared" si="101"/>
        <v>21275.846695436769</v>
      </c>
      <c r="N145" s="452">
        <f t="shared" si="101"/>
        <v>22020.501329777057</v>
      </c>
      <c r="O145" s="453">
        <f t="shared" si="101"/>
        <v>22791.218876319253</v>
      </c>
      <c r="P145" s="412"/>
      <c r="Q145" s="413"/>
      <c r="R145" s="413"/>
      <c r="S145" s="447" t="s">
        <v>441</v>
      </c>
      <c r="T145" s="449"/>
      <c r="U145" s="449"/>
      <c r="V145" s="449"/>
      <c r="W145" s="449"/>
      <c r="X145" s="449"/>
      <c r="Y145" s="451">
        <f t="shared" si="92"/>
        <v>10178.234102132588</v>
      </c>
      <c r="Z145" s="452">
        <f t="shared" si="93"/>
        <v>10534.472295707228</v>
      </c>
      <c r="AA145" s="452">
        <f t="shared" si="94"/>
        <v>10903.178826056981</v>
      </c>
      <c r="AB145" s="452">
        <f t="shared" si="95"/>
        <v>11284.790084968976</v>
      </c>
      <c r="AC145" s="452">
        <f t="shared" si="96"/>
        <v>11679.757737942889</v>
      </c>
      <c r="AD145" s="452">
        <f t="shared" si="97"/>
        <v>12088.54925877089</v>
      </c>
      <c r="AE145" s="452">
        <f t="shared" si="98"/>
        <v>12511.648482827872</v>
      </c>
      <c r="AF145" s="453">
        <f t="shared" si="99"/>
        <v>12949.556179726847</v>
      </c>
      <c r="AG145" s="412"/>
    </row>
    <row r="146" spans="2:33" x14ac:dyDescent="0.25">
      <c r="B146" s="413"/>
      <c r="C146" s="447" t="s">
        <v>442</v>
      </c>
      <c r="D146" s="449"/>
      <c r="E146" s="449"/>
      <c r="F146" s="449"/>
      <c r="G146" s="449"/>
      <c r="H146" s="451">
        <f t="shared" si="89"/>
        <v>11196.057512345847</v>
      </c>
      <c r="I146" s="452">
        <f t="shared" si="90"/>
        <v>11587.919525277952</v>
      </c>
      <c r="J146" s="452">
        <f t="shared" si="101"/>
        <v>11993.49670866268</v>
      </c>
      <c r="K146" s="452">
        <f t="shared" si="101"/>
        <v>12413.269093465875</v>
      </c>
      <c r="L146" s="452">
        <f t="shared" si="101"/>
        <v>12847.73351173718</v>
      </c>
      <c r="M146" s="452">
        <f t="shared" si="101"/>
        <v>13297.404184647981</v>
      </c>
      <c r="N146" s="452">
        <f t="shared" si="101"/>
        <v>13762.813331110661</v>
      </c>
      <c r="O146" s="453">
        <f t="shared" si="101"/>
        <v>14244.511797699535</v>
      </c>
      <c r="P146" s="412"/>
      <c r="Q146" s="413"/>
      <c r="R146" s="413"/>
      <c r="S146" s="447" t="s">
        <v>442</v>
      </c>
      <c r="T146" s="449"/>
      <c r="U146" s="449"/>
      <c r="V146" s="449"/>
      <c r="W146" s="449"/>
      <c r="X146" s="449"/>
      <c r="Y146" s="451">
        <f t="shared" si="92"/>
        <v>5089.1170510662942</v>
      </c>
      <c r="Z146" s="452">
        <f t="shared" si="93"/>
        <v>5267.2361478536141</v>
      </c>
      <c r="AA146" s="452">
        <f t="shared" si="94"/>
        <v>5451.5894130284905</v>
      </c>
      <c r="AB146" s="452">
        <f t="shared" si="95"/>
        <v>5642.3950424844879</v>
      </c>
      <c r="AC146" s="452">
        <f t="shared" si="96"/>
        <v>5839.8788689714447</v>
      </c>
      <c r="AD146" s="452">
        <f t="shared" si="97"/>
        <v>6044.2746293854452</v>
      </c>
      <c r="AE146" s="452">
        <f t="shared" si="98"/>
        <v>6255.8242414139359</v>
      </c>
      <c r="AF146" s="453">
        <f t="shared" si="99"/>
        <v>6474.7780898634237</v>
      </c>
      <c r="AG146" s="412"/>
    </row>
    <row r="147" spans="2:33" x14ac:dyDescent="0.25">
      <c r="B147" s="413"/>
      <c r="C147" s="456" t="s">
        <v>240</v>
      </c>
      <c r="D147" s="457"/>
      <c r="E147" s="458"/>
      <c r="F147" s="480"/>
      <c r="G147" s="458"/>
      <c r="H147" s="459">
        <f t="shared" si="89"/>
        <v>23471</v>
      </c>
      <c r="I147" s="460">
        <f t="shared" si="90"/>
        <v>23471</v>
      </c>
      <c r="J147" s="460">
        <f t="shared" si="101"/>
        <v>23471</v>
      </c>
      <c r="K147" s="460">
        <f t="shared" si="101"/>
        <v>23471</v>
      </c>
      <c r="L147" s="460">
        <f t="shared" si="101"/>
        <v>23471</v>
      </c>
      <c r="M147" s="460">
        <f t="shared" si="101"/>
        <v>23471</v>
      </c>
      <c r="N147" s="460">
        <f t="shared" si="101"/>
        <v>23471</v>
      </c>
      <c r="O147" s="461">
        <f t="shared" si="101"/>
        <v>23471</v>
      </c>
      <c r="P147" s="412"/>
      <c r="Q147" s="413"/>
      <c r="R147" s="413"/>
      <c r="S147" s="456" t="s">
        <v>240</v>
      </c>
      <c r="T147" s="457"/>
      <c r="U147" s="458"/>
      <c r="V147" s="480"/>
      <c r="W147" s="480"/>
      <c r="X147" s="458"/>
      <c r="Y147" s="459">
        <f t="shared" si="92"/>
        <v>1800</v>
      </c>
      <c r="Z147" s="460">
        <f t="shared" si="93"/>
        <v>1800</v>
      </c>
      <c r="AA147" s="460">
        <f t="shared" si="94"/>
        <v>1800</v>
      </c>
      <c r="AB147" s="460">
        <f t="shared" si="95"/>
        <v>1800</v>
      </c>
      <c r="AC147" s="460">
        <f t="shared" si="96"/>
        <v>1800</v>
      </c>
      <c r="AD147" s="460">
        <f t="shared" si="97"/>
        <v>1800</v>
      </c>
      <c r="AE147" s="460">
        <f t="shared" si="98"/>
        <v>1800</v>
      </c>
      <c r="AF147" s="461">
        <f t="shared" si="99"/>
        <v>1800</v>
      </c>
      <c r="AG147" s="412"/>
    </row>
    <row r="148" spans="2:33" x14ac:dyDescent="0.25">
      <c r="B148" s="413"/>
      <c r="C148" s="370" t="s">
        <v>443</v>
      </c>
      <c r="D148" s="428"/>
      <c r="E148" s="411"/>
      <c r="F148" s="429"/>
      <c r="G148" s="411"/>
      <c r="H148" s="364">
        <f>SUM(H127:H147)</f>
        <v>639953.91677354334</v>
      </c>
      <c r="I148" s="365">
        <f t="shared" ref="I148:N148" si="102">SUM(I127:I147)</f>
        <v>661530.81886061735</v>
      </c>
      <c r="J148" s="365">
        <f t="shared" si="102"/>
        <v>683862.91252073902</v>
      </c>
      <c r="K148" s="365">
        <f t="shared" si="102"/>
        <v>706976.62945896469</v>
      </c>
      <c r="L148" s="365">
        <f t="shared" si="102"/>
        <v>730899.32649002853</v>
      </c>
      <c r="M148" s="365">
        <f t="shared" si="102"/>
        <v>755659.31791717932</v>
      </c>
      <c r="N148" s="365">
        <f t="shared" si="102"/>
        <v>781285.90904428065</v>
      </c>
      <c r="O148" s="403">
        <f>SUM(O127:O147)</f>
        <v>807809.43086083059</v>
      </c>
      <c r="P148" s="412"/>
      <c r="Q148" s="413"/>
      <c r="R148" s="413"/>
      <c r="S148" s="370" t="s">
        <v>443</v>
      </c>
      <c r="T148" s="428"/>
      <c r="U148" s="411"/>
      <c r="V148" s="429"/>
      <c r="W148" s="429"/>
      <c r="X148" s="411"/>
      <c r="Y148" s="364">
        <f>SUM(Y127:Y147)</f>
        <v>308661.03538666992</v>
      </c>
      <c r="Z148" s="365">
        <f t="shared" ref="Z148:AE148" si="103">SUM(Z127:Z147)</f>
        <v>319401.17162520334</v>
      </c>
      <c r="AA148" s="365">
        <f t="shared" si="103"/>
        <v>330517.21263208549</v>
      </c>
      <c r="AB148" s="365">
        <f t="shared" si="103"/>
        <v>342022.31507420848</v>
      </c>
      <c r="AC148" s="365">
        <f t="shared" si="103"/>
        <v>353930.09610180574</v>
      </c>
      <c r="AD148" s="365">
        <f t="shared" si="103"/>
        <v>366254.64946536894</v>
      </c>
      <c r="AE148" s="365">
        <f t="shared" si="103"/>
        <v>379010.56219665683</v>
      </c>
      <c r="AF148" s="403">
        <f>SUM(AF127:AF147)</f>
        <v>392212.93187353987</v>
      </c>
      <c r="AG148" s="412"/>
    </row>
    <row r="149" spans="2:33" ht="7.5" customHeight="1" x14ac:dyDescent="0.25">
      <c r="B149" s="413"/>
      <c r="C149" s="370"/>
      <c r="D149" s="428"/>
      <c r="E149" s="411"/>
      <c r="F149" s="429"/>
      <c r="G149" s="411"/>
      <c r="H149" s="367"/>
      <c r="I149" s="368"/>
      <c r="J149" s="368"/>
      <c r="K149" s="368"/>
      <c r="L149" s="368"/>
      <c r="M149" s="368"/>
      <c r="N149" s="368"/>
      <c r="O149" s="369"/>
      <c r="P149" s="412"/>
      <c r="Q149" s="413"/>
      <c r="R149" s="413"/>
      <c r="S149" s="370"/>
      <c r="T149" s="428"/>
      <c r="U149" s="411"/>
      <c r="V149" s="429"/>
      <c r="W149" s="429"/>
      <c r="X149" s="411"/>
      <c r="Y149" s="367"/>
      <c r="Z149" s="368"/>
      <c r="AA149" s="368"/>
      <c r="AB149" s="368"/>
      <c r="AC149" s="368"/>
      <c r="AD149" s="368"/>
      <c r="AE149" s="368"/>
      <c r="AF149" s="369"/>
      <c r="AG149" s="412"/>
    </row>
    <row r="150" spans="2:33" x14ac:dyDescent="0.25">
      <c r="B150" s="413"/>
      <c r="C150" s="481" t="s">
        <v>444</v>
      </c>
      <c r="D150" s="428"/>
      <c r="E150" s="411"/>
      <c r="F150" s="428"/>
      <c r="G150" s="411"/>
      <c r="H150" s="451">
        <f>O69+($F69*O69)</f>
        <v>39186.201293210477</v>
      </c>
      <c r="I150" s="452">
        <f t="shared" ref="I150:O150" si="104">H150+(H150*$F69)</f>
        <v>40557.718338472841</v>
      </c>
      <c r="J150" s="452">
        <f t="shared" si="104"/>
        <v>41977.238480319393</v>
      </c>
      <c r="K150" s="452">
        <f t="shared" si="104"/>
        <v>43446.441827130569</v>
      </c>
      <c r="L150" s="452">
        <f t="shared" si="104"/>
        <v>44967.067291080137</v>
      </c>
      <c r="M150" s="452">
        <f t="shared" si="104"/>
        <v>46540.914646267942</v>
      </c>
      <c r="N150" s="452">
        <f t="shared" si="104"/>
        <v>48169.84665888732</v>
      </c>
      <c r="O150" s="453">
        <f t="shared" si="104"/>
        <v>49855.791291948379</v>
      </c>
      <c r="P150" s="412"/>
      <c r="Q150" s="413"/>
      <c r="R150" s="413"/>
      <c r="S150" s="481" t="s">
        <v>444</v>
      </c>
      <c r="T150" s="428"/>
      <c r="U150" s="411"/>
      <c r="V150" s="428"/>
      <c r="W150" s="428"/>
      <c r="X150" s="411"/>
      <c r="Y150" s="451">
        <f>AF69+($F69*AF69)</f>
        <v>17811.909678732034</v>
      </c>
      <c r="Z150" s="452">
        <f t="shared" ref="Z150:AF151" si="105">Y150+(Y150*$F69)</f>
        <v>18435.326517487654</v>
      </c>
      <c r="AA150" s="452">
        <f t="shared" si="105"/>
        <v>19080.562945599722</v>
      </c>
      <c r="AB150" s="452">
        <f t="shared" si="105"/>
        <v>19748.382648695711</v>
      </c>
      <c r="AC150" s="452">
        <f t="shared" si="105"/>
        <v>20439.576041400062</v>
      </c>
      <c r="AD150" s="452">
        <f t="shared" si="105"/>
        <v>21154.961202849063</v>
      </c>
      <c r="AE150" s="452">
        <f t="shared" si="105"/>
        <v>21895.384844948781</v>
      </c>
      <c r="AF150" s="453">
        <f t="shared" si="105"/>
        <v>22661.723314521987</v>
      </c>
      <c r="AG150" s="412"/>
    </row>
    <row r="151" spans="2:33" x14ac:dyDescent="0.25">
      <c r="B151" s="413"/>
      <c r="C151" s="465" t="s">
        <v>445</v>
      </c>
      <c r="D151" s="457"/>
      <c r="E151" s="458"/>
      <c r="F151" s="457"/>
      <c r="G151" s="458"/>
      <c r="H151" s="459">
        <f>O70+($F70*O70)</f>
        <v>0</v>
      </c>
      <c r="I151" s="460">
        <f t="shared" ref="I151:O151" si="106">H151+(H151*$F70)</f>
        <v>0</v>
      </c>
      <c r="J151" s="460">
        <f t="shared" si="106"/>
        <v>0</v>
      </c>
      <c r="K151" s="460">
        <f t="shared" si="106"/>
        <v>0</v>
      </c>
      <c r="L151" s="460">
        <f t="shared" si="106"/>
        <v>0</v>
      </c>
      <c r="M151" s="460">
        <f t="shared" si="106"/>
        <v>0</v>
      </c>
      <c r="N151" s="460">
        <f t="shared" si="106"/>
        <v>0</v>
      </c>
      <c r="O151" s="461">
        <f t="shared" si="106"/>
        <v>0</v>
      </c>
      <c r="P151" s="412"/>
      <c r="Q151" s="413"/>
      <c r="R151" s="413"/>
      <c r="S151" s="465" t="s">
        <v>445</v>
      </c>
      <c r="T151" s="457"/>
      <c r="U151" s="458"/>
      <c r="V151" s="457"/>
      <c r="W151" s="457"/>
      <c r="X151" s="458"/>
      <c r="Y151" s="459">
        <f>AF70+($F70*AF70)</f>
        <v>0</v>
      </c>
      <c r="Z151" s="460">
        <f t="shared" si="105"/>
        <v>0</v>
      </c>
      <c r="AA151" s="460">
        <f t="shared" si="105"/>
        <v>0</v>
      </c>
      <c r="AB151" s="460">
        <f t="shared" si="105"/>
        <v>0</v>
      </c>
      <c r="AC151" s="460">
        <f t="shared" si="105"/>
        <v>0</v>
      </c>
      <c r="AD151" s="460">
        <f t="shared" si="105"/>
        <v>0</v>
      </c>
      <c r="AE151" s="460">
        <f t="shared" si="105"/>
        <v>0</v>
      </c>
      <c r="AF151" s="461">
        <f t="shared" si="105"/>
        <v>0</v>
      </c>
      <c r="AG151" s="412"/>
    </row>
    <row r="152" spans="2:33" x14ac:dyDescent="0.25">
      <c r="B152" s="413"/>
      <c r="C152" s="370" t="s">
        <v>446</v>
      </c>
      <c r="D152" s="428"/>
      <c r="E152" s="428"/>
      <c r="F152" s="428"/>
      <c r="G152" s="411"/>
      <c r="H152" s="364">
        <f>SUM(H150:H151)</f>
        <v>39186.201293210477</v>
      </c>
      <c r="I152" s="365">
        <f t="shared" ref="I152:O152" si="107">SUM(I150:I151)</f>
        <v>40557.718338472841</v>
      </c>
      <c r="J152" s="365">
        <f t="shared" si="107"/>
        <v>41977.238480319393</v>
      </c>
      <c r="K152" s="365">
        <f t="shared" si="107"/>
        <v>43446.441827130569</v>
      </c>
      <c r="L152" s="365">
        <f t="shared" si="107"/>
        <v>44967.067291080137</v>
      </c>
      <c r="M152" s="365">
        <f t="shared" si="107"/>
        <v>46540.914646267942</v>
      </c>
      <c r="N152" s="365">
        <f t="shared" si="107"/>
        <v>48169.84665888732</v>
      </c>
      <c r="O152" s="366">
        <f t="shared" si="107"/>
        <v>49855.791291948379</v>
      </c>
      <c r="P152" s="412"/>
      <c r="Q152" s="413"/>
      <c r="R152" s="413"/>
      <c r="S152" s="370" t="s">
        <v>446</v>
      </c>
      <c r="T152" s="428"/>
      <c r="U152" s="428"/>
      <c r="V152" s="428"/>
      <c r="W152" s="428"/>
      <c r="X152" s="411"/>
      <c r="Y152" s="364">
        <f>SUM(Y150:Y151)</f>
        <v>17811.909678732034</v>
      </c>
      <c r="Z152" s="365">
        <f t="shared" ref="Z152:AF152" si="108">SUM(Z150:Z151)</f>
        <v>18435.326517487654</v>
      </c>
      <c r="AA152" s="365">
        <f t="shared" si="108"/>
        <v>19080.562945599722</v>
      </c>
      <c r="AB152" s="365">
        <f t="shared" si="108"/>
        <v>19748.382648695711</v>
      </c>
      <c r="AC152" s="365">
        <f t="shared" si="108"/>
        <v>20439.576041400062</v>
      </c>
      <c r="AD152" s="365">
        <f t="shared" si="108"/>
        <v>21154.961202849063</v>
      </c>
      <c r="AE152" s="365">
        <f t="shared" si="108"/>
        <v>21895.384844948781</v>
      </c>
      <c r="AF152" s="366">
        <f t="shared" si="108"/>
        <v>22661.723314521987</v>
      </c>
      <c r="AG152" s="412"/>
    </row>
    <row r="153" spans="2:33" ht="7.5" customHeight="1" x14ac:dyDescent="0.25">
      <c r="B153" s="413"/>
      <c r="C153" s="370"/>
      <c r="D153" s="428"/>
      <c r="E153" s="428"/>
      <c r="F153" s="428"/>
      <c r="G153" s="411"/>
      <c r="H153" s="367"/>
      <c r="I153" s="368"/>
      <c r="J153" s="368"/>
      <c r="K153" s="368"/>
      <c r="L153" s="368"/>
      <c r="M153" s="368"/>
      <c r="N153" s="368"/>
      <c r="O153" s="369"/>
      <c r="P153" s="412"/>
      <c r="Q153" s="413"/>
      <c r="R153" s="413"/>
      <c r="S153" s="370"/>
      <c r="T153" s="428"/>
      <c r="U153" s="428"/>
      <c r="V153" s="428"/>
      <c r="W153" s="428"/>
      <c r="X153" s="411"/>
      <c r="Y153" s="367"/>
      <c r="Z153" s="368"/>
      <c r="AA153" s="368"/>
      <c r="AB153" s="368"/>
      <c r="AC153" s="368"/>
      <c r="AD153" s="368"/>
      <c r="AE153" s="368"/>
      <c r="AF153" s="369"/>
      <c r="AG153" s="412"/>
    </row>
    <row r="154" spans="2:33" x14ac:dyDescent="0.25">
      <c r="B154" s="413"/>
      <c r="C154" s="370" t="s">
        <v>447</v>
      </c>
      <c r="D154" s="428"/>
      <c r="E154" s="239"/>
      <c r="F154" s="428"/>
      <c r="G154" s="411"/>
      <c r="H154" s="482">
        <f>O73+(O73*$F$73)</f>
        <v>82565.835036499557</v>
      </c>
      <c r="I154" s="483">
        <f t="shared" ref="I154:O154" si="109">H154+(H154*$F73)</f>
        <v>85455.63926277704</v>
      </c>
      <c r="J154" s="483">
        <f t="shared" si="109"/>
        <v>88446.586636974243</v>
      </c>
      <c r="K154" s="483">
        <f t="shared" si="109"/>
        <v>91542.217169268348</v>
      </c>
      <c r="L154" s="483">
        <f t="shared" si="109"/>
        <v>94746.194770192742</v>
      </c>
      <c r="M154" s="483">
        <f t="shared" si="109"/>
        <v>98062.311587149481</v>
      </c>
      <c r="N154" s="483">
        <f t="shared" si="109"/>
        <v>101494.49249269972</v>
      </c>
      <c r="O154" s="484">
        <f t="shared" si="109"/>
        <v>105046.79972994421</v>
      </c>
      <c r="P154" s="412"/>
      <c r="Q154" s="413"/>
      <c r="R154" s="413"/>
      <c r="S154" s="370" t="s">
        <v>447</v>
      </c>
      <c r="T154" s="428"/>
      <c r="U154" s="239"/>
      <c r="V154" s="428"/>
      <c r="W154" s="428"/>
      <c r="X154" s="411"/>
      <c r="Y154" s="482">
        <f>AF73+($F73*AF73)</f>
        <v>0</v>
      </c>
      <c r="Z154" s="483">
        <v>0</v>
      </c>
      <c r="AA154" s="483">
        <v>0</v>
      </c>
      <c r="AB154" s="483">
        <v>22908</v>
      </c>
      <c r="AC154" s="483">
        <v>30000</v>
      </c>
      <c r="AD154" s="483">
        <f t="shared" ref="AD154:AF154" si="110">AC154+(AC154*$F73)</f>
        <v>31050</v>
      </c>
      <c r="AE154" s="483">
        <f t="shared" si="110"/>
        <v>32136.75</v>
      </c>
      <c r="AF154" s="484">
        <f t="shared" si="110"/>
        <v>33261.536249999997</v>
      </c>
      <c r="AG154" s="412"/>
    </row>
    <row r="155" spans="2:33" ht="7.5" customHeight="1" x14ac:dyDescent="0.25">
      <c r="B155" s="413"/>
      <c r="C155" s="370"/>
      <c r="D155" s="428"/>
      <c r="E155" s="239"/>
      <c r="F155" s="428"/>
      <c r="G155" s="411"/>
      <c r="H155" s="367"/>
      <c r="I155" s="368"/>
      <c r="J155" s="368"/>
      <c r="K155" s="368"/>
      <c r="L155" s="368"/>
      <c r="M155" s="368"/>
      <c r="N155" s="368"/>
      <c r="O155" s="369"/>
      <c r="P155" s="412"/>
      <c r="Q155" s="413"/>
      <c r="R155" s="413"/>
      <c r="S155" s="370"/>
      <c r="T155" s="428"/>
      <c r="U155" s="239"/>
      <c r="V155" s="428"/>
      <c r="W155" s="428"/>
      <c r="X155" s="411"/>
      <c r="Y155" s="367"/>
      <c r="Z155" s="368"/>
      <c r="AA155" s="368"/>
      <c r="AB155" s="368"/>
      <c r="AC155" s="368"/>
      <c r="AD155" s="368"/>
      <c r="AE155" s="368"/>
      <c r="AF155" s="369"/>
      <c r="AG155" s="412"/>
    </row>
    <row r="156" spans="2:33" ht="15.75" thickBot="1" x14ac:dyDescent="0.3">
      <c r="B156" s="413"/>
      <c r="C156" s="469" t="s">
        <v>448</v>
      </c>
      <c r="D156" s="431"/>
      <c r="E156" s="431"/>
      <c r="F156" s="431"/>
      <c r="G156" s="431"/>
      <c r="H156" s="1454">
        <f>O75+($F75*O75)</f>
        <v>0</v>
      </c>
      <c r="I156" s="1455">
        <f t="shared" ref="I156:O156" si="111">H156+(H156*$F75)</f>
        <v>0</v>
      </c>
      <c r="J156" s="1455">
        <f t="shared" si="111"/>
        <v>0</v>
      </c>
      <c r="K156" s="1455">
        <f t="shared" si="111"/>
        <v>0</v>
      </c>
      <c r="L156" s="1455">
        <f t="shared" si="111"/>
        <v>0</v>
      </c>
      <c r="M156" s="1455">
        <f t="shared" si="111"/>
        <v>0</v>
      </c>
      <c r="N156" s="1455">
        <f t="shared" si="111"/>
        <v>0</v>
      </c>
      <c r="O156" s="1456">
        <f t="shared" si="111"/>
        <v>0</v>
      </c>
      <c r="P156" s="412"/>
      <c r="Q156" s="413"/>
      <c r="R156" s="413"/>
      <c r="S156" s="469" t="s">
        <v>448</v>
      </c>
      <c r="T156" s="431"/>
      <c r="U156" s="431"/>
      <c r="V156" s="431"/>
      <c r="W156" s="431"/>
      <c r="X156" s="431"/>
      <c r="Y156" s="1454">
        <f>AF75+($F75*AF75)</f>
        <v>0</v>
      </c>
      <c r="Z156" s="1455">
        <f t="shared" ref="Z156:AF156" si="112">Y156+(Y156*$F75)</f>
        <v>0</v>
      </c>
      <c r="AA156" s="1455">
        <f t="shared" si="112"/>
        <v>0</v>
      </c>
      <c r="AB156" s="1455">
        <f t="shared" si="112"/>
        <v>0</v>
      </c>
      <c r="AC156" s="1455">
        <f t="shared" si="112"/>
        <v>0</v>
      </c>
      <c r="AD156" s="1455">
        <f t="shared" si="112"/>
        <v>0</v>
      </c>
      <c r="AE156" s="1455">
        <f t="shared" si="112"/>
        <v>0</v>
      </c>
      <c r="AF156" s="1456">
        <f t="shared" si="112"/>
        <v>0</v>
      </c>
      <c r="AG156" s="412"/>
    </row>
    <row r="157" spans="2:33" ht="16.5" thickTop="1" thickBot="1" x14ac:dyDescent="0.3">
      <c r="B157" s="413"/>
      <c r="C157" s="436" t="s">
        <v>449</v>
      </c>
      <c r="D157" s="428"/>
      <c r="E157" s="411"/>
      <c r="F157" s="428"/>
      <c r="G157" s="471"/>
      <c r="H157" s="372">
        <f>H148+H152+H154+H156</f>
        <v>761705.95310325339</v>
      </c>
      <c r="I157" s="373">
        <f t="shared" ref="I157:O157" si="113">I148+I152+I154+I156</f>
        <v>787544.17646186729</v>
      </c>
      <c r="J157" s="373">
        <f t="shared" si="113"/>
        <v>814286.73763803265</v>
      </c>
      <c r="K157" s="373">
        <f t="shared" si="113"/>
        <v>841965.2884553636</v>
      </c>
      <c r="L157" s="373">
        <f t="shared" si="113"/>
        <v>870612.58855130139</v>
      </c>
      <c r="M157" s="373">
        <f t="shared" si="113"/>
        <v>900262.54415059672</v>
      </c>
      <c r="N157" s="373">
        <f t="shared" si="113"/>
        <v>930950.24819586775</v>
      </c>
      <c r="O157" s="374">
        <f t="shared" si="113"/>
        <v>962712.0218827232</v>
      </c>
      <c r="P157" s="412"/>
      <c r="Q157" s="413"/>
      <c r="R157" s="413"/>
      <c r="S157" s="436" t="s">
        <v>449</v>
      </c>
      <c r="T157" s="428"/>
      <c r="U157" s="411"/>
      <c r="V157" s="428"/>
      <c r="W157" s="428"/>
      <c r="X157" s="471"/>
      <c r="Y157" s="372">
        <f>Y148+Y152+Y154+Y156</f>
        <v>326472.94506540196</v>
      </c>
      <c r="Z157" s="373">
        <f t="shared" ref="Z157:AF157" si="114">Z148+Z152+Z154+Z156</f>
        <v>337836.49814269098</v>
      </c>
      <c r="AA157" s="373">
        <f t="shared" si="114"/>
        <v>349597.77557768521</v>
      </c>
      <c r="AB157" s="373">
        <f t="shared" si="114"/>
        <v>384678.69772290421</v>
      </c>
      <c r="AC157" s="373">
        <f t="shared" si="114"/>
        <v>404369.67214320583</v>
      </c>
      <c r="AD157" s="373">
        <f t="shared" si="114"/>
        <v>418459.610668218</v>
      </c>
      <c r="AE157" s="373">
        <f t="shared" si="114"/>
        <v>433042.6970416056</v>
      </c>
      <c r="AF157" s="374">
        <f t="shared" si="114"/>
        <v>448136.19143806188</v>
      </c>
      <c r="AG157" s="412"/>
    </row>
    <row r="158" spans="2:33" ht="7.5" customHeight="1" thickBot="1" x14ac:dyDescent="0.3">
      <c r="B158" s="413"/>
      <c r="C158" s="428"/>
      <c r="D158" s="428"/>
      <c r="E158" s="428"/>
      <c r="F158" s="428"/>
      <c r="G158" s="428"/>
      <c r="H158" s="472"/>
      <c r="I158" s="472"/>
      <c r="J158" s="472"/>
      <c r="K158" s="472"/>
      <c r="L158" s="472"/>
      <c r="M158" s="472"/>
      <c r="N158" s="472"/>
      <c r="O158" s="472"/>
      <c r="P158" s="412"/>
      <c r="Q158" s="413"/>
      <c r="R158" s="413"/>
      <c r="S158" s="428"/>
      <c r="T158" s="428"/>
      <c r="U158" s="428"/>
      <c r="V158" s="428"/>
      <c r="W158" s="428"/>
      <c r="X158" s="428"/>
      <c r="Y158" s="2009"/>
      <c r="Z158" s="2009"/>
      <c r="AA158" s="2009"/>
      <c r="AB158" s="2009"/>
      <c r="AC158" s="2009"/>
      <c r="AD158" s="2009"/>
      <c r="AE158" s="2009"/>
      <c r="AF158" s="2009"/>
      <c r="AG158" s="412"/>
    </row>
    <row r="159" spans="2:33" ht="15.75" thickBot="1" x14ac:dyDescent="0.3">
      <c r="B159" s="413"/>
      <c r="C159" s="436" t="s">
        <v>450</v>
      </c>
      <c r="D159" s="428"/>
      <c r="E159" s="428"/>
      <c r="F159" s="428"/>
      <c r="G159" s="428"/>
      <c r="H159" s="375">
        <f>H123-H157</f>
        <v>444114.74459907948</v>
      </c>
      <c r="I159" s="376">
        <f>I123-I157</f>
        <v>448306.80253684521</v>
      </c>
      <c r="J159" s="376">
        <f t="shared" ref="J159:O159" si="115">J123-J157</f>
        <v>452342.97496654547</v>
      </c>
      <c r="K159" s="376">
        <f t="shared" si="115"/>
        <v>456210.27527784463</v>
      </c>
      <c r="L159" s="376">
        <f t="shared" si="115"/>
        <v>459895.07475502335</v>
      </c>
      <c r="M159" s="376">
        <f t="shared" si="115"/>
        <v>463383.07542776805</v>
      </c>
      <c r="N159" s="376">
        <f t="shared" si="115"/>
        <v>466659.28185512568</v>
      </c>
      <c r="O159" s="377">
        <f t="shared" si="115"/>
        <v>469707.97180237796</v>
      </c>
      <c r="P159" s="412"/>
      <c r="Q159" s="413"/>
      <c r="R159" s="413"/>
      <c r="S159" s="436" t="s">
        <v>450</v>
      </c>
      <c r="T159" s="428"/>
      <c r="U159" s="428"/>
      <c r="V159" s="428"/>
      <c r="W159" s="428"/>
      <c r="X159" s="428"/>
      <c r="Y159" s="375">
        <f>Y123-Y157</f>
        <v>91910.594703514245</v>
      </c>
      <c r="Z159" s="376">
        <f>Z123-Z157</f>
        <v>90943.774040714372</v>
      </c>
      <c r="AA159" s="376">
        <f t="shared" ref="AA159:AF159" si="116">AA123-AA157</f>
        <v>89837.890208976809</v>
      </c>
      <c r="AB159" s="376">
        <f t="shared" si="116"/>
        <v>65677.464243069349</v>
      </c>
      <c r="AC159" s="376">
        <f t="shared" si="116"/>
        <v>57178.690497255011</v>
      </c>
      <c r="AD159" s="376">
        <f t="shared" si="116"/>
        <v>54559.423596099019</v>
      </c>
      <c r="AE159" s="376">
        <f t="shared" si="116"/>
        <v>51732.41488832084</v>
      </c>
      <c r="AF159" s="377">
        <f t="shared" si="116"/>
        <v>48687.512135294266</v>
      </c>
      <c r="AG159" s="412"/>
    </row>
    <row r="160" spans="2:33" x14ac:dyDescent="0.25">
      <c r="B160" s="290"/>
      <c r="C160" s="250"/>
      <c r="D160" s="250"/>
      <c r="E160" s="250"/>
      <c r="F160" s="250"/>
      <c r="G160" s="250"/>
      <c r="H160" s="250"/>
      <c r="I160" s="250"/>
      <c r="J160" s="250"/>
      <c r="K160" s="250"/>
      <c r="L160" s="250"/>
      <c r="M160" s="250"/>
      <c r="N160" s="250"/>
      <c r="O160" s="250"/>
      <c r="P160" s="251"/>
      <c r="Q160" s="290"/>
      <c r="R160" s="2022"/>
      <c r="S160" s="841"/>
      <c r="T160" s="841"/>
      <c r="U160" s="841"/>
      <c r="V160" s="841"/>
      <c r="W160" s="841"/>
      <c r="X160" s="841"/>
      <c r="Y160" s="841"/>
      <c r="Z160" s="841"/>
      <c r="AA160" s="841"/>
      <c r="AB160" s="841"/>
      <c r="AC160" s="841"/>
      <c r="AD160" s="841"/>
      <c r="AE160" s="841"/>
      <c r="AF160" s="841"/>
      <c r="AG160" s="2199"/>
    </row>
    <row r="161" spans="2:33" ht="15.75" thickBot="1" x14ac:dyDescent="0.3">
      <c r="B161" s="290"/>
      <c r="C161" s="2562" t="s">
        <v>451</v>
      </c>
      <c r="D161" s="2562"/>
      <c r="E161" s="2562"/>
      <c r="F161" s="378"/>
      <c r="G161" s="378"/>
      <c r="H161" s="378"/>
      <c r="I161" s="378"/>
      <c r="J161" s="378"/>
      <c r="K161" s="378"/>
      <c r="L161" s="1167"/>
      <c r="M161" s="1167"/>
      <c r="N161" s="1167"/>
      <c r="O161" s="1167"/>
      <c r="P161" s="251"/>
      <c r="Q161" s="290"/>
      <c r="R161" s="2022"/>
      <c r="S161" s="2562" t="s">
        <v>451</v>
      </c>
      <c r="T161" s="2562"/>
      <c r="U161" s="2562"/>
      <c r="V161" s="378"/>
      <c r="W161" s="378"/>
      <c r="X161" s="378"/>
      <c r="Y161" s="378"/>
      <c r="Z161" s="378"/>
      <c r="AA161" s="378"/>
      <c r="AB161" s="378"/>
      <c r="AC161" s="378"/>
      <c r="AD161" s="378"/>
      <c r="AE161" s="378"/>
      <c r="AF161" s="378"/>
      <c r="AG161" s="2199"/>
    </row>
    <row r="162" spans="2:33" ht="15.75" thickBot="1" x14ac:dyDescent="0.3">
      <c r="B162" s="290"/>
      <c r="C162" s="485" t="s">
        <v>452</v>
      </c>
      <c r="D162" s="420"/>
      <c r="E162" s="1038"/>
      <c r="F162" s="1038"/>
      <c r="G162" s="1038"/>
      <c r="H162" s="342" t="s">
        <v>465</v>
      </c>
      <c r="I162" s="404" t="s">
        <v>466</v>
      </c>
      <c r="J162" s="405" t="s">
        <v>467</v>
      </c>
      <c r="K162" s="405" t="s">
        <v>468</v>
      </c>
      <c r="L162" s="405" t="s">
        <v>469</v>
      </c>
      <c r="M162" s="405" t="s">
        <v>470</v>
      </c>
      <c r="N162" s="405" t="s">
        <v>471</v>
      </c>
      <c r="O162" s="406" t="s">
        <v>472</v>
      </c>
      <c r="P162" s="251"/>
      <c r="Q162" s="290"/>
      <c r="R162" s="2022"/>
      <c r="S162" s="599" t="s">
        <v>452</v>
      </c>
      <c r="T162" s="420"/>
      <c r="U162" s="841"/>
      <c r="V162" s="841"/>
      <c r="W162" s="841"/>
      <c r="X162" s="841"/>
      <c r="Y162" s="342" t="s">
        <v>465</v>
      </c>
      <c r="Z162" s="2016" t="s">
        <v>466</v>
      </c>
      <c r="AA162" s="2017" t="s">
        <v>467</v>
      </c>
      <c r="AB162" s="2017" t="s">
        <v>468</v>
      </c>
      <c r="AC162" s="2017" t="s">
        <v>469</v>
      </c>
      <c r="AD162" s="2017" t="s">
        <v>470</v>
      </c>
      <c r="AE162" s="2017" t="s">
        <v>471</v>
      </c>
      <c r="AF162" s="2018" t="s">
        <v>472</v>
      </c>
      <c r="AG162" s="2199"/>
    </row>
    <row r="163" spans="2:33" x14ac:dyDescent="0.25">
      <c r="B163" s="290"/>
      <c r="C163" s="2563" t="s">
        <v>1420</v>
      </c>
      <c r="D163" s="2564"/>
      <c r="E163" s="2564"/>
      <c r="F163" s="2564"/>
      <c r="G163" s="2565"/>
      <c r="H163" s="1457">
        <f>+O82</f>
        <v>399707</v>
      </c>
      <c r="I163" s="1478">
        <f>+H163</f>
        <v>399707</v>
      </c>
      <c r="J163" s="1478">
        <f t="shared" ref="J163:O163" si="117">+I163</f>
        <v>399707</v>
      </c>
      <c r="K163" s="1478">
        <f t="shared" si="117"/>
        <v>399707</v>
      </c>
      <c r="L163" s="1478">
        <f t="shared" si="117"/>
        <v>399707</v>
      </c>
      <c r="M163" s="1478">
        <f t="shared" si="117"/>
        <v>399707</v>
      </c>
      <c r="N163" s="1478">
        <f t="shared" si="117"/>
        <v>399707</v>
      </c>
      <c r="O163" s="1479">
        <f t="shared" si="117"/>
        <v>399707</v>
      </c>
      <c r="P163" s="251"/>
      <c r="Q163" s="290"/>
      <c r="R163" s="2022"/>
      <c r="S163" s="2564" t="str">
        <f>IF(S82="Lender 1","",S82)</f>
        <v/>
      </c>
      <c r="T163" s="2564"/>
      <c r="U163" s="2564"/>
      <c r="V163" s="2564"/>
      <c r="W163" s="2564"/>
      <c r="X163" s="2565"/>
      <c r="Y163" s="1457">
        <v>0</v>
      </c>
      <c r="Z163" s="1478">
        <v>0</v>
      </c>
      <c r="AA163" s="1478">
        <v>0</v>
      </c>
      <c r="AB163" s="1478">
        <v>0</v>
      </c>
      <c r="AC163" s="1478">
        <v>0</v>
      </c>
      <c r="AD163" s="1478">
        <v>0</v>
      </c>
      <c r="AE163" s="1478">
        <v>0</v>
      </c>
      <c r="AF163" s="1479">
        <v>0</v>
      </c>
      <c r="AG163" s="2199"/>
    </row>
    <row r="164" spans="2:33" x14ac:dyDescent="0.25">
      <c r="B164" s="290"/>
      <c r="C164" s="2559" t="str">
        <f>IF(C83="Lender 2","",C83)</f>
        <v/>
      </c>
      <c r="D164" s="2560"/>
      <c r="E164" s="2560"/>
      <c r="F164" s="2560"/>
      <c r="G164" s="2561"/>
      <c r="H164" s="1460">
        <v>0</v>
      </c>
      <c r="I164" s="1480">
        <v>0</v>
      </c>
      <c r="J164" s="1480">
        <v>0</v>
      </c>
      <c r="K164" s="1480">
        <v>0</v>
      </c>
      <c r="L164" s="1480">
        <v>0</v>
      </c>
      <c r="M164" s="1480">
        <v>0</v>
      </c>
      <c r="N164" s="1480">
        <v>0</v>
      </c>
      <c r="O164" s="1481">
        <v>0</v>
      </c>
      <c r="P164" s="251"/>
      <c r="Q164" s="290"/>
      <c r="R164" s="2022"/>
      <c r="S164" s="2560" t="str">
        <f>IF(S83="Lender 2","",S83)</f>
        <v/>
      </c>
      <c r="T164" s="2560"/>
      <c r="U164" s="2560"/>
      <c r="V164" s="2560"/>
      <c r="W164" s="2560"/>
      <c r="X164" s="2561"/>
      <c r="Y164" s="1460">
        <v>0</v>
      </c>
      <c r="Z164" s="1480">
        <v>0</v>
      </c>
      <c r="AA164" s="1480">
        <v>0</v>
      </c>
      <c r="AB164" s="1480">
        <v>0</v>
      </c>
      <c r="AC164" s="1480">
        <v>0</v>
      </c>
      <c r="AD164" s="1480">
        <v>0</v>
      </c>
      <c r="AE164" s="1480">
        <v>0</v>
      </c>
      <c r="AF164" s="1481">
        <v>0</v>
      </c>
      <c r="AG164" s="2199"/>
    </row>
    <row r="165" spans="2:33" ht="15.75" thickBot="1" x14ac:dyDescent="0.3">
      <c r="B165" s="290"/>
      <c r="C165" s="2556" t="s">
        <v>456</v>
      </c>
      <c r="D165" s="2557"/>
      <c r="E165" s="2557"/>
      <c r="F165" s="2557"/>
      <c r="G165" s="2558"/>
      <c r="H165" s="1463">
        <v>0</v>
      </c>
      <c r="I165" s="1482">
        <v>0</v>
      </c>
      <c r="J165" s="1482">
        <v>0</v>
      </c>
      <c r="K165" s="1482">
        <v>0</v>
      </c>
      <c r="L165" s="1482">
        <v>0</v>
      </c>
      <c r="M165" s="1482">
        <v>0</v>
      </c>
      <c r="N165" s="1482">
        <v>0</v>
      </c>
      <c r="O165" s="1483">
        <v>0</v>
      </c>
      <c r="P165" s="251"/>
      <c r="Q165" s="290"/>
      <c r="R165" s="2022"/>
      <c r="S165" s="2603" t="s">
        <v>456</v>
      </c>
      <c r="T165" s="2557"/>
      <c r="U165" s="2557"/>
      <c r="V165" s="2557"/>
      <c r="W165" s="2557"/>
      <c r="X165" s="2558"/>
      <c r="Y165" s="1463">
        <v>0</v>
      </c>
      <c r="Z165" s="1482">
        <v>0</v>
      </c>
      <c r="AA165" s="1482">
        <v>0</v>
      </c>
      <c r="AB165" s="1482">
        <v>0</v>
      </c>
      <c r="AC165" s="1482">
        <v>0</v>
      </c>
      <c r="AD165" s="1482">
        <v>0</v>
      </c>
      <c r="AE165" s="1482">
        <v>0</v>
      </c>
      <c r="AF165" s="1483">
        <v>0</v>
      </c>
      <c r="AG165" s="2199"/>
    </row>
    <row r="166" spans="2:33" ht="15.75" thickTop="1" x14ac:dyDescent="0.25">
      <c r="B166" s="290"/>
      <c r="C166" s="1038"/>
      <c r="D166" s="1038"/>
      <c r="E166" s="1168"/>
      <c r="F166" s="1169"/>
      <c r="G166" s="1170" t="s">
        <v>457</v>
      </c>
      <c r="H166" s="379">
        <f>SUM(H163:H165)</f>
        <v>399707</v>
      </c>
      <c r="I166" s="380">
        <f t="shared" ref="I166:O166" si="118">SUM(I163:I165)</f>
        <v>399707</v>
      </c>
      <c r="J166" s="380">
        <f t="shared" si="118"/>
        <v>399707</v>
      </c>
      <c r="K166" s="380">
        <f t="shared" si="118"/>
        <v>399707</v>
      </c>
      <c r="L166" s="380">
        <f t="shared" si="118"/>
        <v>399707</v>
      </c>
      <c r="M166" s="380">
        <f t="shared" si="118"/>
        <v>399707</v>
      </c>
      <c r="N166" s="380">
        <f t="shared" si="118"/>
        <v>399707</v>
      </c>
      <c r="O166" s="381">
        <f t="shared" si="118"/>
        <v>399707</v>
      </c>
      <c r="P166" s="251"/>
      <c r="Q166" s="290"/>
      <c r="R166" s="2022"/>
      <c r="S166" s="841"/>
      <c r="T166" s="841"/>
      <c r="U166" s="1168"/>
      <c r="V166" s="1169"/>
      <c r="W166" s="1169"/>
      <c r="X166" s="1170" t="s">
        <v>457</v>
      </c>
      <c r="Y166" s="379">
        <f>SUM(Y163:Y165)</f>
        <v>0</v>
      </c>
      <c r="Z166" s="380">
        <f t="shared" ref="Z166:AF166" si="119">SUM(Z163:Z165)</f>
        <v>0</v>
      </c>
      <c r="AA166" s="380">
        <f t="shared" si="119"/>
        <v>0</v>
      </c>
      <c r="AB166" s="380">
        <f t="shared" si="119"/>
        <v>0</v>
      </c>
      <c r="AC166" s="380">
        <f t="shared" si="119"/>
        <v>0</v>
      </c>
      <c r="AD166" s="380">
        <f t="shared" si="119"/>
        <v>0</v>
      </c>
      <c r="AE166" s="380">
        <f t="shared" si="119"/>
        <v>0</v>
      </c>
      <c r="AF166" s="381">
        <f t="shared" si="119"/>
        <v>0</v>
      </c>
      <c r="AG166" s="2199"/>
    </row>
    <row r="167" spans="2:33" x14ac:dyDescent="0.25">
      <c r="B167" s="290"/>
      <c r="C167" s="1038"/>
      <c r="D167" s="1038"/>
      <c r="E167" s="1038"/>
      <c r="F167" s="687"/>
      <c r="G167" s="687" t="s">
        <v>458</v>
      </c>
      <c r="H167" s="1726">
        <f t="shared" ref="H167:O167" si="120">IFERROR((H159+H154)/H166,"$0 ")</f>
        <v>1.3176666399026762</v>
      </c>
      <c r="I167" s="1727">
        <f t="shared" si="120"/>
        <v>1.3353842734793793</v>
      </c>
      <c r="J167" s="1727">
        <f t="shared" si="120"/>
        <v>1.3529649508352861</v>
      </c>
      <c r="K167" s="1727">
        <f t="shared" si="120"/>
        <v>1.3703850381582332</v>
      </c>
      <c r="L167" s="1727">
        <f t="shared" si="120"/>
        <v>1.3876196051738301</v>
      </c>
      <c r="M167" s="1727">
        <f t="shared" si="120"/>
        <v>1.4046423680719067</v>
      </c>
      <c r="N167" s="1727">
        <f t="shared" si="120"/>
        <v>1.4214256301436439</v>
      </c>
      <c r="O167" s="1728">
        <f t="shared" si="120"/>
        <v>1.4379402200419862</v>
      </c>
      <c r="P167" s="251"/>
      <c r="Q167" s="290"/>
      <c r="R167" s="2022"/>
      <c r="S167" s="841"/>
      <c r="T167" s="841"/>
      <c r="U167" s="841"/>
      <c r="V167" s="2158"/>
      <c r="W167" s="2158"/>
      <c r="X167" s="2158" t="s">
        <v>458</v>
      </c>
      <c r="Y167" s="625" t="str">
        <f>IFERROR(Y159/Y166,"$0 ")</f>
        <v xml:space="preserve">$0 </v>
      </c>
      <c r="Z167" s="620" t="str">
        <f t="shared" ref="Z167:AE167" si="121">IFERROR(Z159/Z166,"$0 ")</f>
        <v xml:space="preserve">$0 </v>
      </c>
      <c r="AA167" s="620" t="str">
        <f t="shared" si="121"/>
        <v xml:space="preserve">$0 </v>
      </c>
      <c r="AB167" s="620" t="str">
        <f t="shared" si="121"/>
        <v xml:space="preserve">$0 </v>
      </c>
      <c r="AC167" s="620" t="str">
        <f t="shared" si="121"/>
        <v xml:space="preserve">$0 </v>
      </c>
      <c r="AD167" s="620" t="str">
        <f t="shared" si="121"/>
        <v xml:space="preserve">$0 </v>
      </c>
      <c r="AE167" s="620" t="str">
        <f t="shared" si="121"/>
        <v xml:space="preserve">$0 </v>
      </c>
      <c r="AF167" s="621" t="str">
        <f>IFERROR(AF159/AF166,"$0 ")</f>
        <v xml:space="preserve">$0 </v>
      </c>
      <c r="AG167" s="2199"/>
    </row>
    <row r="168" spans="2:33" ht="15.75" thickBot="1" x14ac:dyDescent="0.3">
      <c r="B168" s="290"/>
      <c r="C168" s="1038"/>
      <c r="D168" s="1038"/>
      <c r="E168" s="2547" t="s">
        <v>459</v>
      </c>
      <c r="F168" s="2547"/>
      <c r="G168" s="2552"/>
      <c r="H168" s="382">
        <f>H159-H166</f>
        <v>44407.74459907948</v>
      </c>
      <c r="I168" s="383">
        <f t="shared" ref="I168:O168" si="122">I159-I166</f>
        <v>48599.802536845207</v>
      </c>
      <c r="J168" s="383">
        <f t="shared" si="122"/>
        <v>52635.974966545473</v>
      </c>
      <c r="K168" s="383">
        <f t="shared" si="122"/>
        <v>56503.27527784463</v>
      </c>
      <c r="L168" s="383">
        <f t="shared" si="122"/>
        <v>60188.07475502335</v>
      </c>
      <c r="M168" s="383">
        <f t="shared" si="122"/>
        <v>63676.075427768053</v>
      </c>
      <c r="N168" s="383">
        <f t="shared" si="122"/>
        <v>66952.281855125679</v>
      </c>
      <c r="O168" s="384">
        <f t="shared" si="122"/>
        <v>70000.971802377957</v>
      </c>
      <c r="P168" s="251"/>
      <c r="Q168" s="290"/>
      <c r="R168" s="2022"/>
      <c r="S168" s="841"/>
      <c r="T168" s="841"/>
      <c r="U168" s="2547" t="s">
        <v>459</v>
      </c>
      <c r="V168" s="2547"/>
      <c r="W168" s="2547"/>
      <c r="X168" s="2552"/>
      <c r="Y168" s="382">
        <f>Y159-Y166</f>
        <v>91910.594703514245</v>
      </c>
      <c r="Z168" s="383">
        <f t="shared" ref="Z168:AF168" si="123">Z159-Z166</f>
        <v>90943.774040714372</v>
      </c>
      <c r="AA168" s="383">
        <f t="shared" si="123"/>
        <v>89837.890208976809</v>
      </c>
      <c r="AB168" s="383">
        <f t="shared" si="123"/>
        <v>65677.464243069349</v>
      </c>
      <c r="AC168" s="383">
        <f t="shared" si="123"/>
        <v>57178.690497255011</v>
      </c>
      <c r="AD168" s="383">
        <f t="shared" si="123"/>
        <v>54559.423596099019</v>
      </c>
      <c r="AE168" s="383">
        <f t="shared" si="123"/>
        <v>51732.41488832084</v>
      </c>
      <c r="AF168" s="384">
        <f t="shared" si="123"/>
        <v>48687.512135294266</v>
      </c>
      <c r="AG168" s="2199"/>
    </row>
    <row r="169" spans="2:33" ht="15.75" thickBot="1" x14ac:dyDescent="0.3">
      <c r="B169" s="290"/>
      <c r="C169" s="1038"/>
      <c r="D169" s="1038"/>
      <c r="E169" s="1038"/>
      <c r="F169" s="1038"/>
      <c r="G169" s="1038"/>
      <c r="H169" s="1038"/>
      <c r="I169" s="1038"/>
      <c r="J169" s="1038"/>
      <c r="K169" s="1038"/>
      <c r="L169" s="1038"/>
      <c r="M169" s="1038"/>
      <c r="N169" s="1038"/>
      <c r="O169" s="1038"/>
      <c r="P169" s="251"/>
      <c r="Q169" s="290"/>
      <c r="R169" s="2022"/>
      <c r="S169" s="841"/>
      <c r="T169" s="841"/>
      <c r="U169" s="841"/>
      <c r="V169" s="841"/>
      <c r="W169" s="841"/>
      <c r="X169" s="841"/>
      <c r="Y169" s="841"/>
      <c r="Z169" s="841"/>
      <c r="AA169" s="841"/>
      <c r="AB169" s="841"/>
      <c r="AC169" s="841"/>
      <c r="AD169" s="841"/>
      <c r="AE169" s="841"/>
      <c r="AF169" s="841"/>
      <c r="AG169" s="2199"/>
    </row>
    <row r="170" spans="2:33" ht="15.75" thickBot="1" x14ac:dyDescent="0.3">
      <c r="B170" s="290"/>
      <c r="C170" s="485" t="s">
        <v>460</v>
      </c>
      <c r="D170" s="1038"/>
      <c r="E170" s="2161"/>
      <c r="F170" s="1038"/>
      <c r="G170" s="1038"/>
      <c r="H170" s="342" t="s">
        <v>465</v>
      </c>
      <c r="I170" s="404" t="s">
        <v>466</v>
      </c>
      <c r="J170" s="405" t="s">
        <v>467</v>
      </c>
      <c r="K170" s="405" t="s">
        <v>468</v>
      </c>
      <c r="L170" s="405" t="s">
        <v>469</v>
      </c>
      <c r="M170" s="405" t="s">
        <v>470</v>
      </c>
      <c r="N170" s="405" t="s">
        <v>471</v>
      </c>
      <c r="O170" s="406" t="s">
        <v>472</v>
      </c>
      <c r="P170" s="251"/>
      <c r="Q170" s="290"/>
      <c r="R170" s="2022"/>
      <c r="S170" s="599" t="s">
        <v>460</v>
      </c>
      <c r="T170" s="841"/>
      <c r="U170" s="841"/>
      <c r="V170" s="841"/>
      <c r="W170" s="841"/>
      <c r="X170" s="841"/>
      <c r="Y170" s="342" t="s">
        <v>465</v>
      </c>
      <c r="Z170" s="2016" t="s">
        <v>466</v>
      </c>
      <c r="AA170" s="2017" t="s">
        <v>467</v>
      </c>
      <c r="AB170" s="2017" t="s">
        <v>468</v>
      </c>
      <c r="AC170" s="2017" t="s">
        <v>469</v>
      </c>
      <c r="AD170" s="2017" t="s">
        <v>470</v>
      </c>
      <c r="AE170" s="2017" t="s">
        <v>471</v>
      </c>
      <c r="AF170" s="2018" t="s">
        <v>472</v>
      </c>
      <c r="AG170" s="2199"/>
    </row>
    <row r="171" spans="2:33" x14ac:dyDescent="0.25">
      <c r="B171" s="290"/>
      <c r="C171" s="2568" t="str">
        <f>IF(C90="Lender 4","",C90)</f>
        <v>Deferred Developer Fee</v>
      </c>
      <c r="D171" s="2569"/>
      <c r="E171" s="2569"/>
      <c r="F171" s="2569"/>
      <c r="G171" s="2570"/>
      <c r="H171" s="1484">
        <f>+IF((SUM($I$90:$O$90)&lt;$G$90),H$168-H172,0)</f>
        <v>34865.650128330184</v>
      </c>
      <c r="I171" s="1485">
        <f>+IF((SUM($I$90:$O$90,$H$171:H$171)&lt;$G$90),IF($G$90-(SUM($I$90:$O$90,$H$171:H$171))&gt;I$168-I172,I$168-I172,($G$90-SUM($I$90:$O$90,$H$171:H$171))),0)</f>
        <v>38723.734759619685</v>
      </c>
      <c r="J171" s="1485">
        <f>+IF((SUM($I$90:$O$90,$H$171:I$171)&lt;$G$90),IF($G$90-(SUM($I$90:$O$90,$H$171:I$171))&gt;J$168-J172,J$168-J172,($G$90-SUM($I$90:$O$90,$H$171:I$171))),0)</f>
        <v>42414.244817117062</v>
      </c>
      <c r="K171" s="1485">
        <f>+IF((SUM($I$90:$O$90,$H$171:J$171)&lt;$G$90),IF($G$90-(SUM($I$90:$O$90,$H$171:J$171))&gt;K$168-K172,K$168-K172,($G$90-SUM($I$90:$O$90,$H$171:J$171))),0)</f>
        <v>45923.784573186225</v>
      </c>
      <c r="L171" s="1485">
        <f>+IF((SUM($I$90:$O$90,$H$171:K$171)&lt;$G$90),IF($G$90-(SUM($I$90:$O$90,$H$171:K$171))&gt;L$168-L172,L$168-L172,($G$90-SUM($I$90:$O$90,$H$171:K$171))),0)</f>
        <v>49238.301875701902</v>
      </c>
      <c r="M171" s="1485">
        <f>+IF((SUM($I$90:$O$90,$H$171:L$171)&lt;$G$90),IF($G$90-(SUM($I$90:$O$90,$H$171:L$171))&gt;M$168-M172,M$168-M172,($G$90-SUM($I$90:$O$90,$H$171:L$171))),0)</f>
        <v>14343.728367074393</v>
      </c>
      <c r="N171" s="1485">
        <f>+IF((SUM($I$90:$O$90,$H$171:M$171)&lt;$G$90),IF($G$90-(SUM($I$90:$O$90,$H$171:M$171))&gt;N$168-N172,N$168-N172,($G$90-SUM($I$90:$O$90,$H$171:M$171))),0)</f>
        <v>0</v>
      </c>
      <c r="O171" s="1486">
        <f>+IF((SUM($I$90:$O$90,$H$171:N$171)&lt;$G$90),IF($G$90-(SUM($I$90:$O$90,$H$171:N$171))&gt;O$168-O172,O$168-O172,($G$90-SUM($I$90:$O$90,$H$171:N$171))),0)</f>
        <v>0</v>
      </c>
      <c r="P171" s="251"/>
      <c r="Q171" s="290"/>
      <c r="R171" s="2022"/>
      <c r="S171" s="2569" t="str">
        <f>IF(S90="Lender 4","",S90)</f>
        <v>Deferred Developer Fee</v>
      </c>
      <c r="T171" s="2569"/>
      <c r="U171" s="2569"/>
      <c r="V171" s="2569"/>
      <c r="W171" s="2569"/>
      <c r="X171" s="2570"/>
      <c r="Y171" s="2019">
        <f>+IF((SUM($Z$90:$AF$90)&lt;$X$90),IF($X$90-(SUM($Z$90:$AF$90))&gt;Y$168-Y$172,Y$168-Y$172,($X$90-SUM($Z$90:$AF$90))),0)</f>
        <v>82368.500232764956</v>
      </c>
      <c r="Z171" s="2020">
        <f>+IF((SUM($Z$90:$AF$90,$Y$171:Y$171)&lt;$X$90),IF($X$90-(SUM($Z$90:$AF$90,$Y$171:Y$171))&gt;Z$168-Z172,Z$168-Z172,($X$90-SUM($Z$90:$AF$90,$Y$171:Y$171))),0)</f>
        <v>81067.706263488857</v>
      </c>
      <c r="AA171" s="2020">
        <f>+IF((SUM($Z$90:$AF$90,$Y$171:Z$171)&lt;$X$90),IF($X$90-(SUM($Z$90:$AF$90,$Y$171:Z$171))&gt;AA$168-AA172,AA$168-AA172,($X$90-SUM($Z$90:$AF$90,$Y$171:Z$171))),0)</f>
        <v>79616.160059548391</v>
      </c>
      <c r="AB171" s="2020">
        <f>+IF((SUM($Z$90:$AF$90,$Y$171:AA$171)&lt;$X$90),IF($X$90-(SUM($Z$90:$AF$90,$Y$171:AA$171))&gt;AB$168-AB172,AB$168-AB172,($X$90-SUM($Z$90:$AF$90,$Y$171:AA$171))),0)</f>
        <v>55097.973538410944</v>
      </c>
      <c r="AC171" s="2020">
        <f>+IF((SUM($Z$90:$AF$90,$Y$171:AB$171)&lt;$X$90),IF($X$90-(SUM($Z$90:$AF$90,$Y$171:AB$171))&gt;AC$168-AC172,AC$168-AC172,($X$90-SUM($Z$90:$AF$90,$Y$171:AB$171))),0)</f>
        <v>0.46785735164303333</v>
      </c>
      <c r="AD171" s="2020">
        <f>+IF((SUM($Z$90:$AF$90,$Y$171:AC$171)&lt;$X$90),IF($X$90-(SUM($Z$90:$AF$90,$Y$171:AC$171))&gt;AD$168-AD172,AD$168-AD172,($X$90-SUM($Z$90:$AF$90,$Y$171:AC$171))),0)</f>
        <v>0</v>
      </c>
      <c r="AE171" s="2020">
        <f>+IF((SUM($Z$90:$AF$90,$Y$171:AD$171)&lt;$X$90),IF($X$90-(SUM($Z$90:$AF$90,$Y$171:AD$171))&gt;AE$168-AE172,AE$168-AE172,($X$90-SUM($Z$90:$AF$90,$Y$171:AD$171))),0)</f>
        <v>0</v>
      </c>
      <c r="AF171" s="2021">
        <f>+IF((SUM($Z$90:$AF$90,$Y$171:AE$171)&lt;$X$90),IF($X$90-(SUM($Z$90:$AF$90,$Y$171:AE$171))&gt;AF$168-AF172,AF$168-AF172,($X$90-SUM($Z$90:$AF$90,$Y$171:AE$171))),0)</f>
        <v>0</v>
      </c>
      <c r="AG171" s="2199"/>
    </row>
    <row r="172" spans="2:33" x14ac:dyDescent="0.25">
      <c r="B172" s="290"/>
      <c r="C172" s="2553" t="str">
        <f>IF(C91="Lender 5","",C91)</f>
        <v>LP Asset Management Fee</v>
      </c>
      <c r="D172" s="2554"/>
      <c r="E172" s="2554"/>
      <c r="F172" s="2554"/>
      <c r="G172" s="2555"/>
      <c r="H172" s="1487">
        <f>+O91*1.035</f>
        <v>9542.0944707492963</v>
      </c>
      <c r="I172" s="1488">
        <f>H172*1.035</f>
        <v>9876.0677772255203</v>
      </c>
      <c r="J172" s="1488">
        <f t="shared" ref="J172:O172" si="124">I172*1.035</f>
        <v>10221.730149428413</v>
      </c>
      <c r="K172" s="1488">
        <f t="shared" si="124"/>
        <v>10579.490704658407</v>
      </c>
      <c r="L172" s="1488">
        <f t="shared" si="124"/>
        <v>10949.77287932145</v>
      </c>
      <c r="M172" s="1488">
        <f t="shared" si="124"/>
        <v>11333.014930097699</v>
      </c>
      <c r="N172" s="1488">
        <f t="shared" si="124"/>
        <v>11729.670452651118</v>
      </c>
      <c r="O172" s="1489">
        <f t="shared" si="124"/>
        <v>12140.208918493907</v>
      </c>
      <c r="P172" s="251"/>
      <c r="Q172" s="290"/>
      <c r="R172" s="2022"/>
      <c r="S172" s="2554" t="str">
        <f>IF(S91="Lender 5","",S91)</f>
        <v>LP Asset Management Fee</v>
      </c>
      <c r="T172" s="2554"/>
      <c r="U172" s="2554"/>
      <c r="V172" s="2554"/>
      <c r="W172" s="2554"/>
      <c r="X172" s="2555"/>
      <c r="Y172" s="1487">
        <f>+AF91*1.035</f>
        <v>9542.0944707492963</v>
      </c>
      <c r="Z172" s="1488">
        <f>Y172*1.035</f>
        <v>9876.0677772255203</v>
      </c>
      <c r="AA172" s="1488">
        <f t="shared" ref="AA172:AF172" si="125">Z172*1.035</f>
        <v>10221.730149428413</v>
      </c>
      <c r="AB172" s="1488">
        <f t="shared" si="125"/>
        <v>10579.490704658407</v>
      </c>
      <c r="AC172" s="1488">
        <f t="shared" si="125"/>
        <v>10949.77287932145</v>
      </c>
      <c r="AD172" s="1488">
        <f t="shared" si="125"/>
        <v>11333.014930097699</v>
      </c>
      <c r="AE172" s="1488">
        <f t="shared" si="125"/>
        <v>11729.670452651118</v>
      </c>
      <c r="AF172" s="1489">
        <f t="shared" si="125"/>
        <v>12140.208918493907</v>
      </c>
      <c r="AG172" s="2199"/>
    </row>
    <row r="173" spans="2:33" x14ac:dyDescent="0.25">
      <c r="B173" s="290"/>
      <c r="C173" s="2553" t="s">
        <v>1590</v>
      </c>
      <c r="D173" s="2554"/>
      <c r="E173" s="2554"/>
      <c r="F173" s="2554"/>
      <c r="G173" s="2555"/>
      <c r="H173" s="1487">
        <f t="shared" ref="H173:K173" si="126">IF((H168-(H171+H172))&gt;0,(H168-(H171+H172)),0)</f>
        <v>0</v>
      </c>
      <c r="I173" s="1488">
        <f t="shared" si="126"/>
        <v>0</v>
      </c>
      <c r="J173" s="1488">
        <f t="shared" si="126"/>
        <v>0</v>
      </c>
      <c r="K173" s="1488">
        <f t="shared" si="126"/>
        <v>0</v>
      </c>
      <c r="L173" s="1488">
        <f>IF((L168-(L171+L172))&gt;0,(L168-(L171+L172)),0)</f>
        <v>0</v>
      </c>
      <c r="M173" s="1488">
        <f t="shared" ref="M173:O173" si="127">IF((M168-(M171+M172))&gt;0,(M168-(M171+M172)),0)</f>
        <v>37999.332130595962</v>
      </c>
      <c r="N173" s="1488">
        <f t="shared" si="127"/>
        <v>55222.611402474562</v>
      </c>
      <c r="O173" s="1489">
        <f t="shared" si="127"/>
        <v>57860.762883884046</v>
      </c>
      <c r="P173" s="251"/>
      <c r="Q173" s="290"/>
      <c r="R173" s="2022"/>
      <c r="S173" s="2554" t="s">
        <v>1615</v>
      </c>
      <c r="T173" s="2554"/>
      <c r="U173" s="2554"/>
      <c r="V173" s="2554"/>
      <c r="W173" s="2554"/>
      <c r="X173" s="2555"/>
      <c r="Y173" s="1487">
        <v>0</v>
      </c>
      <c r="Z173" s="1488">
        <v>0</v>
      </c>
      <c r="AA173" s="1488">
        <v>0</v>
      </c>
      <c r="AB173" s="1488">
        <v>0</v>
      </c>
      <c r="AC173" s="1488">
        <f>+AC168-AC172</f>
        <v>46228.917617933563</v>
      </c>
      <c r="AD173" s="1488">
        <f t="shared" ref="AD173:AF173" si="128">+AD168-AD172</f>
        <v>43226.40866600132</v>
      </c>
      <c r="AE173" s="1488">
        <f t="shared" si="128"/>
        <v>40002.744435669723</v>
      </c>
      <c r="AF173" s="1489">
        <f t="shared" si="128"/>
        <v>36547.303216800356</v>
      </c>
      <c r="AG173" s="2199"/>
    </row>
    <row r="174" spans="2:33" ht="15.75" thickBot="1" x14ac:dyDescent="0.3">
      <c r="B174" s="290"/>
      <c r="C174" s="2556" t="s">
        <v>456</v>
      </c>
      <c r="D174" s="2557"/>
      <c r="E174" s="2557"/>
      <c r="F174" s="2557"/>
      <c r="G174" s="2558"/>
      <c r="H174" s="1490">
        <v>0</v>
      </c>
      <c r="I174" s="1491">
        <v>0</v>
      </c>
      <c r="J174" s="1491">
        <v>0</v>
      </c>
      <c r="K174" s="1491">
        <v>0</v>
      </c>
      <c r="L174" s="1491">
        <v>0</v>
      </c>
      <c r="M174" s="1491">
        <v>0</v>
      </c>
      <c r="N174" s="1491">
        <v>0</v>
      </c>
      <c r="O174" s="1492">
        <v>0</v>
      </c>
      <c r="P174" s="251"/>
      <c r="Q174" s="290"/>
      <c r="R174" s="2022"/>
      <c r="S174" s="2603" t="s">
        <v>456</v>
      </c>
      <c r="T174" s="2557"/>
      <c r="U174" s="2557"/>
      <c r="V174" s="2557"/>
      <c r="W174" s="2557"/>
      <c r="X174" s="2558"/>
      <c r="Y174" s="1490">
        <v>0</v>
      </c>
      <c r="Z174" s="1491">
        <v>0</v>
      </c>
      <c r="AA174" s="1491">
        <v>0</v>
      </c>
      <c r="AB174" s="1491">
        <v>0</v>
      </c>
      <c r="AC174" s="1491">
        <v>0</v>
      </c>
      <c r="AD174" s="1491">
        <v>0</v>
      </c>
      <c r="AE174" s="1491">
        <v>0</v>
      </c>
      <c r="AF174" s="1492">
        <v>0</v>
      </c>
      <c r="AG174" s="2199"/>
    </row>
    <row r="175" spans="2:33" ht="16.5" thickTop="1" thickBot="1" x14ac:dyDescent="0.3">
      <c r="B175" s="290"/>
      <c r="C175" s="1182"/>
      <c r="D175" s="486"/>
      <c r="E175" s="2547" t="s">
        <v>462</v>
      </c>
      <c r="F175" s="2550"/>
      <c r="G175" s="2551"/>
      <c r="H175" s="385">
        <f>SUM(H171:H174)</f>
        <v>44407.74459907948</v>
      </c>
      <c r="I175" s="386">
        <f t="shared" ref="I175:O175" si="129">SUM(I171:I174)</f>
        <v>48599.802536845207</v>
      </c>
      <c r="J175" s="386">
        <f t="shared" si="129"/>
        <v>52635.974966545473</v>
      </c>
      <c r="K175" s="386">
        <f t="shared" si="129"/>
        <v>56503.27527784463</v>
      </c>
      <c r="L175" s="386">
        <f t="shared" si="129"/>
        <v>60188.07475502335</v>
      </c>
      <c r="M175" s="386">
        <f t="shared" si="129"/>
        <v>63676.075427768053</v>
      </c>
      <c r="N175" s="386">
        <f t="shared" si="129"/>
        <v>66952.281855125679</v>
      </c>
      <c r="O175" s="387">
        <f t="shared" si="129"/>
        <v>70000.971802377957</v>
      </c>
      <c r="P175" s="251"/>
      <c r="Q175" s="290"/>
      <c r="R175" s="2022"/>
      <c r="S175" s="1182"/>
      <c r="T175" s="486"/>
      <c r="U175" s="2547" t="s">
        <v>462</v>
      </c>
      <c r="V175" s="2550"/>
      <c r="W175" s="2550"/>
      <c r="X175" s="2551"/>
      <c r="Y175" s="385">
        <f>SUM(Y171:Y174)</f>
        <v>91910.594703514245</v>
      </c>
      <c r="Z175" s="386">
        <f t="shared" ref="Z175:AF175" si="130">SUM(Z171:Z174)</f>
        <v>90943.774040714372</v>
      </c>
      <c r="AA175" s="386">
        <f t="shared" si="130"/>
        <v>89837.890208976809</v>
      </c>
      <c r="AB175" s="386">
        <f t="shared" si="130"/>
        <v>65677.464243069349</v>
      </c>
      <c r="AC175" s="386">
        <f t="shared" si="130"/>
        <v>57179.158354606654</v>
      </c>
      <c r="AD175" s="386">
        <f t="shared" si="130"/>
        <v>54559.423596099019</v>
      </c>
      <c r="AE175" s="386">
        <f t="shared" si="130"/>
        <v>51732.41488832084</v>
      </c>
      <c r="AF175" s="387">
        <f t="shared" si="130"/>
        <v>48687.512135294266</v>
      </c>
      <c r="AG175" s="2199"/>
    </row>
    <row r="176" spans="2:33" ht="7.5" customHeight="1" thickBot="1" x14ac:dyDescent="0.3">
      <c r="B176" s="290"/>
      <c r="C176" s="250"/>
      <c r="D176" s="687"/>
      <c r="E176" s="1038"/>
      <c r="F176" s="1038"/>
      <c r="G176" s="1038"/>
      <c r="H176" s="1038"/>
      <c r="I176" s="1038"/>
      <c r="J176" s="1038"/>
      <c r="K176" s="1038"/>
      <c r="L176" s="1038"/>
      <c r="M176" s="1038"/>
      <c r="N176" s="1038"/>
      <c r="O176" s="1038"/>
      <c r="P176" s="251"/>
      <c r="Q176" s="290"/>
      <c r="R176" s="2022"/>
      <c r="S176" s="841"/>
      <c r="T176" s="2158"/>
      <c r="U176" s="841"/>
      <c r="V176" s="841"/>
      <c r="W176" s="841"/>
      <c r="X176" s="841"/>
      <c r="Y176" s="841"/>
      <c r="Z176" s="841"/>
      <c r="AA176" s="841"/>
      <c r="AB176" s="841"/>
      <c r="AC176" s="841"/>
      <c r="AD176" s="841"/>
      <c r="AE176" s="841"/>
      <c r="AF176" s="841"/>
      <c r="AG176" s="2199"/>
    </row>
    <row r="177" spans="2:33" x14ac:dyDescent="0.25">
      <c r="B177" s="290"/>
      <c r="C177" s="250"/>
      <c r="D177" s="687"/>
      <c r="E177" s="2547" t="s">
        <v>463</v>
      </c>
      <c r="F177" s="2547"/>
      <c r="G177" s="2552"/>
      <c r="H177" s="1734">
        <f>IFERROR(H159/(H166+H175),"$0 ")</f>
        <v>1</v>
      </c>
      <c r="I177" s="1735">
        <f t="shared" ref="I177:O177" si="131">IFERROR(I159/(I166+I175),"$0 ")</f>
        <v>1</v>
      </c>
      <c r="J177" s="1735">
        <f t="shared" si="131"/>
        <v>1</v>
      </c>
      <c r="K177" s="1735">
        <f t="shared" si="131"/>
        <v>1</v>
      </c>
      <c r="L177" s="1735">
        <f t="shared" si="131"/>
        <v>1</v>
      </c>
      <c r="M177" s="1735">
        <f t="shared" si="131"/>
        <v>1</v>
      </c>
      <c r="N177" s="1735">
        <f t="shared" si="131"/>
        <v>1</v>
      </c>
      <c r="O177" s="1736">
        <f t="shared" si="131"/>
        <v>1</v>
      </c>
      <c r="P177" s="251"/>
      <c r="Q177" s="290"/>
      <c r="R177" s="2022"/>
      <c r="S177" s="841"/>
      <c r="T177" s="2158"/>
      <c r="U177" s="2547" t="s">
        <v>463</v>
      </c>
      <c r="V177" s="2547"/>
      <c r="W177" s="2547"/>
      <c r="X177" s="2552"/>
      <c r="Y177" s="2010">
        <f>IFERROR(Y159/(Y166+Y175),"$0 ")</f>
        <v>1</v>
      </c>
      <c r="Z177" s="2011">
        <f t="shared" ref="Z177:AF177" si="132">IFERROR(Z159/(Z166+Z175),"$0 ")</f>
        <v>1</v>
      </c>
      <c r="AA177" s="2011">
        <f t="shared" si="132"/>
        <v>1</v>
      </c>
      <c r="AB177" s="2011">
        <f t="shared" si="132"/>
        <v>1</v>
      </c>
      <c r="AC177" s="2011">
        <f t="shared" si="132"/>
        <v>0.99999181769432943</v>
      </c>
      <c r="AD177" s="2011">
        <f t="shared" si="132"/>
        <v>1</v>
      </c>
      <c r="AE177" s="2011">
        <f t="shared" si="132"/>
        <v>1</v>
      </c>
      <c r="AF177" s="2012">
        <f t="shared" si="132"/>
        <v>1</v>
      </c>
      <c r="AG177" s="2199"/>
    </row>
    <row r="178" spans="2:33" ht="15.75" thickBot="1" x14ac:dyDescent="0.3">
      <c r="B178" s="290"/>
      <c r="C178" s="705"/>
      <c r="D178" s="687"/>
      <c r="E178" s="2547" t="s">
        <v>464</v>
      </c>
      <c r="F178" s="2548"/>
      <c r="G178" s="2549"/>
      <c r="H178" s="1172">
        <f>H168-H175</f>
        <v>0</v>
      </c>
      <c r="I178" s="1174">
        <f t="shared" ref="I178:N178" si="133">I168-I175</f>
        <v>0</v>
      </c>
      <c r="J178" s="1174">
        <f t="shared" si="133"/>
        <v>0</v>
      </c>
      <c r="K178" s="1174">
        <f t="shared" si="133"/>
        <v>0</v>
      </c>
      <c r="L178" s="1174">
        <f t="shared" si="133"/>
        <v>0</v>
      </c>
      <c r="M178" s="1174">
        <f t="shared" si="133"/>
        <v>0</v>
      </c>
      <c r="N178" s="1174">
        <f t="shared" si="133"/>
        <v>0</v>
      </c>
      <c r="O178" s="1175">
        <f>O168-O175</f>
        <v>0</v>
      </c>
      <c r="P178" s="251"/>
      <c r="Q178" s="290"/>
      <c r="R178" s="2022"/>
      <c r="S178" s="705"/>
      <c r="T178" s="2158"/>
      <c r="U178" s="2547" t="s">
        <v>464</v>
      </c>
      <c r="V178" s="2210"/>
      <c r="W178" s="2210"/>
      <c r="X178" s="2549"/>
      <c r="Y178" s="1172">
        <f>Y168-Y175</f>
        <v>0</v>
      </c>
      <c r="Z178" s="1174">
        <f t="shared" ref="Z178:AE178" si="134">Z168-Z175</f>
        <v>0</v>
      </c>
      <c r="AA178" s="1174">
        <f t="shared" si="134"/>
        <v>0</v>
      </c>
      <c r="AB178" s="1174">
        <f t="shared" si="134"/>
        <v>0</v>
      </c>
      <c r="AC178" s="1174">
        <f t="shared" si="134"/>
        <v>-0.46785735164303333</v>
      </c>
      <c r="AD178" s="1174">
        <f t="shared" si="134"/>
        <v>0</v>
      </c>
      <c r="AE178" s="1174">
        <f t="shared" si="134"/>
        <v>0</v>
      </c>
      <c r="AF178" s="1175">
        <f>AF168-AF175</f>
        <v>0</v>
      </c>
      <c r="AG178" s="2199"/>
    </row>
    <row r="179" spans="2:33" ht="9" customHeight="1" thickBot="1" x14ac:dyDescent="0.3">
      <c r="B179" s="1183"/>
      <c r="C179" s="598"/>
      <c r="D179" s="598"/>
      <c r="E179" s="598"/>
      <c r="F179" s="598"/>
      <c r="G179" s="598"/>
      <c r="H179" s="598"/>
      <c r="I179" s="598"/>
      <c r="J179" s="598"/>
      <c r="K179" s="598"/>
      <c r="L179" s="598"/>
      <c r="M179" s="598"/>
      <c r="N179" s="598"/>
      <c r="O179" s="598"/>
      <c r="P179" s="1184"/>
      <c r="Q179" s="1183"/>
      <c r="R179" s="2201"/>
      <c r="S179" s="2202"/>
      <c r="T179" s="2202"/>
      <c r="U179" s="2202"/>
      <c r="V179" s="2202"/>
      <c r="W179" s="2202"/>
      <c r="X179" s="2202"/>
      <c r="Y179" s="2202"/>
      <c r="Z179" s="2202"/>
      <c r="AA179" s="2202"/>
      <c r="AB179" s="2202"/>
      <c r="AC179" s="2202"/>
      <c r="AD179" s="2202"/>
      <c r="AE179" s="2202"/>
      <c r="AF179" s="2202"/>
      <c r="AG179" s="2203"/>
    </row>
    <row r="180" spans="2:33" ht="9" customHeight="1" x14ac:dyDescent="0.25">
      <c r="B180" s="841"/>
      <c r="C180" s="841"/>
      <c r="D180" s="841"/>
      <c r="E180" s="841"/>
      <c r="F180" s="841"/>
      <c r="G180" s="841"/>
      <c r="H180" s="841"/>
      <c r="I180" s="841"/>
      <c r="J180" s="841"/>
      <c r="K180" s="841"/>
      <c r="L180" s="841"/>
      <c r="M180" s="841"/>
      <c r="N180" s="841"/>
      <c r="O180" s="841"/>
      <c r="P180" s="841"/>
      <c r="Q180" s="841"/>
      <c r="R180" s="841"/>
      <c r="S180" s="841"/>
      <c r="T180" s="841"/>
      <c r="U180" s="841"/>
      <c r="V180" s="841"/>
      <c r="W180" s="841"/>
      <c r="X180" s="841"/>
      <c r="Y180" s="841"/>
      <c r="Z180" s="841"/>
      <c r="AA180" s="841"/>
      <c r="AB180" s="841"/>
      <c r="AC180" s="841"/>
      <c r="AD180" s="841"/>
      <c r="AE180" s="841"/>
      <c r="AF180" s="841"/>
      <c r="AG180" s="841"/>
    </row>
  </sheetData>
  <sheetProtection algorithmName="SHA-512" hashValue="Ep3x6jGBMYyTqQwlaZ4WlLpv+jxDCwtgY6LePIua9MaSWTTGqnJMBXOQqw9/0PFQO7xHiY1YsG2V5DXRc0+fqg==" saltValue="afhP2pQTayesroHuydnLug==" spinCount="100000" sheet="1" objects="1" scenarios="1" formatCells="0" formatColumns="0" formatRows="0"/>
  <mergeCells count="76">
    <mergeCell ref="U177:X177"/>
    <mergeCell ref="U178:X178"/>
    <mergeCell ref="S171:X171"/>
    <mergeCell ref="S172:X172"/>
    <mergeCell ref="S173:X173"/>
    <mergeCell ref="S174:X174"/>
    <mergeCell ref="U175:X175"/>
    <mergeCell ref="S161:U161"/>
    <mergeCell ref="S163:X163"/>
    <mergeCell ref="S164:X164"/>
    <mergeCell ref="S165:X165"/>
    <mergeCell ref="U168:X168"/>
    <mergeCell ref="V96:Y96"/>
    <mergeCell ref="V97:Y97"/>
    <mergeCell ref="S100:AF100"/>
    <mergeCell ref="T112:V112"/>
    <mergeCell ref="T113:V113"/>
    <mergeCell ref="S92:W92"/>
    <mergeCell ref="X92:Y92"/>
    <mergeCell ref="S93:W93"/>
    <mergeCell ref="X93:Y93"/>
    <mergeCell ref="V94:Y94"/>
    <mergeCell ref="X89:Y89"/>
    <mergeCell ref="S90:W90"/>
    <mergeCell ref="X90:Y90"/>
    <mergeCell ref="S91:W91"/>
    <mergeCell ref="X91:Y91"/>
    <mergeCell ref="S83:W83"/>
    <mergeCell ref="X83:Y83"/>
    <mergeCell ref="S84:W84"/>
    <mergeCell ref="X84:Y84"/>
    <mergeCell ref="V87:Y87"/>
    <mergeCell ref="T31:V31"/>
    <mergeCell ref="T32:V32"/>
    <mergeCell ref="S80:U80"/>
    <mergeCell ref="X81:Y81"/>
    <mergeCell ref="S82:W82"/>
    <mergeCell ref="X82:Y82"/>
    <mergeCell ref="D31:F31"/>
    <mergeCell ref="D32:F32"/>
    <mergeCell ref="C80:E80"/>
    <mergeCell ref="G81:H81"/>
    <mergeCell ref="G82:H82"/>
    <mergeCell ref="G83:H83"/>
    <mergeCell ref="C82:F82"/>
    <mergeCell ref="C83:F83"/>
    <mergeCell ref="G84:H84"/>
    <mergeCell ref="G89:H89"/>
    <mergeCell ref="C84:F84"/>
    <mergeCell ref="F87:H87"/>
    <mergeCell ref="G90:H90"/>
    <mergeCell ref="E177:G177"/>
    <mergeCell ref="G91:H91"/>
    <mergeCell ref="G93:H93"/>
    <mergeCell ref="F94:H94"/>
    <mergeCell ref="F96:H96"/>
    <mergeCell ref="G92:H92"/>
    <mergeCell ref="C90:F90"/>
    <mergeCell ref="C91:F91"/>
    <mergeCell ref="C92:F92"/>
    <mergeCell ref="C93:F93"/>
    <mergeCell ref="E178:G178"/>
    <mergeCell ref="E175:G175"/>
    <mergeCell ref="E168:G168"/>
    <mergeCell ref="F97:H97"/>
    <mergeCell ref="C173:G173"/>
    <mergeCell ref="C174:G174"/>
    <mergeCell ref="C164:G164"/>
    <mergeCell ref="C165:G165"/>
    <mergeCell ref="C161:E161"/>
    <mergeCell ref="C163:G163"/>
    <mergeCell ref="D112:F112"/>
    <mergeCell ref="D113:F113"/>
    <mergeCell ref="C171:G171"/>
    <mergeCell ref="C172:G172"/>
    <mergeCell ref="C100:O100"/>
  </mergeCells>
  <conditionalFormatting sqref="M21">
    <cfRule type="cellIs" dxfId="5" priority="4" operator="equal">
      <formula>"X"</formula>
    </cfRule>
  </conditionalFormatting>
  <conditionalFormatting sqref="L21">
    <cfRule type="expression" dxfId="4" priority="3">
      <formula>$M$21&lt;&gt;""</formula>
    </cfRule>
  </conditionalFormatting>
  <conditionalFormatting sqref="AC21">
    <cfRule type="expression" dxfId="3" priority="1">
      <formula>$M$21&lt;&gt;""</formula>
    </cfRule>
  </conditionalFormatting>
  <conditionalFormatting sqref="AD21">
    <cfRule type="cellIs" dxfId="2" priority="2" operator="equal">
      <formula>"X"</formula>
    </cfRule>
  </conditionalFormatting>
  <dataValidations disablePrompts="1" count="1">
    <dataValidation type="list" allowBlank="1" showInputMessage="1" showErrorMessage="1" sqref="M21 AD21">
      <formula1>"X"</formula1>
    </dataValidation>
  </dataValidations>
  <pageMargins left="0.7" right="0.45" top="0.52" bottom="0.75" header="0.3" footer="0.3"/>
  <pageSetup scale="55" fitToHeight="2" orientation="portrait" r:id="rId1"/>
  <headerFooter>
    <oddFooter>&amp;LForm 8E
Operating Pro Forma&amp;CCFA Forms&amp;REdition: 2015
Version: 1.0</oddFooter>
  </headerFooter>
  <rowBreaks count="1" manualBreakCount="1">
    <brk id="98" max="16383" man="1"/>
  </rowBreaks>
  <colBreaks count="1" manualBreakCount="1">
    <brk id="1"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AF169"/>
  <sheetViews>
    <sheetView showGridLines="0" zoomScaleNormal="100" workbookViewId="0">
      <selection activeCell="E43" sqref="E43:E44"/>
    </sheetView>
  </sheetViews>
  <sheetFormatPr defaultColWidth="9.140625" defaultRowHeight="15" x14ac:dyDescent="0.25"/>
  <cols>
    <col min="1" max="2" width="1.7109375" style="735" customWidth="1"/>
    <col min="3" max="3" width="15.28515625" style="735" customWidth="1"/>
    <col min="4" max="4" width="10.28515625" style="735" customWidth="1"/>
    <col min="5" max="5" width="15.5703125" style="735" customWidth="1"/>
    <col min="6" max="6" width="6.42578125" style="735" customWidth="1"/>
    <col min="7" max="7" width="5.7109375" style="735" customWidth="1"/>
    <col min="8" max="15" width="10" style="735" customWidth="1"/>
    <col min="16" max="16" width="1.7109375" style="735" customWidth="1"/>
    <col min="17" max="17" width="1.85546875" style="735" customWidth="1"/>
    <col min="18" max="18" width="2.42578125" style="735" customWidth="1"/>
    <col min="19" max="19" width="16" style="735" customWidth="1"/>
    <col min="20" max="20" width="9.5703125" style="735" customWidth="1"/>
    <col min="21" max="21" width="19.42578125" style="735" customWidth="1"/>
    <col min="22" max="22" width="6.140625" style="735" customWidth="1"/>
    <col min="23" max="23" width="6.85546875" style="735" customWidth="1"/>
    <col min="24" max="31" width="9.85546875" style="735" customWidth="1"/>
    <col min="32" max="32" width="1.85546875" style="735" customWidth="1"/>
    <col min="33" max="16384" width="9.140625" style="735"/>
  </cols>
  <sheetData>
    <row r="7" spans="2:32" ht="15.75" thickBot="1" x14ac:dyDescent="0.3"/>
    <row r="8" spans="2:32" ht="9" customHeight="1" x14ac:dyDescent="0.25">
      <c r="B8" s="407"/>
      <c r="C8" s="408"/>
      <c r="D8" s="408"/>
      <c r="E8" s="408"/>
      <c r="F8" s="408"/>
      <c r="G8" s="408"/>
      <c r="H8" s="408"/>
      <c r="I8" s="408"/>
      <c r="J8" s="408"/>
      <c r="K8" s="408"/>
      <c r="L8" s="408"/>
      <c r="M8" s="408"/>
      <c r="N8" s="408"/>
      <c r="O8" s="408"/>
      <c r="P8" s="409"/>
      <c r="R8" s="407"/>
      <c r="S8" s="408"/>
      <c r="T8" s="408"/>
      <c r="U8" s="408"/>
      <c r="V8" s="408"/>
      <c r="W8" s="408"/>
      <c r="X8" s="408"/>
      <c r="Y8" s="408"/>
      <c r="Z8" s="408"/>
      <c r="AA8" s="408"/>
      <c r="AB8" s="408"/>
      <c r="AC8" s="408"/>
      <c r="AD8" s="408"/>
      <c r="AE8" s="408"/>
      <c r="AF8" s="409"/>
    </row>
    <row r="9" spans="2:32" ht="18.75" x14ac:dyDescent="0.3">
      <c r="B9" s="410"/>
      <c r="C9" s="2323" t="s">
        <v>1347</v>
      </c>
      <c r="D9" s="2323"/>
      <c r="E9" s="2323"/>
      <c r="F9" s="2323"/>
      <c r="G9" s="2323"/>
      <c r="H9" s="2323"/>
      <c r="I9" s="2323"/>
      <c r="J9" s="2323"/>
      <c r="K9" s="2323"/>
      <c r="L9" s="2323"/>
      <c r="M9" s="2323"/>
      <c r="N9" s="2323"/>
      <c r="O9" s="2323"/>
      <c r="P9" s="412"/>
      <c r="R9" s="410"/>
      <c r="S9" s="2323" t="s">
        <v>1347</v>
      </c>
      <c r="T9" s="2323"/>
      <c r="U9" s="2323"/>
      <c r="V9" s="2323"/>
      <c r="W9" s="2323"/>
      <c r="X9" s="2323"/>
      <c r="Y9" s="2323"/>
      <c r="Z9" s="2323"/>
      <c r="AA9" s="2323"/>
      <c r="AB9" s="2323"/>
      <c r="AC9" s="2323"/>
      <c r="AD9" s="2323"/>
      <c r="AE9" s="2323"/>
      <c r="AF9" s="412"/>
    </row>
    <row r="10" spans="2:32" x14ac:dyDescent="0.25">
      <c r="B10" s="410"/>
      <c r="C10" s="411"/>
      <c r="D10" s="411"/>
      <c r="E10" s="411"/>
      <c r="F10" s="411"/>
      <c r="G10" s="411"/>
      <c r="H10" s="411"/>
      <c r="I10" s="411"/>
      <c r="J10" s="411"/>
      <c r="K10" s="411"/>
      <c r="L10" s="411"/>
      <c r="M10" s="411"/>
      <c r="N10" s="411"/>
      <c r="O10" s="411"/>
      <c r="P10" s="412"/>
      <c r="R10" s="410"/>
      <c r="S10" s="411"/>
      <c r="T10" s="411"/>
      <c r="U10" s="411"/>
      <c r="V10" s="411"/>
      <c r="W10" s="411"/>
      <c r="X10" s="411"/>
      <c r="Y10" s="411"/>
      <c r="Z10" s="411"/>
      <c r="AA10" s="411"/>
      <c r="AB10" s="411"/>
      <c r="AC10" s="411"/>
      <c r="AD10" s="411"/>
      <c r="AE10" s="411"/>
      <c r="AF10" s="412"/>
    </row>
    <row r="11" spans="2:32" x14ac:dyDescent="0.25">
      <c r="B11" s="410"/>
      <c r="C11" s="979" t="s">
        <v>63</v>
      </c>
      <c r="D11" s="978" t="str">
        <f>IF('1A'!$G$7="","Enter Project Name on Form 1A",'1A'!$G$7)</f>
        <v>Building 9 South (4%)</v>
      </c>
      <c r="E11" s="978"/>
      <c r="F11" s="978"/>
      <c r="G11" s="978"/>
      <c r="H11" s="978"/>
      <c r="I11" s="978"/>
      <c r="J11" s="1038"/>
      <c r="K11" s="1993"/>
      <c r="L11" s="1993"/>
      <c r="M11" s="979"/>
      <c r="N11" s="979"/>
      <c r="O11" s="979"/>
      <c r="P11" s="412"/>
      <c r="R11" s="410"/>
      <c r="S11" s="979" t="s">
        <v>63</v>
      </c>
      <c r="T11" s="1708" t="str">
        <f>IF('1A'!$G$9="","Enter Project Name on Form 1A",'1A'!$G$9)</f>
        <v>Building 9 North (9%)</v>
      </c>
      <c r="U11" s="1708"/>
      <c r="V11" s="1708"/>
      <c r="W11" s="1708"/>
      <c r="X11" s="1708"/>
      <c r="Y11" s="1708"/>
      <c r="Z11" s="1038"/>
      <c r="AA11" s="1038"/>
      <c r="AB11" s="1038"/>
      <c r="AC11" s="979"/>
      <c r="AD11" s="979"/>
      <c r="AE11" s="979"/>
      <c r="AF11" s="412"/>
    </row>
    <row r="12" spans="2:32" ht="3.75" customHeight="1" x14ac:dyDescent="0.25">
      <c r="B12" s="410"/>
      <c r="C12" s="979"/>
      <c r="D12" s="979"/>
      <c r="E12" s="979"/>
      <c r="F12" s="979"/>
      <c r="G12" s="979"/>
      <c r="H12" s="979"/>
      <c r="I12" s="1038"/>
      <c r="J12" s="1038"/>
      <c r="K12" s="1038"/>
      <c r="L12" s="1038"/>
      <c r="M12" s="979"/>
      <c r="N12" s="979"/>
      <c r="O12" s="979"/>
      <c r="P12" s="412"/>
      <c r="R12" s="410"/>
      <c r="S12" s="979"/>
      <c r="T12" s="979"/>
      <c r="U12" s="979"/>
      <c r="V12" s="979"/>
      <c r="W12" s="979"/>
      <c r="X12" s="979"/>
      <c r="Y12" s="1038"/>
      <c r="Z12" s="1038"/>
      <c r="AA12" s="1038"/>
      <c r="AB12" s="1038"/>
      <c r="AC12" s="979"/>
      <c r="AD12" s="979"/>
      <c r="AE12" s="979"/>
      <c r="AF12" s="412"/>
    </row>
    <row r="13" spans="2:32" x14ac:dyDescent="0.25">
      <c r="B13" s="413"/>
      <c r="C13" s="979" t="s">
        <v>398</v>
      </c>
      <c r="D13" s="1185">
        <f ca="1">TODAY()</f>
        <v>42285</v>
      </c>
      <c r="E13" s="414"/>
      <c r="F13" s="414"/>
      <c r="G13" s="414"/>
      <c r="H13" s="414"/>
      <c r="I13" s="415"/>
      <c r="J13" s="415"/>
      <c r="K13" s="415"/>
      <c r="L13" s="415"/>
      <c r="M13" s="415"/>
      <c r="N13" s="416"/>
      <c r="O13" s="415"/>
      <c r="P13" s="417"/>
      <c r="R13" s="413"/>
      <c r="S13" s="979" t="s">
        <v>398</v>
      </c>
      <c r="T13" s="1185">
        <f ca="1">TODAY()</f>
        <v>42285</v>
      </c>
      <c r="U13" s="414"/>
      <c r="V13" s="414"/>
      <c r="W13" s="414"/>
      <c r="X13" s="414"/>
      <c r="Y13" s="415"/>
      <c r="Z13" s="415"/>
      <c r="AA13" s="415"/>
      <c r="AB13" s="415"/>
      <c r="AC13" s="415"/>
      <c r="AD13" s="416"/>
      <c r="AE13" s="415"/>
      <c r="AF13" s="417"/>
    </row>
    <row r="14" spans="2:32" ht="7.5" customHeight="1" x14ac:dyDescent="0.25">
      <c r="B14" s="413"/>
      <c r="C14" s="418"/>
      <c r="D14" s="415"/>
      <c r="E14" s="414"/>
      <c r="F14" s="414"/>
      <c r="G14" s="414"/>
      <c r="H14" s="414"/>
      <c r="I14" s="415"/>
      <c r="J14" s="415"/>
      <c r="K14" s="415"/>
      <c r="L14" s="415"/>
      <c r="M14" s="415"/>
      <c r="N14" s="416"/>
      <c r="O14" s="415"/>
      <c r="P14" s="417"/>
      <c r="R14" s="413"/>
      <c r="S14" s="418"/>
      <c r="T14" s="415"/>
      <c r="U14" s="414"/>
      <c r="V14" s="414"/>
      <c r="W14" s="414"/>
      <c r="X14" s="414"/>
      <c r="Y14" s="415"/>
      <c r="Z14" s="415"/>
      <c r="AA14" s="415"/>
      <c r="AB14" s="415"/>
      <c r="AC14" s="415"/>
      <c r="AD14" s="416"/>
      <c r="AE14" s="415"/>
      <c r="AF14" s="417"/>
    </row>
    <row r="15" spans="2:32" ht="15.75" thickBot="1" x14ac:dyDescent="0.3">
      <c r="B15" s="419"/>
      <c r="C15" s="488" t="s">
        <v>399</v>
      </c>
      <c r="D15" s="339"/>
      <c r="E15" s="340"/>
      <c r="F15" s="340"/>
      <c r="G15" s="340"/>
      <c r="H15" s="340"/>
      <c r="I15" s="339"/>
      <c r="J15" s="339"/>
      <c r="K15" s="339"/>
      <c r="L15" s="339"/>
      <c r="M15" s="339"/>
      <c r="N15" s="341"/>
      <c r="O15" s="339"/>
      <c r="P15" s="421"/>
      <c r="R15" s="419"/>
      <c r="S15" s="488" t="s">
        <v>399</v>
      </c>
      <c r="T15" s="339"/>
      <c r="U15" s="340"/>
      <c r="V15" s="340"/>
      <c r="W15" s="340"/>
      <c r="X15" s="340"/>
      <c r="Y15" s="339"/>
      <c r="Z15" s="339"/>
      <c r="AA15" s="339"/>
      <c r="AB15" s="339"/>
      <c r="AC15" s="339"/>
      <c r="AD15" s="341"/>
      <c r="AE15" s="339"/>
      <c r="AF15" s="421"/>
    </row>
    <row r="16" spans="2:32" ht="15.75" thickBot="1" x14ac:dyDescent="0.3">
      <c r="B16" s="290"/>
      <c r="C16" s="1038"/>
      <c r="D16" s="411"/>
      <c r="E16" s="1038"/>
      <c r="F16" s="1038"/>
      <c r="G16" s="1038"/>
      <c r="H16" s="1038"/>
      <c r="I16" s="342" t="s">
        <v>400</v>
      </c>
      <c r="J16" s="343" t="s">
        <v>401</v>
      </c>
      <c r="K16" s="343" t="s">
        <v>402</v>
      </c>
      <c r="L16" s="343" t="s">
        <v>403</v>
      </c>
      <c r="M16" s="343" t="s">
        <v>404</v>
      </c>
      <c r="N16" s="343" t="s">
        <v>405</v>
      </c>
      <c r="O16" s="344" t="s">
        <v>406</v>
      </c>
      <c r="P16" s="251"/>
      <c r="R16" s="290"/>
      <c r="S16" s="1038"/>
      <c r="T16" s="411"/>
      <c r="U16" s="1038"/>
      <c r="V16" s="1038"/>
      <c r="W16" s="1038"/>
      <c r="X16" s="1038"/>
      <c r="Y16" s="342" t="s">
        <v>400</v>
      </c>
      <c r="Z16" s="343" t="s">
        <v>401</v>
      </c>
      <c r="AA16" s="343" t="s">
        <v>402</v>
      </c>
      <c r="AB16" s="343" t="s">
        <v>403</v>
      </c>
      <c r="AC16" s="343" t="s">
        <v>404</v>
      </c>
      <c r="AD16" s="343" t="s">
        <v>405</v>
      </c>
      <c r="AE16" s="344" t="s">
        <v>406</v>
      </c>
      <c r="AF16" s="843"/>
    </row>
    <row r="17" spans="2:32" ht="15.75" thickBot="1" x14ac:dyDescent="0.3">
      <c r="B17" s="290"/>
      <c r="C17" s="420" t="s">
        <v>407</v>
      </c>
      <c r="D17" s="250"/>
      <c r="E17" s="1038"/>
      <c r="F17" s="1038"/>
      <c r="G17" s="345" t="s">
        <v>408</v>
      </c>
      <c r="H17" s="1038"/>
      <c r="I17" s="346"/>
      <c r="J17" s="347"/>
      <c r="K17" s="347"/>
      <c r="L17" s="347"/>
      <c r="M17" s="347"/>
      <c r="N17" s="347"/>
      <c r="O17" s="348"/>
      <c r="P17" s="251"/>
      <c r="R17" s="290"/>
      <c r="S17" s="420" t="s">
        <v>407</v>
      </c>
      <c r="T17" s="841"/>
      <c r="U17" s="1038"/>
      <c r="V17" s="1038"/>
      <c r="W17" s="345" t="s">
        <v>408</v>
      </c>
      <c r="X17" s="1038"/>
      <c r="Y17" s="346"/>
      <c r="Z17" s="347"/>
      <c r="AA17" s="347"/>
      <c r="AB17" s="347"/>
      <c r="AC17" s="347"/>
      <c r="AD17" s="347"/>
      <c r="AE17" s="348"/>
      <c r="AF17" s="843"/>
    </row>
    <row r="18" spans="2:32" x14ac:dyDescent="0.25">
      <c r="B18" s="290"/>
      <c r="C18" s="422" t="s">
        <v>409</v>
      </c>
      <c r="D18" s="1141"/>
      <c r="E18" s="1141"/>
      <c r="F18" s="1141"/>
      <c r="G18" s="1438">
        <v>2.5000000000000001E-2</v>
      </c>
      <c r="H18" s="1143"/>
      <c r="I18" s="489">
        <f>'8A'!L23</f>
        <v>1047396</v>
      </c>
      <c r="J18" s="423">
        <f t="shared" ref="J18:O18" si="0">I18+(I18*$G18)</f>
        <v>1073580.8999999999</v>
      </c>
      <c r="K18" s="423">
        <f t="shared" si="0"/>
        <v>1100420.4224999999</v>
      </c>
      <c r="L18" s="423">
        <f t="shared" si="0"/>
        <v>1127930.9330624999</v>
      </c>
      <c r="M18" s="423">
        <f t="shared" si="0"/>
        <v>1156129.2063890623</v>
      </c>
      <c r="N18" s="423">
        <f t="shared" si="0"/>
        <v>1185032.4365487888</v>
      </c>
      <c r="O18" s="424">
        <f t="shared" si="0"/>
        <v>1214658.2474625085</v>
      </c>
      <c r="P18" s="251"/>
      <c r="R18" s="290"/>
      <c r="S18" s="422" t="s">
        <v>409</v>
      </c>
      <c r="T18" s="1141"/>
      <c r="U18" s="1141"/>
      <c r="V18" s="1141"/>
      <c r="W18" s="1438">
        <v>2.5000000000000001E-2</v>
      </c>
      <c r="X18" s="1143"/>
      <c r="Y18" s="489">
        <f>'8A'!AC23</f>
        <v>359364</v>
      </c>
      <c r="Z18" s="423">
        <f t="shared" ref="Z18:AE18" si="1">Y18+(Y18*$G18)</f>
        <v>368348.1</v>
      </c>
      <c r="AA18" s="423">
        <f t="shared" si="1"/>
        <v>377556.80249999999</v>
      </c>
      <c r="AB18" s="423">
        <f t="shared" si="1"/>
        <v>386995.72256249998</v>
      </c>
      <c r="AC18" s="423">
        <f t="shared" si="1"/>
        <v>396670.6156265625</v>
      </c>
      <c r="AD18" s="423">
        <f t="shared" si="1"/>
        <v>406587.38101722655</v>
      </c>
      <c r="AE18" s="424">
        <f t="shared" si="1"/>
        <v>416752.06554265722</v>
      </c>
      <c r="AF18" s="843"/>
    </row>
    <row r="19" spans="2:32" ht="15.75" thickBot="1" x14ac:dyDescent="0.3">
      <c r="B19" s="290"/>
      <c r="C19" s="425" t="s">
        <v>355</v>
      </c>
      <c r="D19" s="426"/>
      <c r="E19" s="1144"/>
      <c r="F19" s="1144"/>
      <c r="G19" s="1187"/>
      <c r="H19" s="1146"/>
      <c r="I19" s="674"/>
      <c r="J19" s="1188"/>
      <c r="K19" s="1188"/>
      <c r="L19" s="1188"/>
      <c r="M19" s="1188"/>
      <c r="N19" s="1188"/>
      <c r="O19" s="1189"/>
      <c r="P19" s="251"/>
      <c r="R19" s="290"/>
      <c r="S19" s="425" t="s">
        <v>355</v>
      </c>
      <c r="T19" s="426"/>
      <c r="U19" s="1144"/>
      <c r="V19" s="1144"/>
      <c r="W19" s="1187"/>
      <c r="X19" s="1146"/>
      <c r="Y19" s="674"/>
      <c r="Z19" s="1188"/>
      <c r="AA19" s="1188"/>
      <c r="AB19" s="1188"/>
      <c r="AC19" s="1188"/>
      <c r="AD19" s="1188"/>
      <c r="AE19" s="1189"/>
      <c r="AF19" s="843"/>
    </row>
    <row r="20" spans="2:32" ht="15.75" thickBot="1" x14ac:dyDescent="0.3">
      <c r="B20" s="290"/>
      <c r="C20" s="425" t="s">
        <v>365</v>
      </c>
      <c r="D20" s="427"/>
      <c r="E20" s="1147"/>
      <c r="F20" s="1147"/>
      <c r="G20" s="1148"/>
      <c r="H20" s="1145"/>
      <c r="I20" s="491">
        <f>'8B'!H28</f>
        <v>0</v>
      </c>
      <c r="J20" s="423">
        <v>0</v>
      </c>
      <c r="K20" s="423">
        <v>0</v>
      </c>
      <c r="L20" s="423">
        <v>0</v>
      </c>
      <c r="M20" s="423">
        <v>0</v>
      </c>
      <c r="N20" s="423">
        <v>0</v>
      </c>
      <c r="O20" s="424">
        <v>0</v>
      </c>
      <c r="P20" s="251"/>
      <c r="R20" s="290"/>
      <c r="S20" s="425" t="s">
        <v>365</v>
      </c>
      <c r="T20" s="427"/>
      <c r="U20" s="1147"/>
      <c r="V20" s="1147"/>
      <c r="W20" s="1148"/>
      <c r="X20" s="1145"/>
      <c r="Y20" s="491">
        <f>'8B'!Y28</f>
        <v>0</v>
      </c>
      <c r="Z20" s="423">
        <v>0</v>
      </c>
      <c r="AA20" s="423">
        <v>0</v>
      </c>
      <c r="AB20" s="423">
        <v>0</v>
      </c>
      <c r="AC20" s="423">
        <v>0</v>
      </c>
      <c r="AD20" s="423">
        <v>0</v>
      </c>
      <c r="AE20" s="424">
        <v>0</v>
      </c>
      <c r="AF20" s="843"/>
    </row>
    <row r="21" spans="2:32" x14ac:dyDescent="0.25">
      <c r="B21" s="290"/>
      <c r="C21" s="425" t="s">
        <v>410</v>
      </c>
      <c r="D21" s="2587" t="s">
        <v>1418</v>
      </c>
      <c r="E21" s="2588"/>
      <c r="F21" s="2589"/>
      <c r="G21" s="1438">
        <v>0.02</v>
      </c>
      <c r="H21" s="1146"/>
      <c r="I21" s="1441">
        <f>+'8E'!I31</f>
        <v>21120</v>
      </c>
      <c r="J21" s="423">
        <f t="shared" ref="J21:O21" si="2">I21+(I21*$G21)</f>
        <v>21542.400000000001</v>
      </c>
      <c r="K21" s="423">
        <f t="shared" si="2"/>
        <v>21973.248000000003</v>
      </c>
      <c r="L21" s="423">
        <f t="shared" si="2"/>
        <v>22412.712960000004</v>
      </c>
      <c r="M21" s="423">
        <f t="shared" si="2"/>
        <v>22860.967219200003</v>
      </c>
      <c r="N21" s="423">
        <f t="shared" si="2"/>
        <v>23318.186563584004</v>
      </c>
      <c r="O21" s="424">
        <f t="shared" si="2"/>
        <v>23784.550294855682</v>
      </c>
      <c r="P21" s="251"/>
      <c r="R21" s="290"/>
      <c r="S21" s="425" t="s">
        <v>410</v>
      </c>
      <c r="T21" s="2587" t="s">
        <v>1418</v>
      </c>
      <c r="U21" s="2588"/>
      <c r="V21" s="2589"/>
      <c r="W21" s="1438">
        <v>0.02</v>
      </c>
      <c r="X21" s="1146"/>
      <c r="Y21" s="1441">
        <f>+'8E'!Z31</f>
        <v>11520</v>
      </c>
      <c r="Z21" s="423">
        <f t="shared" ref="Z21:AE22" si="3">Y21+(Y21*$G21)</f>
        <v>11750.4</v>
      </c>
      <c r="AA21" s="423">
        <f t="shared" si="3"/>
        <v>11985.407999999999</v>
      </c>
      <c r="AB21" s="423">
        <f t="shared" si="3"/>
        <v>12225.11616</v>
      </c>
      <c r="AC21" s="423">
        <f t="shared" si="3"/>
        <v>12469.6184832</v>
      </c>
      <c r="AD21" s="423">
        <f t="shared" si="3"/>
        <v>12719.010852863999</v>
      </c>
      <c r="AE21" s="424">
        <f t="shared" si="3"/>
        <v>12973.391069921279</v>
      </c>
      <c r="AF21" s="843"/>
    </row>
    <row r="22" spans="2:32" ht="15.75" thickBot="1" x14ac:dyDescent="0.3">
      <c r="B22" s="290"/>
      <c r="C22" s="425" t="s">
        <v>410</v>
      </c>
      <c r="D22" s="2590"/>
      <c r="E22" s="2591"/>
      <c r="F22" s="2592"/>
      <c r="G22" s="1440">
        <v>0</v>
      </c>
      <c r="H22" s="1146"/>
      <c r="I22" s="1442">
        <v>0</v>
      </c>
      <c r="J22" s="423">
        <f t="shared" ref="J22:O22" si="4">I22+(I22*$G22)</f>
        <v>0</v>
      </c>
      <c r="K22" s="423">
        <f t="shared" si="4"/>
        <v>0</v>
      </c>
      <c r="L22" s="423">
        <f t="shared" si="4"/>
        <v>0</v>
      </c>
      <c r="M22" s="423">
        <f t="shared" si="4"/>
        <v>0</v>
      </c>
      <c r="N22" s="423">
        <f t="shared" si="4"/>
        <v>0</v>
      </c>
      <c r="O22" s="424">
        <f t="shared" si="4"/>
        <v>0</v>
      </c>
      <c r="P22" s="251"/>
      <c r="R22" s="290"/>
      <c r="S22" s="425" t="s">
        <v>410</v>
      </c>
      <c r="T22" s="2590"/>
      <c r="U22" s="2591"/>
      <c r="V22" s="2592"/>
      <c r="W22" s="1440">
        <v>0</v>
      </c>
      <c r="X22" s="1146"/>
      <c r="Y22" s="1442">
        <v>0</v>
      </c>
      <c r="Z22" s="423">
        <f t="shared" si="3"/>
        <v>0</v>
      </c>
      <c r="AA22" s="423">
        <f t="shared" si="3"/>
        <v>0</v>
      </c>
      <c r="AB22" s="423">
        <f t="shared" si="3"/>
        <v>0</v>
      </c>
      <c r="AC22" s="423">
        <f t="shared" si="3"/>
        <v>0</v>
      </c>
      <c r="AD22" s="423">
        <f t="shared" si="3"/>
        <v>0</v>
      </c>
      <c r="AE22" s="424">
        <f t="shared" si="3"/>
        <v>0</v>
      </c>
      <c r="AF22" s="843"/>
    </row>
    <row r="23" spans="2:32" x14ac:dyDescent="0.25">
      <c r="B23" s="290"/>
      <c r="C23" s="428" t="s">
        <v>411</v>
      </c>
      <c r="D23" s="1038"/>
      <c r="E23" s="1038"/>
      <c r="F23" s="1038"/>
      <c r="G23" s="1038"/>
      <c r="H23" s="429" t="s">
        <v>412</v>
      </c>
      <c r="I23" s="350">
        <f>SUM(I18:I22)</f>
        <v>1068516</v>
      </c>
      <c r="J23" s="351">
        <f t="shared" ref="J23:O23" si="5">SUM(J18:J22)</f>
        <v>1095123.2999999998</v>
      </c>
      <c r="K23" s="351">
        <f t="shared" si="5"/>
        <v>1122393.6704999998</v>
      </c>
      <c r="L23" s="351">
        <f t="shared" si="5"/>
        <v>1150343.6460224998</v>
      </c>
      <c r="M23" s="351">
        <f t="shared" si="5"/>
        <v>1178990.1736082623</v>
      </c>
      <c r="N23" s="351">
        <f t="shared" si="5"/>
        <v>1208350.6231123728</v>
      </c>
      <c r="O23" s="352">
        <f t="shared" si="5"/>
        <v>1238442.7977573641</v>
      </c>
      <c r="P23" s="251"/>
      <c r="R23" s="290"/>
      <c r="S23" s="428" t="s">
        <v>411</v>
      </c>
      <c r="T23" s="1038"/>
      <c r="U23" s="1038"/>
      <c r="V23" s="1038"/>
      <c r="W23" s="1038"/>
      <c r="X23" s="429" t="s">
        <v>412</v>
      </c>
      <c r="Y23" s="350">
        <f>SUM(Y18:Y22)</f>
        <v>370884</v>
      </c>
      <c r="Z23" s="351">
        <f t="shared" ref="Z23:AE23" si="6">SUM(Z18:Z22)</f>
        <v>380098.5</v>
      </c>
      <c r="AA23" s="351">
        <f t="shared" si="6"/>
        <v>389542.21049999999</v>
      </c>
      <c r="AB23" s="351">
        <f t="shared" si="6"/>
        <v>399220.83872249996</v>
      </c>
      <c r="AC23" s="351">
        <f t="shared" si="6"/>
        <v>409140.23410976247</v>
      </c>
      <c r="AD23" s="351">
        <f t="shared" si="6"/>
        <v>419306.39187009056</v>
      </c>
      <c r="AE23" s="352">
        <f t="shared" si="6"/>
        <v>429725.45661257848</v>
      </c>
      <c r="AF23" s="843"/>
    </row>
    <row r="24" spans="2:32" x14ac:dyDescent="0.25">
      <c r="B24" s="290"/>
      <c r="C24" s="428"/>
      <c r="D24" s="429"/>
      <c r="E24" s="1038"/>
      <c r="F24" s="1038"/>
      <c r="G24" s="1038"/>
      <c r="H24" s="1038"/>
      <c r="I24" s="353"/>
      <c r="J24" s="354"/>
      <c r="K24" s="354"/>
      <c r="L24" s="354"/>
      <c r="M24" s="354"/>
      <c r="N24" s="354"/>
      <c r="O24" s="355"/>
      <c r="P24" s="251"/>
      <c r="R24" s="290"/>
      <c r="S24" s="428"/>
      <c r="T24" s="429"/>
      <c r="U24" s="1038"/>
      <c r="V24" s="1038"/>
      <c r="W24" s="1038"/>
      <c r="X24" s="1038"/>
      <c r="Y24" s="353"/>
      <c r="Z24" s="354"/>
      <c r="AA24" s="354"/>
      <c r="AB24" s="354"/>
      <c r="AC24" s="354"/>
      <c r="AD24" s="354"/>
      <c r="AE24" s="355"/>
      <c r="AF24" s="843"/>
    </row>
    <row r="25" spans="2:32" x14ac:dyDescent="0.25">
      <c r="B25" s="290"/>
      <c r="C25" s="428" t="s">
        <v>413</v>
      </c>
      <c r="D25" s="430"/>
      <c r="E25" s="1038"/>
      <c r="F25" s="1038"/>
      <c r="G25" s="1149"/>
      <c r="H25" s="250"/>
      <c r="I25" s="349">
        <f>'8B'!H36</f>
        <v>0</v>
      </c>
      <c r="J25" s="1443">
        <v>0</v>
      </c>
      <c r="K25" s="1443">
        <v>0</v>
      </c>
      <c r="L25" s="1443">
        <v>0</v>
      </c>
      <c r="M25" s="1443">
        <v>0</v>
      </c>
      <c r="N25" s="1443">
        <v>0</v>
      </c>
      <c r="O25" s="1444">
        <v>0</v>
      </c>
      <c r="P25" s="251"/>
      <c r="R25" s="290"/>
      <c r="S25" s="428" t="s">
        <v>413</v>
      </c>
      <c r="T25" s="430"/>
      <c r="U25" s="1038"/>
      <c r="V25" s="1038"/>
      <c r="W25" s="1149"/>
      <c r="X25" s="841"/>
      <c r="Y25" s="349">
        <f>'8B'!Y36</f>
        <v>0</v>
      </c>
      <c r="Z25" s="1443">
        <v>0</v>
      </c>
      <c r="AA25" s="1443">
        <v>0</v>
      </c>
      <c r="AB25" s="1443">
        <v>0</v>
      </c>
      <c r="AC25" s="1443">
        <v>0</v>
      </c>
      <c r="AD25" s="1443">
        <v>0</v>
      </c>
      <c r="AE25" s="1444">
        <v>0</v>
      </c>
      <c r="AF25" s="843"/>
    </row>
    <row r="26" spans="2:32" x14ac:dyDescent="0.25">
      <c r="B26" s="290"/>
      <c r="C26" s="428"/>
      <c r="D26" s="430"/>
      <c r="E26" s="1038"/>
      <c r="F26" s="1038"/>
      <c r="G26" s="1038"/>
      <c r="H26" s="1038"/>
      <c r="I26" s="353"/>
      <c r="J26" s="354"/>
      <c r="K26" s="354"/>
      <c r="L26" s="354"/>
      <c r="M26" s="354"/>
      <c r="N26" s="354"/>
      <c r="O26" s="355"/>
      <c r="P26" s="251"/>
      <c r="R26" s="290"/>
      <c r="S26" s="428"/>
      <c r="T26" s="430"/>
      <c r="U26" s="1038"/>
      <c r="V26" s="1038"/>
      <c r="W26" s="1038"/>
      <c r="X26" s="1038"/>
      <c r="Y26" s="353"/>
      <c r="Z26" s="354"/>
      <c r="AA26" s="354"/>
      <c r="AB26" s="354"/>
      <c r="AC26" s="354"/>
      <c r="AD26" s="354"/>
      <c r="AE26" s="355"/>
      <c r="AF26" s="843"/>
    </row>
    <row r="27" spans="2:32" ht="15.75" thickBot="1" x14ac:dyDescent="0.3">
      <c r="B27" s="290"/>
      <c r="C27" s="431" t="s">
        <v>414</v>
      </c>
      <c r="D27" s="432"/>
      <c r="E27" s="1150"/>
      <c r="F27" s="1150"/>
      <c r="G27" s="1151"/>
      <c r="H27" s="1152"/>
      <c r="I27" s="1445">
        <v>0</v>
      </c>
      <c r="J27" s="1446">
        <v>0</v>
      </c>
      <c r="K27" s="1446">
        <v>0</v>
      </c>
      <c r="L27" s="1446">
        <v>0</v>
      </c>
      <c r="M27" s="1446">
        <v>0</v>
      </c>
      <c r="N27" s="1446">
        <v>0</v>
      </c>
      <c r="O27" s="1447">
        <v>0</v>
      </c>
      <c r="P27" s="251"/>
      <c r="R27" s="290"/>
      <c r="S27" s="431" t="s">
        <v>414</v>
      </c>
      <c r="T27" s="432"/>
      <c r="U27" s="1150"/>
      <c r="V27" s="1150"/>
      <c r="W27" s="1151"/>
      <c r="X27" s="1152"/>
      <c r="Y27" s="1445">
        <v>0</v>
      </c>
      <c r="Z27" s="1446">
        <v>0</v>
      </c>
      <c r="AA27" s="1446">
        <v>0</v>
      </c>
      <c r="AB27" s="1446">
        <v>0</v>
      </c>
      <c r="AC27" s="1446">
        <v>0</v>
      </c>
      <c r="AD27" s="1446">
        <v>0</v>
      </c>
      <c r="AE27" s="1447">
        <v>0</v>
      </c>
      <c r="AF27" s="843"/>
    </row>
    <row r="28" spans="2:32" ht="15.75" thickTop="1" x14ac:dyDescent="0.25">
      <c r="B28" s="290"/>
      <c r="C28" s="420" t="s">
        <v>415</v>
      </c>
      <c r="D28" s="1038"/>
      <c r="E28" s="1038"/>
      <c r="F28" s="1038"/>
      <c r="G28" s="1038"/>
      <c r="H28" s="430" t="s">
        <v>412</v>
      </c>
      <c r="I28" s="356">
        <f>I23+I25+I27</f>
        <v>1068516</v>
      </c>
      <c r="J28" s="357">
        <f t="shared" ref="J28:O28" si="7">J23+J25+J27</f>
        <v>1095123.2999999998</v>
      </c>
      <c r="K28" s="357">
        <f t="shared" si="7"/>
        <v>1122393.6704999998</v>
      </c>
      <c r="L28" s="357">
        <f t="shared" si="7"/>
        <v>1150343.6460224998</v>
      </c>
      <c r="M28" s="357">
        <f t="shared" si="7"/>
        <v>1178990.1736082623</v>
      </c>
      <c r="N28" s="357">
        <f t="shared" si="7"/>
        <v>1208350.6231123728</v>
      </c>
      <c r="O28" s="358">
        <f t="shared" si="7"/>
        <v>1238442.7977573641</v>
      </c>
      <c r="P28" s="251"/>
      <c r="R28" s="290"/>
      <c r="S28" s="420" t="s">
        <v>415</v>
      </c>
      <c r="T28" s="1038"/>
      <c r="U28" s="1038"/>
      <c r="V28" s="1038"/>
      <c r="W28" s="1038"/>
      <c r="X28" s="430" t="s">
        <v>412</v>
      </c>
      <c r="Y28" s="356">
        <f>Y23+Y25+Y27</f>
        <v>370884</v>
      </c>
      <c r="Z28" s="357">
        <f t="shared" ref="Z28:AE28" si="8">Z23+Z25+Z27</f>
        <v>380098.5</v>
      </c>
      <c r="AA28" s="357">
        <f t="shared" si="8"/>
        <v>389542.21049999999</v>
      </c>
      <c r="AB28" s="357">
        <f t="shared" si="8"/>
        <v>399220.83872249996</v>
      </c>
      <c r="AC28" s="357">
        <f t="shared" si="8"/>
        <v>409140.23410976247</v>
      </c>
      <c r="AD28" s="357">
        <f t="shared" si="8"/>
        <v>419306.39187009056</v>
      </c>
      <c r="AE28" s="358">
        <f t="shared" si="8"/>
        <v>429725.45661257848</v>
      </c>
      <c r="AF28" s="843"/>
    </row>
    <row r="29" spans="2:32" ht="15.75" thickBot="1" x14ac:dyDescent="0.3">
      <c r="B29" s="290"/>
      <c r="C29" s="420"/>
      <c r="D29" s="1038"/>
      <c r="E29" s="1038"/>
      <c r="F29" s="1038"/>
      <c r="G29" s="433" t="s">
        <v>416</v>
      </c>
      <c r="H29" s="1038"/>
      <c r="I29" s="353"/>
      <c r="J29" s="354"/>
      <c r="K29" s="354"/>
      <c r="L29" s="354"/>
      <c r="M29" s="354"/>
      <c r="N29" s="354"/>
      <c r="O29" s="355"/>
      <c r="P29" s="251"/>
      <c r="R29" s="290"/>
      <c r="S29" s="420"/>
      <c r="T29" s="1038"/>
      <c r="U29" s="1038"/>
      <c r="V29" s="1038"/>
      <c r="W29" s="433" t="s">
        <v>416</v>
      </c>
      <c r="X29" s="1038"/>
      <c r="Y29" s="353"/>
      <c r="Z29" s="354"/>
      <c r="AA29" s="354"/>
      <c r="AB29" s="354"/>
      <c r="AC29" s="354"/>
      <c r="AD29" s="354"/>
      <c r="AE29" s="355"/>
      <c r="AF29" s="843"/>
    </row>
    <row r="30" spans="2:32" x14ac:dyDescent="0.25">
      <c r="B30" s="290"/>
      <c r="C30" s="434" t="s">
        <v>417</v>
      </c>
      <c r="D30" s="1141"/>
      <c r="E30" s="1141"/>
      <c r="F30" s="1141"/>
      <c r="G30" s="1438">
        <v>0.05</v>
      </c>
      <c r="H30" s="1143"/>
      <c r="I30" s="1153">
        <f>-I23*$G30</f>
        <v>-53425.8</v>
      </c>
      <c r="J30" s="1154">
        <f t="shared" ref="J30:O30" si="9">-J23*$G30</f>
        <v>-54756.164999999994</v>
      </c>
      <c r="K30" s="1154">
        <f t="shared" si="9"/>
        <v>-56119.683524999993</v>
      </c>
      <c r="L30" s="1154">
        <f t="shared" si="9"/>
        <v>-57517.182301124994</v>
      </c>
      <c r="M30" s="1154">
        <f t="shared" si="9"/>
        <v>-58949.508680413121</v>
      </c>
      <c r="N30" s="1154">
        <f t="shared" si="9"/>
        <v>-60417.531155618643</v>
      </c>
      <c r="O30" s="1155">
        <f t="shared" si="9"/>
        <v>-61922.139887868208</v>
      </c>
      <c r="P30" s="251"/>
      <c r="R30" s="290"/>
      <c r="S30" s="434" t="s">
        <v>417</v>
      </c>
      <c r="T30" s="1141"/>
      <c r="U30" s="1141"/>
      <c r="V30" s="1141"/>
      <c r="W30" s="1438">
        <v>0.05</v>
      </c>
      <c r="X30" s="1143"/>
      <c r="Y30" s="1153">
        <f>-Y23*$G30</f>
        <v>-18544.2</v>
      </c>
      <c r="Z30" s="1154">
        <f t="shared" ref="Z30:AE30" si="10">-Z23*$G30</f>
        <v>-19004.924999999999</v>
      </c>
      <c r="AA30" s="1154">
        <f t="shared" si="10"/>
        <v>-19477.110525</v>
      </c>
      <c r="AB30" s="1154">
        <f t="shared" si="10"/>
        <v>-19961.041936124999</v>
      </c>
      <c r="AC30" s="1154">
        <f t="shared" si="10"/>
        <v>-20457.011705488127</v>
      </c>
      <c r="AD30" s="1154">
        <f t="shared" si="10"/>
        <v>-20965.31959350453</v>
      </c>
      <c r="AE30" s="1155">
        <f t="shared" si="10"/>
        <v>-21486.272830628925</v>
      </c>
      <c r="AF30" s="843"/>
    </row>
    <row r="31" spans="2:32" ht="15.75" thickBot="1" x14ac:dyDescent="0.3">
      <c r="B31" s="290"/>
      <c r="C31" s="435" t="s">
        <v>418</v>
      </c>
      <c r="D31" s="1150"/>
      <c r="E31" s="1150"/>
      <c r="F31" s="1150"/>
      <c r="G31" s="1448">
        <v>0.1</v>
      </c>
      <c r="H31" s="1156"/>
      <c r="I31" s="1157">
        <f>-I27*$G31</f>
        <v>0</v>
      </c>
      <c r="J31" s="1158">
        <f t="shared" ref="J31:O31" si="11">-J27*$G31</f>
        <v>0</v>
      </c>
      <c r="K31" s="1158">
        <f t="shared" si="11"/>
        <v>0</v>
      </c>
      <c r="L31" s="1158">
        <f t="shared" si="11"/>
        <v>0</v>
      </c>
      <c r="M31" s="1158">
        <f t="shared" si="11"/>
        <v>0</v>
      </c>
      <c r="N31" s="1158">
        <f t="shared" si="11"/>
        <v>0</v>
      </c>
      <c r="O31" s="1159">
        <f t="shared" si="11"/>
        <v>0</v>
      </c>
      <c r="P31" s="251"/>
      <c r="R31" s="290"/>
      <c r="S31" s="435" t="s">
        <v>418</v>
      </c>
      <c r="T31" s="1150"/>
      <c r="U31" s="1150"/>
      <c r="V31" s="1150"/>
      <c r="W31" s="1448">
        <v>0.1</v>
      </c>
      <c r="X31" s="1156"/>
      <c r="Y31" s="1157">
        <f>-Y27*$G31</f>
        <v>0</v>
      </c>
      <c r="Z31" s="1158">
        <f t="shared" ref="Z31:AE31" si="12">-Z27*$G31</f>
        <v>0</v>
      </c>
      <c r="AA31" s="1158">
        <f t="shared" si="12"/>
        <v>0</v>
      </c>
      <c r="AB31" s="1158">
        <f t="shared" si="12"/>
        <v>0</v>
      </c>
      <c r="AC31" s="1158">
        <f t="shared" si="12"/>
        <v>0</v>
      </c>
      <c r="AD31" s="1158">
        <f t="shared" si="12"/>
        <v>0</v>
      </c>
      <c r="AE31" s="1159">
        <f t="shared" si="12"/>
        <v>0</v>
      </c>
      <c r="AF31" s="843"/>
    </row>
    <row r="32" spans="2:32" ht="16.5" thickTop="1" thickBot="1" x14ac:dyDescent="0.3">
      <c r="B32" s="290"/>
      <c r="C32" s="436" t="s">
        <v>419</v>
      </c>
      <c r="D32" s="1038"/>
      <c r="E32" s="1038"/>
      <c r="F32" s="1038"/>
      <c r="G32" s="1038"/>
      <c r="H32" s="429" t="s">
        <v>412</v>
      </c>
      <c r="I32" s="1493">
        <f>I28+I30+I31</f>
        <v>1015090.2</v>
      </c>
      <c r="J32" s="1494">
        <f t="shared" ref="J32:O32" si="13">J28+J30+J31</f>
        <v>1040367.1349999998</v>
      </c>
      <c r="K32" s="1494">
        <f t="shared" si="13"/>
        <v>1066273.9869749998</v>
      </c>
      <c r="L32" s="1494">
        <f t="shared" si="13"/>
        <v>1092826.4637213747</v>
      </c>
      <c r="M32" s="1494">
        <f t="shared" si="13"/>
        <v>1120040.6649278493</v>
      </c>
      <c r="N32" s="1494">
        <f t="shared" si="13"/>
        <v>1147933.0919567542</v>
      </c>
      <c r="O32" s="1495">
        <f t="shared" si="13"/>
        <v>1176520.6578694959</v>
      </c>
      <c r="P32" s="251"/>
      <c r="R32" s="290"/>
      <c r="S32" s="436" t="s">
        <v>419</v>
      </c>
      <c r="T32" s="1038"/>
      <c r="U32" s="1038"/>
      <c r="V32" s="1038"/>
      <c r="W32" s="1038"/>
      <c r="X32" s="429" t="s">
        <v>412</v>
      </c>
      <c r="Y32" s="1493">
        <f>Y28+Y30+Y31</f>
        <v>352339.8</v>
      </c>
      <c r="Z32" s="1494">
        <f t="shared" ref="Z32:AE32" si="14">Z28+Z30+Z31</f>
        <v>361093.57500000001</v>
      </c>
      <c r="AA32" s="1494">
        <f t="shared" si="14"/>
        <v>370065.09997499996</v>
      </c>
      <c r="AB32" s="1494">
        <f t="shared" si="14"/>
        <v>379259.79678637494</v>
      </c>
      <c r="AC32" s="1494">
        <f t="shared" si="14"/>
        <v>388683.22240427433</v>
      </c>
      <c r="AD32" s="1494">
        <f t="shared" si="14"/>
        <v>398341.07227658603</v>
      </c>
      <c r="AE32" s="1495">
        <f t="shared" si="14"/>
        <v>408239.18378194957</v>
      </c>
      <c r="AF32" s="843"/>
    </row>
    <row r="33" spans="2:32" ht="7.5" customHeight="1" x14ac:dyDescent="0.25">
      <c r="B33" s="290"/>
      <c r="C33" s="250"/>
      <c r="D33" s="250"/>
      <c r="E33" s="1038"/>
      <c r="F33" s="1038"/>
      <c r="G33" s="1038"/>
      <c r="H33" s="1038"/>
      <c r="I33" s="250"/>
      <c r="J33" s="250"/>
      <c r="K33" s="250"/>
      <c r="L33" s="250"/>
      <c r="M33" s="250"/>
      <c r="N33" s="250"/>
      <c r="O33" s="250"/>
      <c r="P33" s="251"/>
      <c r="R33" s="290"/>
      <c r="S33" s="841"/>
      <c r="T33" s="841"/>
      <c r="U33" s="1038"/>
      <c r="V33" s="1038"/>
      <c r="W33" s="1038"/>
      <c r="X33" s="1038"/>
      <c r="Y33" s="841"/>
      <c r="Z33" s="841"/>
      <c r="AA33" s="841"/>
      <c r="AB33" s="841"/>
      <c r="AC33" s="841"/>
      <c r="AD33" s="841"/>
      <c r="AE33" s="841"/>
      <c r="AF33" s="843"/>
    </row>
    <row r="34" spans="2:32" ht="15.75" thickBot="1" x14ac:dyDescent="0.3">
      <c r="B34" s="413"/>
      <c r="C34" s="492" t="s">
        <v>420</v>
      </c>
      <c r="D34" s="360"/>
      <c r="E34" s="360"/>
      <c r="F34" s="360"/>
      <c r="G34" s="360"/>
      <c r="H34" s="360"/>
      <c r="I34" s="360"/>
      <c r="J34" s="360"/>
      <c r="K34" s="360"/>
      <c r="L34" s="361"/>
      <c r="M34" s="360"/>
      <c r="N34" s="360"/>
      <c r="O34" s="360"/>
      <c r="P34" s="417"/>
      <c r="R34" s="413"/>
      <c r="S34" s="492" t="s">
        <v>420</v>
      </c>
      <c r="T34" s="360"/>
      <c r="U34" s="360"/>
      <c r="V34" s="360"/>
      <c r="W34" s="360"/>
      <c r="X34" s="360"/>
      <c r="Y34" s="360"/>
      <c r="Z34" s="360"/>
      <c r="AA34" s="360"/>
      <c r="AB34" s="361"/>
      <c r="AC34" s="360"/>
      <c r="AD34" s="360"/>
      <c r="AE34" s="360"/>
      <c r="AF34" s="417"/>
    </row>
    <row r="35" spans="2:32" ht="36.75" thickBot="1" x14ac:dyDescent="0.3">
      <c r="B35" s="413"/>
      <c r="C35" s="420" t="s">
        <v>421</v>
      </c>
      <c r="D35" s="411"/>
      <c r="E35" s="428"/>
      <c r="F35" s="437" t="s">
        <v>408</v>
      </c>
      <c r="G35" s="414"/>
      <c r="H35" s="362" t="s">
        <v>422</v>
      </c>
      <c r="I35" s="342" t="s">
        <v>400</v>
      </c>
      <c r="J35" s="343" t="s">
        <v>401</v>
      </c>
      <c r="K35" s="343" t="s">
        <v>402</v>
      </c>
      <c r="L35" s="343" t="s">
        <v>403</v>
      </c>
      <c r="M35" s="343" t="s">
        <v>404</v>
      </c>
      <c r="N35" s="343" t="s">
        <v>405</v>
      </c>
      <c r="O35" s="344" t="s">
        <v>406</v>
      </c>
      <c r="P35" s="412"/>
      <c r="R35" s="413"/>
      <c r="S35" s="420" t="s">
        <v>421</v>
      </c>
      <c r="T35" s="411"/>
      <c r="U35" s="428"/>
      <c r="V35" s="437" t="s">
        <v>408</v>
      </c>
      <c r="W35" s="414"/>
      <c r="X35" s="362" t="s">
        <v>422</v>
      </c>
      <c r="Y35" s="342" t="s">
        <v>400</v>
      </c>
      <c r="Z35" s="343" t="s">
        <v>401</v>
      </c>
      <c r="AA35" s="343" t="s">
        <v>402</v>
      </c>
      <c r="AB35" s="343" t="s">
        <v>403</v>
      </c>
      <c r="AC35" s="343" t="s">
        <v>404</v>
      </c>
      <c r="AD35" s="343" t="s">
        <v>405</v>
      </c>
      <c r="AE35" s="344" t="s">
        <v>406</v>
      </c>
      <c r="AF35" s="412"/>
    </row>
    <row r="36" spans="2:32" x14ac:dyDescent="0.25">
      <c r="B36" s="413"/>
      <c r="C36" s="439" t="s">
        <v>423</v>
      </c>
      <c r="D36" s="440"/>
      <c r="E36" s="441"/>
      <c r="F36" s="1438">
        <v>3.5000000000000003E-2</v>
      </c>
      <c r="G36" s="442"/>
      <c r="H36" s="1719">
        <f>IFERROR(I36/'1B'!$L$20,"")</f>
        <v>1861.25</v>
      </c>
      <c r="I36" s="1161">
        <f>'8C'!K20</f>
        <v>163790</v>
      </c>
      <c r="J36" s="444">
        <f t="shared" ref="J36:O36" si="15">I36+(I36*$F36)</f>
        <v>169522.65</v>
      </c>
      <c r="K36" s="444">
        <f t="shared" si="15"/>
        <v>175455.94274999999</v>
      </c>
      <c r="L36" s="444">
        <f t="shared" si="15"/>
        <v>181596.90074625</v>
      </c>
      <c r="M36" s="444">
        <f t="shared" si="15"/>
        <v>187952.79227236874</v>
      </c>
      <c r="N36" s="444">
        <f t="shared" si="15"/>
        <v>194531.14000190166</v>
      </c>
      <c r="O36" s="445">
        <f t="shared" si="15"/>
        <v>201339.72990196821</v>
      </c>
      <c r="P36" s="412"/>
      <c r="R36" s="413"/>
      <c r="S36" s="439" t="s">
        <v>423</v>
      </c>
      <c r="T36" s="440"/>
      <c r="U36" s="441"/>
      <c r="V36" s="1438">
        <v>3.5000000000000003E-2</v>
      </c>
      <c r="W36" s="442"/>
      <c r="X36" s="1719">
        <f>IFERROR(Y36/'1B'!$L$44,"")</f>
        <v>1861.25</v>
      </c>
      <c r="Y36" s="1161">
        <f>'8C'!X20</f>
        <v>74450</v>
      </c>
      <c r="Z36" s="444">
        <f>Y36+(Y36*$F36)</f>
        <v>77055.75</v>
      </c>
      <c r="AA36" s="444">
        <f t="shared" ref="AA36:AA55" si="16">Z36+(Z36*$F36)</f>
        <v>79752.701249999998</v>
      </c>
      <c r="AB36" s="444">
        <f t="shared" ref="AB36:AB55" si="17">AA36+(AA36*$F36)</f>
        <v>82544.045793750003</v>
      </c>
      <c r="AC36" s="444">
        <f t="shared" ref="AC36:AC55" si="18">AB36+(AB36*$F36)</f>
        <v>85433.087396531249</v>
      </c>
      <c r="AD36" s="444">
        <f t="shared" ref="AD36:AD55" si="19">AC36+(AC36*$F36)</f>
        <v>88423.245455409837</v>
      </c>
      <c r="AE36" s="445">
        <f t="shared" ref="AE36:AE55" si="20">AD36+(AD36*$F36)</f>
        <v>91518.059046349183</v>
      </c>
      <c r="AF36" s="412"/>
    </row>
    <row r="37" spans="2:32" x14ac:dyDescent="0.25">
      <c r="B37" s="446"/>
      <c r="C37" s="447" t="s">
        <v>424</v>
      </c>
      <c r="D37" s="448"/>
      <c r="E37" s="449"/>
      <c r="F37" s="1449">
        <v>3.5000000000000003E-2</v>
      </c>
      <c r="G37" s="450"/>
      <c r="H37" s="1720">
        <f>IFERROR(I37/'1B'!$L$20,"")</f>
        <v>576</v>
      </c>
      <c r="I37" s="1163">
        <f>'8C'!K29</f>
        <v>50688</v>
      </c>
      <c r="J37" s="452">
        <f t="shared" ref="J37:O52" si="21">I37+(I37*$F37)</f>
        <v>52462.080000000002</v>
      </c>
      <c r="K37" s="452">
        <f t="shared" si="21"/>
        <v>54298.252800000002</v>
      </c>
      <c r="L37" s="452">
        <f t="shared" si="21"/>
        <v>56198.691648</v>
      </c>
      <c r="M37" s="452">
        <f t="shared" si="21"/>
        <v>58165.645855679999</v>
      </c>
      <c r="N37" s="452">
        <f t="shared" si="21"/>
        <v>60201.443460628798</v>
      </c>
      <c r="O37" s="453">
        <f t="shared" si="21"/>
        <v>62308.493981750806</v>
      </c>
      <c r="P37" s="412"/>
      <c r="R37" s="446"/>
      <c r="S37" s="447" t="s">
        <v>424</v>
      </c>
      <c r="T37" s="448"/>
      <c r="U37" s="449"/>
      <c r="V37" s="1449">
        <v>3.5000000000000003E-2</v>
      </c>
      <c r="W37" s="450"/>
      <c r="X37" s="1720">
        <f>IFERROR(Y37/'1B'!$L$44,"")</f>
        <v>986.5</v>
      </c>
      <c r="Y37" s="1163">
        <f>'8C'!X29</f>
        <v>39460</v>
      </c>
      <c r="Z37" s="452">
        <f t="shared" ref="Z37:Z55" si="22">Y37+(Y37*$F37)</f>
        <v>40841.1</v>
      </c>
      <c r="AA37" s="452">
        <f t="shared" si="16"/>
        <v>42270.538499999995</v>
      </c>
      <c r="AB37" s="452">
        <f t="shared" si="17"/>
        <v>43750.007347499995</v>
      </c>
      <c r="AC37" s="452">
        <f t="shared" si="18"/>
        <v>45281.257604662496</v>
      </c>
      <c r="AD37" s="452">
        <f t="shared" si="19"/>
        <v>46866.101620825684</v>
      </c>
      <c r="AE37" s="453">
        <f t="shared" si="20"/>
        <v>48506.415177554583</v>
      </c>
      <c r="AF37" s="412"/>
    </row>
    <row r="38" spans="2:32" x14ac:dyDescent="0.25">
      <c r="B38" s="413"/>
      <c r="C38" s="447" t="s">
        <v>425</v>
      </c>
      <c r="D38" s="448"/>
      <c r="E38" s="449"/>
      <c r="F38" s="1449">
        <v>3.5000000000000003E-2</v>
      </c>
      <c r="G38" s="450"/>
      <c r="H38" s="1720">
        <f>IFERROR(I38/'1B'!$L$20,"")</f>
        <v>126</v>
      </c>
      <c r="I38" s="451">
        <f>'8E'!I48</f>
        <v>11088</v>
      </c>
      <c r="J38" s="452">
        <f t="shared" si="21"/>
        <v>11476.08</v>
      </c>
      <c r="K38" s="452">
        <f t="shared" si="21"/>
        <v>11877.7428</v>
      </c>
      <c r="L38" s="452">
        <f t="shared" si="21"/>
        <v>12293.463798000001</v>
      </c>
      <c r="M38" s="452">
        <f t="shared" si="21"/>
        <v>12723.73503093</v>
      </c>
      <c r="N38" s="452">
        <f t="shared" si="21"/>
        <v>13169.06575701255</v>
      </c>
      <c r="O38" s="453">
        <f t="shared" si="21"/>
        <v>13629.983058507989</v>
      </c>
      <c r="P38" s="412"/>
      <c r="R38" s="413"/>
      <c r="S38" s="447" t="s">
        <v>425</v>
      </c>
      <c r="T38" s="448"/>
      <c r="U38" s="449"/>
      <c r="V38" s="1449">
        <v>3.5000000000000003E-2</v>
      </c>
      <c r="W38" s="450"/>
      <c r="X38" s="1720">
        <f>IFERROR(Y38/'1B'!$L$44,"")</f>
        <v>126</v>
      </c>
      <c r="Y38" s="451">
        <f>'8E'!Z48</f>
        <v>5040</v>
      </c>
      <c r="Z38" s="452">
        <f t="shared" si="22"/>
        <v>5216.3999999999996</v>
      </c>
      <c r="AA38" s="452">
        <f t="shared" si="16"/>
        <v>5398.9739999999993</v>
      </c>
      <c r="AB38" s="452">
        <f t="shared" si="17"/>
        <v>5587.9380899999996</v>
      </c>
      <c r="AC38" s="452">
        <f t="shared" si="18"/>
        <v>5783.5159231499993</v>
      </c>
      <c r="AD38" s="452">
        <f t="shared" si="19"/>
        <v>5985.9389804602488</v>
      </c>
      <c r="AE38" s="453">
        <f t="shared" si="20"/>
        <v>6195.4468447763575</v>
      </c>
      <c r="AF38" s="412"/>
    </row>
    <row r="39" spans="2:32" x14ac:dyDescent="0.25">
      <c r="B39" s="413"/>
      <c r="C39" s="447" t="s">
        <v>426</v>
      </c>
      <c r="D39" s="449"/>
      <c r="E39" s="448"/>
      <c r="F39" s="1449">
        <v>3.5000000000000003E-2</v>
      </c>
      <c r="G39" s="450"/>
      <c r="H39" s="1720">
        <f>IFERROR(I39/'1B'!$L$20,"")</f>
        <v>0</v>
      </c>
      <c r="I39" s="451">
        <f>'8E'!I49</f>
        <v>0</v>
      </c>
      <c r="J39" s="452">
        <f t="shared" si="21"/>
        <v>0</v>
      </c>
      <c r="K39" s="452">
        <f t="shared" si="21"/>
        <v>0</v>
      </c>
      <c r="L39" s="452">
        <f t="shared" si="21"/>
        <v>0</v>
      </c>
      <c r="M39" s="452">
        <f t="shared" si="21"/>
        <v>0</v>
      </c>
      <c r="N39" s="452">
        <f t="shared" si="21"/>
        <v>0</v>
      </c>
      <c r="O39" s="453">
        <f t="shared" si="21"/>
        <v>0</v>
      </c>
      <c r="P39" s="412"/>
      <c r="R39" s="413"/>
      <c r="S39" s="447" t="s">
        <v>426</v>
      </c>
      <c r="T39" s="449"/>
      <c r="U39" s="448"/>
      <c r="V39" s="1449">
        <v>3.5000000000000003E-2</v>
      </c>
      <c r="W39" s="450"/>
      <c r="X39" s="1720">
        <f>IFERROR(Y39/'1B'!$L$44,"")</f>
        <v>148</v>
      </c>
      <c r="Y39" s="451">
        <f>'8E'!Z49</f>
        <v>5920</v>
      </c>
      <c r="Z39" s="452">
        <f t="shared" si="22"/>
        <v>6127.2</v>
      </c>
      <c r="AA39" s="452">
        <f t="shared" si="16"/>
        <v>6341.652</v>
      </c>
      <c r="AB39" s="452">
        <f t="shared" si="17"/>
        <v>6563.6098199999997</v>
      </c>
      <c r="AC39" s="452">
        <f t="shared" si="18"/>
        <v>6793.3361636999998</v>
      </c>
      <c r="AD39" s="452">
        <f t="shared" si="19"/>
        <v>7031.1029294294995</v>
      </c>
      <c r="AE39" s="453">
        <f t="shared" si="20"/>
        <v>7277.1915319595319</v>
      </c>
      <c r="AF39" s="412"/>
    </row>
    <row r="40" spans="2:32" x14ac:dyDescent="0.25">
      <c r="B40" s="413"/>
      <c r="C40" s="447" t="s">
        <v>427</v>
      </c>
      <c r="D40" s="448"/>
      <c r="E40" s="449"/>
      <c r="F40" s="1449">
        <v>3.5000000000000003E-2</v>
      </c>
      <c r="G40" s="450"/>
      <c r="H40" s="1720">
        <f>IFERROR(I40/'1B'!$L$20,"")</f>
        <v>524</v>
      </c>
      <c r="I40" s="451">
        <f>'8E'!I50</f>
        <v>46112</v>
      </c>
      <c r="J40" s="452">
        <f t="shared" si="21"/>
        <v>47725.919999999998</v>
      </c>
      <c r="K40" s="452">
        <f t="shared" si="21"/>
        <v>49396.3272</v>
      </c>
      <c r="L40" s="452">
        <f t="shared" si="21"/>
        <v>51125.198651999999</v>
      </c>
      <c r="M40" s="452">
        <f t="shared" si="21"/>
        <v>52914.580604820003</v>
      </c>
      <c r="N40" s="452">
        <f t="shared" si="21"/>
        <v>54766.590925988705</v>
      </c>
      <c r="O40" s="453">
        <f t="shared" si="21"/>
        <v>56683.421608398312</v>
      </c>
      <c r="P40" s="412"/>
      <c r="R40" s="413"/>
      <c r="S40" s="447" t="s">
        <v>427</v>
      </c>
      <c r="T40" s="448"/>
      <c r="U40" s="449"/>
      <c r="V40" s="1449">
        <v>3.5000000000000003E-2</v>
      </c>
      <c r="W40" s="450"/>
      <c r="X40" s="1720">
        <f>IFERROR(Y40/'1B'!$L$44,"")</f>
        <v>306.8</v>
      </c>
      <c r="Y40" s="451">
        <f>'8E'!Z50</f>
        <v>12272</v>
      </c>
      <c r="Z40" s="452">
        <f t="shared" si="22"/>
        <v>12701.52</v>
      </c>
      <c r="AA40" s="452">
        <f t="shared" si="16"/>
        <v>13146.073200000001</v>
      </c>
      <c r="AB40" s="452">
        <f t="shared" si="17"/>
        <v>13606.185762000001</v>
      </c>
      <c r="AC40" s="452">
        <f t="shared" si="18"/>
        <v>14082.402263670001</v>
      </c>
      <c r="AD40" s="452">
        <f t="shared" si="19"/>
        <v>14575.286342898451</v>
      </c>
      <c r="AE40" s="453">
        <f t="shared" si="20"/>
        <v>15085.421364899898</v>
      </c>
      <c r="AF40" s="412"/>
    </row>
    <row r="41" spans="2:32" x14ac:dyDescent="0.25">
      <c r="B41" s="413"/>
      <c r="C41" s="447" t="s">
        <v>428</v>
      </c>
      <c r="D41" s="448"/>
      <c r="E41" s="449"/>
      <c r="F41" s="1449">
        <v>3.5000000000000003E-2</v>
      </c>
      <c r="G41" s="450"/>
      <c r="H41" s="1720">
        <f>IFERROR(I41/'1B'!$L$20,"")</f>
        <v>436</v>
      </c>
      <c r="I41" s="451">
        <f>'8E'!I51</f>
        <v>38368</v>
      </c>
      <c r="J41" s="452">
        <f t="shared" si="21"/>
        <v>39710.879999999997</v>
      </c>
      <c r="K41" s="452">
        <f t="shared" si="21"/>
        <v>41100.760799999996</v>
      </c>
      <c r="L41" s="452">
        <f t="shared" si="21"/>
        <v>42539.287427999996</v>
      </c>
      <c r="M41" s="452">
        <f t="shared" si="21"/>
        <v>44028.162487979993</v>
      </c>
      <c r="N41" s="452">
        <f t="shared" si="21"/>
        <v>45569.148175059294</v>
      </c>
      <c r="O41" s="453">
        <f t="shared" si="21"/>
        <v>47164.068361186371</v>
      </c>
      <c r="P41" s="412"/>
      <c r="R41" s="413"/>
      <c r="S41" s="447" t="s">
        <v>428</v>
      </c>
      <c r="T41" s="448"/>
      <c r="U41" s="449"/>
      <c r="V41" s="1449">
        <v>3.5000000000000003E-2</v>
      </c>
      <c r="W41" s="450"/>
      <c r="X41" s="1720">
        <f>IFERROR(Y41/'1B'!$L$44,"")</f>
        <v>243.2</v>
      </c>
      <c r="Y41" s="451">
        <f>'8E'!Z51</f>
        <v>9728</v>
      </c>
      <c r="Z41" s="452">
        <f t="shared" si="22"/>
        <v>10068.48</v>
      </c>
      <c r="AA41" s="452">
        <f t="shared" si="16"/>
        <v>10420.8768</v>
      </c>
      <c r="AB41" s="452">
        <f t="shared" si="17"/>
        <v>10785.607488</v>
      </c>
      <c r="AC41" s="452">
        <f t="shared" si="18"/>
        <v>11163.103750079999</v>
      </c>
      <c r="AD41" s="452">
        <f t="shared" si="19"/>
        <v>11553.8123813328</v>
      </c>
      <c r="AE41" s="453">
        <f t="shared" si="20"/>
        <v>11958.195814679448</v>
      </c>
      <c r="AF41" s="412"/>
    </row>
    <row r="42" spans="2:32" x14ac:dyDescent="0.25">
      <c r="B42" s="413"/>
      <c r="C42" s="447" t="s">
        <v>429</v>
      </c>
      <c r="D42" s="448"/>
      <c r="E42" s="449"/>
      <c r="F42" s="1449">
        <v>3.5000000000000003E-2</v>
      </c>
      <c r="G42" s="450"/>
      <c r="H42" s="1720">
        <f>IFERROR(I42/'1B'!$L$20,"")</f>
        <v>16</v>
      </c>
      <c r="I42" s="451">
        <f>'8E'!I52</f>
        <v>1408</v>
      </c>
      <c r="J42" s="452">
        <f t="shared" si="21"/>
        <v>1457.28</v>
      </c>
      <c r="K42" s="452">
        <f t="shared" si="21"/>
        <v>1508.2847999999999</v>
      </c>
      <c r="L42" s="452">
        <f t="shared" si="21"/>
        <v>1561.0747679999999</v>
      </c>
      <c r="M42" s="452">
        <f t="shared" si="21"/>
        <v>1615.7123848799999</v>
      </c>
      <c r="N42" s="452">
        <f t="shared" si="21"/>
        <v>1672.2623183507999</v>
      </c>
      <c r="O42" s="453">
        <f t="shared" si="21"/>
        <v>1730.7914994930779</v>
      </c>
      <c r="P42" s="412"/>
      <c r="R42" s="413"/>
      <c r="S42" s="447" t="s">
        <v>429</v>
      </c>
      <c r="T42" s="448"/>
      <c r="U42" s="449"/>
      <c r="V42" s="1449">
        <v>3.5000000000000003E-2</v>
      </c>
      <c r="W42" s="450"/>
      <c r="X42" s="1720">
        <f>IFERROR(Y42/'1B'!$L$44,"")</f>
        <v>16</v>
      </c>
      <c r="Y42" s="451">
        <f>'8E'!Z52</f>
        <v>640</v>
      </c>
      <c r="Z42" s="452">
        <f t="shared" si="22"/>
        <v>662.4</v>
      </c>
      <c r="AA42" s="452">
        <f t="shared" si="16"/>
        <v>685.58399999999995</v>
      </c>
      <c r="AB42" s="452">
        <f t="shared" si="17"/>
        <v>709.57943999999998</v>
      </c>
      <c r="AC42" s="452">
        <f t="shared" si="18"/>
        <v>734.41472039999996</v>
      </c>
      <c r="AD42" s="452">
        <f t="shared" si="19"/>
        <v>760.11923561399999</v>
      </c>
      <c r="AE42" s="453">
        <f t="shared" si="20"/>
        <v>786.72340886048994</v>
      </c>
      <c r="AF42" s="412"/>
    </row>
    <row r="43" spans="2:32" x14ac:dyDescent="0.25">
      <c r="B43" s="413"/>
      <c r="C43" s="447" t="s">
        <v>430</v>
      </c>
      <c r="D43" s="449"/>
      <c r="E43" s="448"/>
      <c r="F43" s="1449">
        <v>3.5000000000000003E-2</v>
      </c>
      <c r="G43" s="450"/>
      <c r="H43" s="1720">
        <f>IFERROR(I43/'1B'!$L$20,"")</f>
        <v>0</v>
      </c>
      <c r="I43" s="451">
        <f>'8E'!I53</f>
        <v>0</v>
      </c>
      <c r="J43" s="452">
        <f t="shared" si="21"/>
        <v>0</v>
      </c>
      <c r="K43" s="452">
        <f t="shared" si="21"/>
        <v>0</v>
      </c>
      <c r="L43" s="452">
        <f t="shared" si="21"/>
        <v>0</v>
      </c>
      <c r="M43" s="452">
        <f t="shared" si="21"/>
        <v>0</v>
      </c>
      <c r="N43" s="452">
        <f t="shared" si="21"/>
        <v>0</v>
      </c>
      <c r="O43" s="453">
        <f t="shared" si="21"/>
        <v>0</v>
      </c>
      <c r="P43" s="412"/>
      <c r="R43" s="413"/>
      <c r="S43" s="447" t="s">
        <v>430</v>
      </c>
      <c r="T43" s="449"/>
      <c r="U43" s="448"/>
      <c r="V43" s="1449">
        <v>3.5000000000000003E-2</v>
      </c>
      <c r="W43" s="450"/>
      <c r="X43" s="1720">
        <f>IFERROR(Y43/'1B'!$L$44,"")</f>
        <v>0</v>
      </c>
      <c r="Y43" s="451">
        <f>'8E'!Z53</f>
        <v>0</v>
      </c>
      <c r="Z43" s="452">
        <f t="shared" si="22"/>
        <v>0</v>
      </c>
      <c r="AA43" s="452">
        <f t="shared" si="16"/>
        <v>0</v>
      </c>
      <c r="AB43" s="452">
        <f t="shared" si="17"/>
        <v>0</v>
      </c>
      <c r="AC43" s="452">
        <f t="shared" si="18"/>
        <v>0</v>
      </c>
      <c r="AD43" s="452">
        <f t="shared" si="19"/>
        <v>0</v>
      </c>
      <c r="AE43" s="453">
        <f t="shared" si="20"/>
        <v>0</v>
      </c>
      <c r="AF43" s="412"/>
    </row>
    <row r="44" spans="2:32" x14ac:dyDescent="0.25">
      <c r="B44" s="413"/>
      <c r="C44" s="447" t="s">
        <v>431</v>
      </c>
      <c r="D44" s="448"/>
      <c r="E44" s="449"/>
      <c r="F44" s="1449">
        <v>3.5000000000000003E-2</v>
      </c>
      <c r="G44" s="450"/>
      <c r="H44" s="1720">
        <f>IFERROR(I44/'1B'!$L$20,"")</f>
        <v>87.5</v>
      </c>
      <c r="I44" s="451">
        <f>'8E'!I54</f>
        <v>7700</v>
      </c>
      <c r="J44" s="452">
        <f t="shared" si="21"/>
        <v>7969.5</v>
      </c>
      <c r="K44" s="452">
        <f t="shared" si="21"/>
        <v>8248.4325000000008</v>
      </c>
      <c r="L44" s="452">
        <f t="shared" si="21"/>
        <v>8537.1276375000016</v>
      </c>
      <c r="M44" s="452">
        <f t="shared" si="21"/>
        <v>8835.9271048125011</v>
      </c>
      <c r="N44" s="452">
        <f t="shared" si="21"/>
        <v>9145.1845534809381</v>
      </c>
      <c r="O44" s="453">
        <f t="shared" si="21"/>
        <v>9465.2660128527714</v>
      </c>
      <c r="P44" s="412"/>
      <c r="R44" s="413"/>
      <c r="S44" s="447" t="s">
        <v>431</v>
      </c>
      <c r="T44" s="448"/>
      <c r="U44" s="449"/>
      <c r="V44" s="1449">
        <v>3.5000000000000003E-2</v>
      </c>
      <c r="W44" s="450"/>
      <c r="X44" s="1720">
        <f>IFERROR(Y44/'1B'!$L$44,"")</f>
        <v>75</v>
      </c>
      <c r="Y44" s="451">
        <f>'8E'!Z54</f>
        <v>3000</v>
      </c>
      <c r="Z44" s="452">
        <f t="shared" si="22"/>
        <v>3105</v>
      </c>
      <c r="AA44" s="452">
        <f t="shared" si="16"/>
        <v>3213.6750000000002</v>
      </c>
      <c r="AB44" s="452">
        <f t="shared" si="17"/>
        <v>3326.1536250000004</v>
      </c>
      <c r="AC44" s="452">
        <f t="shared" si="18"/>
        <v>3442.5690018750006</v>
      </c>
      <c r="AD44" s="452">
        <f t="shared" si="19"/>
        <v>3563.0589169406257</v>
      </c>
      <c r="AE44" s="453">
        <f t="shared" si="20"/>
        <v>3687.7659790335479</v>
      </c>
      <c r="AF44" s="412"/>
    </row>
    <row r="45" spans="2:32" x14ac:dyDescent="0.25">
      <c r="B45" s="413"/>
      <c r="C45" s="447" t="s">
        <v>432</v>
      </c>
      <c r="D45" s="449"/>
      <c r="E45" s="449"/>
      <c r="F45" s="1449">
        <v>3.5000000000000003E-2</v>
      </c>
      <c r="G45" s="450"/>
      <c r="H45" s="1720">
        <f>IFERROR(I45/'1B'!$L$20,"")</f>
        <v>0</v>
      </c>
      <c r="I45" s="451">
        <f>'8E'!I55</f>
        <v>0</v>
      </c>
      <c r="J45" s="452">
        <f t="shared" si="21"/>
        <v>0</v>
      </c>
      <c r="K45" s="452">
        <f t="shared" si="21"/>
        <v>0</v>
      </c>
      <c r="L45" s="452">
        <f t="shared" si="21"/>
        <v>0</v>
      </c>
      <c r="M45" s="452">
        <f t="shared" si="21"/>
        <v>0</v>
      </c>
      <c r="N45" s="452">
        <f t="shared" si="21"/>
        <v>0</v>
      </c>
      <c r="O45" s="453">
        <f t="shared" si="21"/>
        <v>0</v>
      </c>
      <c r="P45" s="412"/>
      <c r="R45" s="413"/>
      <c r="S45" s="447" t="s">
        <v>432</v>
      </c>
      <c r="T45" s="449"/>
      <c r="U45" s="449"/>
      <c r="V45" s="1449">
        <v>3.5000000000000003E-2</v>
      </c>
      <c r="W45" s="450"/>
      <c r="X45" s="1720">
        <f>IFERROR(Y45/'1B'!$L$44,"")</f>
        <v>0</v>
      </c>
      <c r="Y45" s="451">
        <f>'8E'!Z55</f>
        <v>0</v>
      </c>
      <c r="Z45" s="452">
        <f t="shared" si="22"/>
        <v>0</v>
      </c>
      <c r="AA45" s="452">
        <f t="shared" si="16"/>
        <v>0</v>
      </c>
      <c r="AB45" s="452">
        <f t="shared" si="17"/>
        <v>0</v>
      </c>
      <c r="AC45" s="452">
        <f t="shared" si="18"/>
        <v>0</v>
      </c>
      <c r="AD45" s="452">
        <f t="shared" si="19"/>
        <v>0</v>
      </c>
      <c r="AE45" s="453">
        <f t="shared" si="20"/>
        <v>0</v>
      </c>
      <c r="AF45" s="412"/>
    </row>
    <row r="46" spans="2:32" x14ac:dyDescent="0.25">
      <c r="B46" s="413"/>
      <c r="C46" s="447" t="s">
        <v>433</v>
      </c>
      <c r="D46" s="448"/>
      <c r="E46" s="449"/>
      <c r="F46" s="1449">
        <v>3.5000000000000003E-2</v>
      </c>
      <c r="G46" s="450"/>
      <c r="H46" s="1720">
        <f>IFERROR(I46/'1B'!$L$20,"")</f>
        <v>87.5</v>
      </c>
      <c r="I46" s="451">
        <f>'8E'!I56</f>
        <v>7700</v>
      </c>
      <c r="J46" s="452">
        <f t="shared" si="21"/>
        <v>7969.5</v>
      </c>
      <c r="K46" s="452">
        <f t="shared" si="21"/>
        <v>8248.4325000000008</v>
      </c>
      <c r="L46" s="452">
        <f t="shared" si="21"/>
        <v>8537.1276375000016</v>
      </c>
      <c r="M46" s="452">
        <f t="shared" si="21"/>
        <v>8835.9271048125011</v>
      </c>
      <c r="N46" s="452">
        <f t="shared" si="21"/>
        <v>9145.1845534809381</v>
      </c>
      <c r="O46" s="453">
        <f t="shared" si="21"/>
        <v>9465.2660128527714</v>
      </c>
      <c r="P46" s="412"/>
      <c r="R46" s="413"/>
      <c r="S46" s="447" t="s">
        <v>433</v>
      </c>
      <c r="T46" s="448"/>
      <c r="U46" s="449"/>
      <c r="V46" s="1449">
        <v>3.5000000000000003E-2</v>
      </c>
      <c r="W46" s="450"/>
      <c r="X46" s="1720">
        <f>IFERROR(Y46/'1B'!$L$44,"")</f>
        <v>75</v>
      </c>
      <c r="Y46" s="451">
        <f>'8E'!Z56</f>
        <v>3000</v>
      </c>
      <c r="Z46" s="452">
        <f t="shared" si="22"/>
        <v>3105</v>
      </c>
      <c r="AA46" s="452">
        <f t="shared" si="16"/>
        <v>3213.6750000000002</v>
      </c>
      <c r="AB46" s="452">
        <f t="shared" si="17"/>
        <v>3326.1536250000004</v>
      </c>
      <c r="AC46" s="452">
        <f t="shared" si="18"/>
        <v>3442.5690018750006</v>
      </c>
      <c r="AD46" s="452">
        <f t="shared" si="19"/>
        <v>3563.0589169406257</v>
      </c>
      <c r="AE46" s="453">
        <f t="shared" si="20"/>
        <v>3687.7659790335479</v>
      </c>
      <c r="AF46" s="412"/>
    </row>
    <row r="47" spans="2:32" x14ac:dyDescent="0.25">
      <c r="B47" s="413"/>
      <c r="C47" s="447" t="s">
        <v>434</v>
      </c>
      <c r="D47" s="449"/>
      <c r="E47" s="449"/>
      <c r="F47" s="1449">
        <v>3.5000000000000003E-2</v>
      </c>
      <c r="G47" s="450"/>
      <c r="H47" s="1720">
        <f>IFERROR(I47/'1B'!$L$20,"")</f>
        <v>146.59090909090909</v>
      </c>
      <c r="I47" s="451">
        <f>'8E'!I57</f>
        <v>12900</v>
      </c>
      <c r="J47" s="452">
        <f t="shared" si="21"/>
        <v>13351.5</v>
      </c>
      <c r="K47" s="452">
        <f t="shared" si="21"/>
        <v>13818.8025</v>
      </c>
      <c r="L47" s="452">
        <f t="shared" si="21"/>
        <v>14302.4605875</v>
      </c>
      <c r="M47" s="452">
        <f t="shared" si="21"/>
        <v>14803.0467080625</v>
      </c>
      <c r="N47" s="452">
        <f t="shared" si="21"/>
        <v>15321.153342844687</v>
      </c>
      <c r="O47" s="453">
        <f t="shared" si="21"/>
        <v>15857.393709844251</v>
      </c>
      <c r="P47" s="412"/>
      <c r="R47" s="413"/>
      <c r="S47" s="447" t="s">
        <v>434</v>
      </c>
      <c r="T47" s="449"/>
      <c r="U47" s="449"/>
      <c r="V47" s="1449">
        <v>3.5000000000000003E-2</v>
      </c>
      <c r="W47" s="450"/>
      <c r="X47" s="1720">
        <f>IFERROR(Y47/'1B'!$L$44,"")</f>
        <v>139.5</v>
      </c>
      <c r="Y47" s="451">
        <f>'8E'!Z57</f>
        <v>5580</v>
      </c>
      <c r="Z47" s="452">
        <f t="shared" si="22"/>
        <v>5775.3</v>
      </c>
      <c r="AA47" s="452">
        <f t="shared" si="16"/>
        <v>5977.4355000000005</v>
      </c>
      <c r="AB47" s="452">
        <f t="shared" si="17"/>
        <v>6186.6457425000008</v>
      </c>
      <c r="AC47" s="452">
        <f t="shared" si="18"/>
        <v>6403.1783434875006</v>
      </c>
      <c r="AD47" s="452">
        <f t="shared" si="19"/>
        <v>6627.289585509563</v>
      </c>
      <c r="AE47" s="453">
        <f t="shared" si="20"/>
        <v>6859.2447210023975</v>
      </c>
      <c r="AF47" s="412"/>
    </row>
    <row r="48" spans="2:32" x14ac:dyDescent="0.25">
      <c r="B48" s="413"/>
      <c r="C48" s="447" t="s">
        <v>435</v>
      </c>
      <c r="D48" s="449"/>
      <c r="E48" s="449"/>
      <c r="F48" s="1449">
        <v>3.5000000000000003E-2</v>
      </c>
      <c r="G48" s="450"/>
      <c r="H48" s="1720">
        <f>IFERROR(I48/'1B'!$L$20,"")</f>
        <v>0</v>
      </c>
      <c r="I48" s="451">
        <f>'8E'!I58</f>
        <v>0</v>
      </c>
      <c r="J48" s="452">
        <f t="shared" si="21"/>
        <v>0</v>
      </c>
      <c r="K48" s="452">
        <f t="shared" si="21"/>
        <v>0</v>
      </c>
      <c r="L48" s="452">
        <f t="shared" si="21"/>
        <v>0</v>
      </c>
      <c r="M48" s="452">
        <f t="shared" si="21"/>
        <v>0</v>
      </c>
      <c r="N48" s="452">
        <f t="shared" si="21"/>
        <v>0</v>
      </c>
      <c r="O48" s="453">
        <f t="shared" si="21"/>
        <v>0</v>
      </c>
      <c r="P48" s="412"/>
      <c r="R48" s="413"/>
      <c r="S48" s="447" t="s">
        <v>435</v>
      </c>
      <c r="T48" s="449"/>
      <c r="U48" s="449"/>
      <c r="V48" s="1449">
        <v>3.5000000000000003E-2</v>
      </c>
      <c r="W48" s="450"/>
      <c r="X48" s="1720">
        <f>IFERROR(Y48/'1B'!$L$44,"")</f>
        <v>0</v>
      </c>
      <c r="Y48" s="451">
        <f>'8E'!Z58</f>
        <v>0</v>
      </c>
      <c r="Z48" s="452">
        <f t="shared" si="22"/>
        <v>0</v>
      </c>
      <c r="AA48" s="452">
        <f t="shared" si="16"/>
        <v>0</v>
      </c>
      <c r="AB48" s="452">
        <f t="shared" si="17"/>
        <v>0</v>
      </c>
      <c r="AC48" s="452">
        <f t="shared" si="18"/>
        <v>0</v>
      </c>
      <c r="AD48" s="452">
        <f t="shared" si="19"/>
        <v>0</v>
      </c>
      <c r="AE48" s="453">
        <f t="shared" si="20"/>
        <v>0</v>
      </c>
      <c r="AF48" s="412"/>
    </row>
    <row r="49" spans="2:32" x14ac:dyDescent="0.25">
      <c r="B49" s="413"/>
      <c r="C49" s="447" t="s">
        <v>436</v>
      </c>
      <c r="D49" s="449"/>
      <c r="E49" s="449"/>
      <c r="F49" s="1449">
        <v>3.5000000000000003E-2</v>
      </c>
      <c r="G49" s="450"/>
      <c r="H49" s="1720">
        <f>IFERROR(I49/'1B'!$L$20,"")</f>
        <v>0</v>
      </c>
      <c r="I49" s="451">
        <f>'8E'!I59</f>
        <v>0</v>
      </c>
      <c r="J49" s="452">
        <f t="shared" si="21"/>
        <v>0</v>
      </c>
      <c r="K49" s="452">
        <f t="shared" si="21"/>
        <v>0</v>
      </c>
      <c r="L49" s="452">
        <f t="shared" si="21"/>
        <v>0</v>
      </c>
      <c r="M49" s="452">
        <f t="shared" si="21"/>
        <v>0</v>
      </c>
      <c r="N49" s="452">
        <f t="shared" si="21"/>
        <v>0</v>
      </c>
      <c r="O49" s="453">
        <f t="shared" si="21"/>
        <v>0</v>
      </c>
      <c r="P49" s="412"/>
      <c r="R49" s="413"/>
      <c r="S49" s="447" t="s">
        <v>436</v>
      </c>
      <c r="T49" s="449"/>
      <c r="U49" s="449"/>
      <c r="V49" s="1449">
        <v>3.5000000000000003E-2</v>
      </c>
      <c r="W49" s="450"/>
      <c r="X49" s="1720">
        <f>IFERROR(Y49/'1B'!$L$44,"")</f>
        <v>0</v>
      </c>
      <c r="Y49" s="451">
        <f>'8E'!Z59</f>
        <v>0</v>
      </c>
      <c r="Z49" s="452">
        <f t="shared" si="22"/>
        <v>0</v>
      </c>
      <c r="AA49" s="452">
        <f t="shared" si="16"/>
        <v>0</v>
      </c>
      <c r="AB49" s="452">
        <f t="shared" si="17"/>
        <v>0</v>
      </c>
      <c r="AC49" s="452">
        <f t="shared" si="18"/>
        <v>0</v>
      </c>
      <c r="AD49" s="452">
        <f t="shared" si="19"/>
        <v>0</v>
      </c>
      <c r="AE49" s="453">
        <f t="shared" si="20"/>
        <v>0</v>
      </c>
      <c r="AF49" s="412"/>
    </row>
    <row r="50" spans="2:32" x14ac:dyDescent="0.25">
      <c r="B50" s="413"/>
      <c r="C50" s="447" t="s">
        <v>437</v>
      </c>
      <c r="D50" s="449"/>
      <c r="E50" s="449"/>
      <c r="F50" s="1449">
        <v>3.5000000000000003E-2</v>
      </c>
      <c r="G50" s="450"/>
      <c r="H50" s="1720">
        <f>IFERROR(I50/'1B'!$L$20,"")</f>
        <v>28.40909090909091</v>
      </c>
      <c r="I50" s="451">
        <f>'8E'!I60</f>
        <v>2500</v>
      </c>
      <c r="J50" s="452">
        <f t="shared" si="21"/>
        <v>2587.5</v>
      </c>
      <c r="K50" s="452">
        <f t="shared" si="21"/>
        <v>2678.0625</v>
      </c>
      <c r="L50" s="452">
        <f t="shared" si="21"/>
        <v>2771.7946874999998</v>
      </c>
      <c r="M50" s="452">
        <f t="shared" si="21"/>
        <v>2868.8075015625</v>
      </c>
      <c r="N50" s="452">
        <f t="shared" si="21"/>
        <v>2969.2157641171875</v>
      </c>
      <c r="O50" s="453">
        <f t="shared" si="21"/>
        <v>3073.1383158612889</v>
      </c>
      <c r="P50" s="412"/>
      <c r="R50" s="413"/>
      <c r="S50" s="447" t="s">
        <v>437</v>
      </c>
      <c r="T50" s="449"/>
      <c r="U50" s="449"/>
      <c r="V50" s="1449">
        <v>3.5000000000000003E-2</v>
      </c>
      <c r="W50" s="450"/>
      <c r="X50" s="1720">
        <f>IFERROR(Y50/'1B'!$L$44,"")</f>
        <v>62.5</v>
      </c>
      <c r="Y50" s="451">
        <f>'8E'!Z60</f>
        <v>2500</v>
      </c>
      <c r="Z50" s="452">
        <f t="shared" si="22"/>
        <v>2587.5</v>
      </c>
      <c r="AA50" s="452">
        <f t="shared" si="16"/>
        <v>2678.0625</v>
      </c>
      <c r="AB50" s="452">
        <f t="shared" si="17"/>
        <v>2771.7946874999998</v>
      </c>
      <c r="AC50" s="452">
        <f t="shared" si="18"/>
        <v>2868.8075015625</v>
      </c>
      <c r="AD50" s="452">
        <f t="shared" si="19"/>
        <v>2969.2157641171875</v>
      </c>
      <c r="AE50" s="453">
        <f t="shared" si="20"/>
        <v>3073.1383158612889</v>
      </c>
      <c r="AF50" s="412"/>
    </row>
    <row r="51" spans="2:32" x14ac:dyDescent="0.25">
      <c r="B51" s="413"/>
      <c r="C51" s="447" t="s">
        <v>438</v>
      </c>
      <c r="D51" s="448"/>
      <c r="E51" s="449"/>
      <c r="F51" s="1449">
        <v>3.5000000000000003E-2</v>
      </c>
      <c r="G51" s="450"/>
      <c r="H51" s="1720">
        <f>IFERROR(I51/'1B'!$L$20,"")</f>
        <v>957</v>
      </c>
      <c r="I51" s="451">
        <f>'8E'!I61</f>
        <v>84216</v>
      </c>
      <c r="J51" s="452">
        <f t="shared" si="21"/>
        <v>87163.56</v>
      </c>
      <c r="K51" s="452">
        <f t="shared" si="21"/>
        <v>90214.284599999999</v>
      </c>
      <c r="L51" s="452">
        <f t="shared" si="21"/>
        <v>93371.784560999993</v>
      </c>
      <c r="M51" s="452">
        <f t="shared" si="21"/>
        <v>96639.797020635</v>
      </c>
      <c r="N51" s="452">
        <f t="shared" si="21"/>
        <v>100022.18991635722</v>
      </c>
      <c r="O51" s="453">
        <f t="shared" si="21"/>
        <v>103522.96656342973</v>
      </c>
      <c r="P51" s="412"/>
      <c r="R51" s="413"/>
      <c r="S51" s="447" t="s">
        <v>438</v>
      </c>
      <c r="T51" s="448"/>
      <c r="U51" s="449"/>
      <c r="V51" s="1449">
        <v>3.5000000000000003E-2</v>
      </c>
      <c r="W51" s="450"/>
      <c r="X51" s="1720">
        <f>IFERROR(Y51/'1B'!$L$44,"")</f>
        <v>1100</v>
      </c>
      <c r="Y51" s="451">
        <f>'8E'!Z61</f>
        <v>44000</v>
      </c>
      <c r="Z51" s="452">
        <f t="shared" si="22"/>
        <v>45540</v>
      </c>
      <c r="AA51" s="452">
        <f t="shared" si="16"/>
        <v>47133.9</v>
      </c>
      <c r="AB51" s="452">
        <f t="shared" si="17"/>
        <v>48783.586500000005</v>
      </c>
      <c r="AC51" s="452">
        <f t="shared" si="18"/>
        <v>50491.012027500008</v>
      </c>
      <c r="AD51" s="452">
        <f t="shared" si="19"/>
        <v>52258.19744846251</v>
      </c>
      <c r="AE51" s="453">
        <f t="shared" si="20"/>
        <v>54087.234359158698</v>
      </c>
      <c r="AF51" s="412"/>
    </row>
    <row r="52" spans="2:32" x14ac:dyDescent="0.25">
      <c r="B52" s="413"/>
      <c r="C52" s="447" t="s">
        <v>439</v>
      </c>
      <c r="D52" s="448"/>
      <c r="E52" s="449"/>
      <c r="F52" s="1449">
        <v>3.5000000000000003E-2</v>
      </c>
      <c r="G52" s="450"/>
      <c r="H52" s="1720">
        <f>IFERROR(I52/'1B'!$L$20,"")</f>
        <v>200</v>
      </c>
      <c r="I52" s="451">
        <f>'8E'!I62</f>
        <v>17600</v>
      </c>
      <c r="J52" s="452">
        <f t="shared" si="21"/>
        <v>18216</v>
      </c>
      <c r="K52" s="452">
        <f t="shared" si="21"/>
        <v>18853.560000000001</v>
      </c>
      <c r="L52" s="452">
        <f t="shared" si="21"/>
        <v>19513.434600000001</v>
      </c>
      <c r="M52" s="452">
        <f t="shared" si="21"/>
        <v>20196.404811</v>
      </c>
      <c r="N52" s="452">
        <f t="shared" si="21"/>
        <v>20903.278979384999</v>
      </c>
      <c r="O52" s="453">
        <f t="shared" si="21"/>
        <v>21634.893743663473</v>
      </c>
      <c r="P52" s="412"/>
      <c r="R52" s="413"/>
      <c r="S52" s="447" t="s">
        <v>439</v>
      </c>
      <c r="T52" s="448"/>
      <c r="U52" s="449"/>
      <c r="V52" s="1449">
        <v>3.5000000000000003E-2</v>
      </c>
      <c r="W52" s="450"/>
      <c r="X52" s="1720">
        <f>IFERROR(Y52/'1B'!$L$44,"")</f>
        <v>315</v>
      </c>
      <c r="Y52" s="451">
        <f>'8E'!Z62</f>
        <v>12600</v>
      </c>
      <c r="Z52" s="452">
        <f t="shared" si="22"/>
        <v>13041</v>
      </c>
      <c r="AA52" s="452">
        <f t="shared" si="16"/>
        <v>13497.434999999999</v>
      </c>
      <c r="AB52" s="452">
        <f t="shared" si="17"/>
        <v>13969.845224999999</v>
      </c>
      <c r="AC52" s="452">
        <f t="shared" si="18"/>
        <v>14458.789807874999</v>
      </c>
      <c r="AD52" s="452">
        <f t="shared" si="19"/>
        <v>14964.847451150623</v>
      </c>
      <c r="AE52" s="453">
        <f t="shared" si="20"/>
        <v>15488.617111940895</v>
      </c>
      <c r="AF52" s="412"/>
    </row>
    <row r="53" spans="2:32" x14ac:dyDescent="0.25">
      <c r="B53" s="454"/>
      <c r="C53" s="447" t="s">
        <v>440</v>
      </c>
      <c r="D53" s="448"/>
      <c r="E53" s="449"/>
      <c r="F53" s="1449">
        <v>3.5000000000000003E-2</v>
      </c>
      <c r="G53" s="450"/>
      <c r="H53" s="1720">
        <f>IFERROR(I53/'1B'!$L$20,"")</f>
        <v>200</v>
      </c>
      <c r="I53" s="451">
        <f>'8E'!I63</f>
        <v>17600</v>
      </c>
      <c r="J53" s="452">
        <f t="shared" ref="J53:O55" si="23">I53+(I53*$F53)</f>
        <v>18216</v>
      </c>
      <c r="K53" s="452">
        <f t="shared" si="23"/>
        <v>18853.560000000001</v>
      </c>
      <c r="L53" s="452">
        <f t="shared" si="23"/>
        <v>19513.434600000001</v>
      </c>
      <c r="M53" s="452">
        <f t="shared" si="23"/>
        <v>20196.404811</v>
      </c>
      <c r="N53" s="452">
        <f t="shared" si="23"/>
        <v>20903.278979384999</v>
      </c>
      <c r="O53" s="453">
        <f t="shared" si="23"/>
        <v>21634.893743663473</v>
      </c>
      <c r="P53" s="455"/>
      <c r="R53" s="454"/>
      <c r="S53" s="447" t="s">
        <v>440</v>
      </c>
      <c r="T53" s="448"/>
      <c r="U53" s="449"/>
      <c r="V53" s="1449">
        <v>3.5000000000000003E-2</v>
      </c>
      <c r="W53" s="450"/>
      <c r="X53" s="1720">
        <f>IFERROR(Y53/'1B'!$L$44,"")</f>
        <v>275</v>
      </c>
      <c r="Y53" s="451">
        <f>'8E'!Z63</f>
        <v>11000</v>
      </c>
      <c r="Z53" s="452">
        <f t="shared" si="22"/>
        <v>11385</v>
      </c>
      <c r="AA53" s="452">
        <f t="shared" si="16"/>
        <v>11783.475</v>
      </c>
      <c r="AB53" s="452">
        <f t="shared" si="17"/>
        <v>12195.896625000001</v>
      </c>
      <c r="AC53" s="452">
        <f t="shared" si="18"/>
        <v>12622.753006875002</v>
      </c>
      <c r="AD53" s="452">
        <f t="shared" si="19"/>
        <v>13064.549362115627</v>
      </c>
      <c r="AE53" s="453">
        <f t="shared" si="20"/>
        <v>13521.808589789674</v>
      </c>
      <c r="AF53" s="455"/>
    </row>
    <row r="54" spans="2:32" x14ac:dyDescent="0.25">
      <c r="B54" s="413"/>
      <c r="C54" s="447" t="s">
        <v>441</v>
      </c>
      <c r="D54" s="449"/>
      <c r="E54" s="449"/>
      <c r="F54" s="1449">
        <v>3.5000000000000003E-2</v>
      </c>
      <c r="G54" s="450"/>
      <c r="H54" s="1720">
        <f>IFERROR(I54/'1B'!$L$20,"")</f>
        <v>160</v>
      </c>
      <c r="I54" s="451">
        <f>'8E'!I64</f>
        <v>14080</v>
      </c>
      <c r="J54" s="452">
        <f t="shared" si="23"/>
        <v>14572.8</v>
      </c>
      <c r="K54" s="452">
        <f t="shared" si="23"/>
        <v>15082.848</v>
      </c>
      <c r="L54" s="452">
        <f t="shared" si="23"/>
        <v>15610.74768</v>
      </c>
      <c r="M54" s="452">
        <f t="shared" si="23"/>
        <v>16157.1238488</v>
      </c>
      <c r="N54" s="452">
        <f t="shared" si="23"/>
        <v>16722.623183508</v>
      </c>
      <c r="O54" s="453">
        <f t="shared" si="23"/>
        <v>17307.914994930779</v>
      </c>
      <c r="P54" s="412"/>
      <c r="R54" s="413"/>
      <c r="S54" s="447" t="s">
        <v>441</v>
      </c>
      <c r="T54" s="449"/>
      <c r="U54" s="449"/>
      <c r="V54" s="1449">
        <v>3.5000000000000003E-2</v>
      </c>
      <c r="W54" s="450"/>
      <c r="X54" s="1720">
        <f>IFERROR(Y54/'1B'!$L$44,"")</f>
        <v>200</v>
      </c>
      <c r="Y54" s="451">
        <f>'8E'!Z64</f>
        <v>8000</v>
      </c>
      <c r="Z54" s="452">
        <f t="shared" si="22"/>
        <v>8280</v>
      </c>
      <c r="AA54" s="452">
        <f t="shared" si="16"/>
        <v>8569.7999999999993</v>
      </c>
      <c r="AB54" s="452">
        <f t="shared" si="17"/>
        <v>8869.7429999999986</v>
      </c>
      <c r="AC54" s="452">
        <f t="shared" si="18"/>
        <v>9180.1840049999992</v>
      </c>
      <c r="AD54" s="452">
        <f t="shared" si="19"/>
        <v>9501.490445174999</v>
      </c>
      <c r="AE54" s="453">
        <f t="shared" si="20"/>
        <v>9834.0426107561234</v>
      </c>
      <c r="AF54" s="412"/>
    </row>
    <row r="55" spans="2:32" x14ac:dyDescent="0.25">
      <c r="B55" s="413"/>
      <c r="C55" s="447" t="s">
        <v>442</v>
      </c>
      <c r="D55" s="449"/>
      <c r="E55" s="449"/>
      <c r="F55" s="1449">
        <v>3.5000000000000003E-2</v>
      </c>
      <c r="G55" s="450"/>
      <c r="H55" s="1720">
        <f>IFERROR(I55/'1B'!$L$20,"")</f>
        <v>100</v>
      </c>
      <c r="I55" s="451">
        <f>'8E'!I65</f>
        <v>8800</v>
      </c>
      <c r="J55" s="452">
        <f t="shared" si="23"/>
        <v>9108</v>
      </c>
      <c r="K55" s="452">
        <f t="shared" si="23"/>
        <v>9426.7800000000007</v>
      </c>
      <c r="L55" s="452">
        <f t="shared" si="23"/>
        <v>9756.7173000000003</v>
      </c>
      <c r="M55" s="452">
        <f t="shared" si="23"/>
        <v>10098.2024055</v>
      </c>
      <c r="N55" s="452">
        <f t="shared" si="23"/>
        <v>10451.639489692499</v>
      </c>
      <c r="O55" s="453">
        <f t="shared" si="23"/>
        <v>10817.446871831737</v>
      </c>
      <c r="P55" s="412"/>
      <c r="R55" s="413"/>
      <c r="S55" s="447" t="s">
        <v>442</v>
      </c>
      <c r="T55" s="449"/>
      <c r="U55" s="449"/>
      <c r="V55" s="1449">
        <v>3.5000000000000003E-2</v>
      </c>
      <c r="W55" s="450"/>
      <c r="X55" s="1720">
        <f>IFERROR(Y55/'1B'!$L$44,"")</f>
        <v>100</v>
      </c>
      <c r="Y55" s="451">
        <f>'8E'!Z65</f>
        <v>4000</v>
      </c>
      <c r="Z55" s="452">
        <f t="shared" si="22"/>
        <v>4140</v>
      </c>
      <c r="AA55" s="452">
        <f t="shared" si="16"/>
        <v>4284.8999999999996</v>
      </c>
      <c r="AB55" s="452">
        <f t="shared" si="17"/>
        <v>4434.8714999999993</v>
      </c>
      <c r="AC55" s="452">
        <f t="shared" si="18"/>
        <v>4590.0920024999996</v>
      </c>
      <c r="AD55" s="452">
        <f t="shared" si="19"/>
        <v>4750.7452225874995</v>
      </c>
      <c r="AE55" s="453">
        <f t="shared" si="20"/>
        <v>4917.0213053780617</v>
      </c>
      <c r="AF55" s="412"/>
    </row>
    <row r="56" spans="2:32" ht="15.75" thickBot="1" x14ac:dyDescent="0.3">
      <c r="B56" s="413"/>
      <c r="C56" s="456" t="s">
        <v>240</v>
      </c>
      <c r="D56" s="457"/>
      <c r="E56" s="458"/>
      <c r="F56" s="1450">
        <v>3.5000000000000003E-2</v>
      </c>
      <c r="G56" s="450"/>
      <c r="H56" s="1721">
        <f>IFERROR(I56/'1B'!$L$20,"")</f>
        <v>266.71590909090907</v>
      </c>
      <c r="I56" s="459">
        <f>'8E'!I66</f>
        <v>23471</v>
      </c>
      <c r="J56" s="460">
        <f>'8E'!J66</f>
        <v>23471</v>
      </c>
      <c r="K56" s="460">
        <f>'8E'!K66</f>
        <v>23471</v>
      </c>
      <c r="L56" s="460">
        <f>'8E'!L66</f>
        <v>23471</v>
      </c>
      <c r="M56" s="460">
        <f>'8E'!M66</f>
        <v>23471</v>
      </c>
      <c r="N56" s="460">
        <f>'8E'!N66</f>
        <v>23471</v>
      </c>
      <c r="O56" s="461">
        <f>'8E'!O66</f>
        <v>23471</v>
      </c>
      <c r="P56" s="412"/>
      <c r="R56" s="413"/>
      <c r="S56" s="456" t="s">
        <v>240</v>
      </c>
      <c r="T56" s="457"/>
      <c r="U56" s="458"/>
      <c r="V56" s="1450">
        <v>3.5000000000000003E-2</v>
      </c>
      <c r="W56" s="450"/>
      <c r="X56" s="1721">
        <f>IFERROR(Y56/'1B'!$L$44,"")</f>
        <v>45</v>
      </c>
      <c r="Y56" s="451">
        <f>'8E'!Z66</f>
        <v>1800</v>
      </c>
      <c r="Z56" s="460">
        <f>'8E'!AA66</f>
        <v>1800</v>
      </c>
      <c r="AA56" s="460">
        <f>'8E'!AB66</f>
        <v>1800</v>
      </c>
      <c r="AB56" s="460">
        <f>'8E'!AC66</f>
        <v>1800</v>
      </c>
      <c r="AC56" s="460">
        <f>'8E'!AD66</f>
        <v>1800</v>
      </c>
      <c r="AD56" s="460">
        <f>'8E'!AE66</f>
        <v>1800</v>
      </c>
      <c r="AE56" s="461">
        <f>'8E'!AF66</f>
        <v>1800</v>
      </c>
      <c r="AF56" s="412"/>
    </row>
    <row r="57" spans="2:32" ht="15.75" thickBot="1" x14ac:dyDescent="0.3">
      <c r="B57" s="413"/>
      <c r="C57" s="370" t="s">
        <v>443</v>
      </c>
      <c r="D57" s="428"/>
      <c r="E57" s="411"/>
      <c r="F57" s="429"/>
      <c r="G57" s="411"/>
      <c r="H57" s="1721">
        <f>IFERROR(I57/'1B'!$L$20,"")</f>
        <v>5772.965909090909</v>
      </c>
      <c r="I57" s="364">
        <f>SUM(I36:I56)</f>
        <v>508021</v>
      </c>
      <c r="J57" s="365">
        <f t="shared" ref="J57:O57" si="24">SUM(J36:J56)</f>
        <v>524980.25</v>
      </c>
      <c r="K57" s="365">
        <f t="shared" si="24"/>
        <v>542533.07374999998</v>
      </c>
      <c r="L57" s="365">
        <f t="shared" si="24"/>
        <v>560700.24633125006</v>
      </c>
      <c r="M57" s="365">
        <f t="shared" si="24"/>
        <v>579503.26995284378</v>
      </c>
      <c r="N57" s="365">
        <f t="shared" si="24"/>
        <v>598964.39940119337</v>
      </c>
      <c r="O57" s="366">
        <f t="shared" si="24"/>
        <v>619106.66838023497</v>
      </c>
      <c r="P57" s="412"/>
      <c r="R57" s="413"/>
      <c r="S57" s="370" t="s">
        <v>443</v>
      </c>
      <c r="T57" s="428"/>
      <c r="U57" s="411"/>
      <c r="V57" s="429"/>
      <c r="W57" s="411"/>
      <c r="X57" s="1721">
        <f>IFERROR(Y57/'1B'!$L$44,"")</f>
        <v>6074.75</v>
      </c>
      <c r="Y57" s="364">
        <f>SUM(Y36:Y56)</f>
        <v>242990</v>
      </c>
      <c r="Z57" s="365">
        <f t="shared" ref="Z57:AE57" si="25">SUM(Z36:Z56)</f>
        <v>251431.65</v>
      </c>
      <c r="AA57" s="365">
        <f t="shared" si="25"/>
        <v>260168.75774999996</v>
      </c>
      <c r="AB57" s="365">
        <f t="shared" si="25"/>
        <v>269211.66427125002</v>
      </c>
      <c r="AC57" s="365">
        <f t="shared" si="25"/>
        <v>278571.07252074376</v>
      </c>
      <c r="AD57" s="365">
        <f t="shared" si="25"/>
        <v>288258.06005896971</v>
      </c>
      <c r="AE57" s="366">
        <f t="shared" si="25"/>
        <v>298284.09216103371</v>
      </c>
      <c r="AF57" s="412"/>
    </row>
    <row r="58" spans="2:32" ht="15.75" thickBot="1" x14ac:dyDescent="0.3">
      <c r="B58" s="413"/>
      <c r="C58" s="370"/>
      <c r="D58" s="428"/>
      <c r="E58" s="411"/>
      <c r="F58" s="437" t="s">
        <v>408</v>
      </c>
      <c r="G58" s="414"/>
      <c r="H58" s="1722"/>
      <c r="I58" s="367"/>
      <c r="J58" s="368"/>
      <c r="K58" s="368"/>
      <c r="L58" s="368"/>
      <c r="M58" s="368"/>
      <c r="N58" s="368"/>
      <c r="O58" s="369"/>
      <c r="P58" s="412"/>
      <c r="R58" s="413"/>
      <c r="S58" s="370"/>
      <c r="T58" s="428"/>
      <c r="U58" s="411"/>
      <c r="V58" s="437" t="s">
        <v>408</v>
      </c>
      <c r="W58" s="414"/>
      <c r="X58" s="1722"/>
      <c r="Y58" s="367"/>
      <c r="Z58" s="368"/>
      <c r="AA58" s="368"/>
      <c r="AB58" s="368"/>
      <c r="AC58" s="368"/>
      <c r="AD58" s="368"/>
      <c r="AE58" s="369"/>
      <c r="AF58" s="412"/>
    </row>
    <row r="59" spans="2:32" x14ac:dyDescent="0.25">
      <c r="B59" s="446"/>
      <c r="C59" s="462" t="s">
        <v>444</v>
      </c>
      <c r="D59" s="463"/>
      <c r="E59" s="442"/>
      <c r="F59" s="1438">
        <v>3.5000000000000003E-2</v>
      </c>
      <c r="G59" s="442"/>
      <c r="H59" s="1719">
        <f>IFERROR(I59/'1B'!$L$20,"")</f>
        <v>350</v>
      </c>
      <c r="I59" s="464">
        <f>'8E'!I69</f>
        <v>30800</v>
      </c>
      <c r="J59" s="452">
        <f t="shared" ref="J59:O60" si="26">I59+(I59*$F59)</f>
        <v>31878</v>
      </c>
      <c r="K59" s="452">
        <f t="shared" si="26"/>
        <v>32993.730000000003</v>
      </c>
      <c r="L59" s="452">
        <f t="shared" si="26"/>
        <v>34148.510550000006</v>
      </c>
      <c r="M59" s="452">
        <f t="shared" si="26"/>
        <v>35343.708419250004</v>
      </c>
      <c r="N59" s="452">
        <f t="shared" si="26"/>
        <v>36580.738213923752</v>
      </c>
      <c r="O59" s="453">
        <f t="shared" si="26"/>
        <v>37861.064051411086</v>
      </c>
      <c r="P59" s="412"/>
      <c r="R59" s="446"/>
      <c r="S59" s="462" t="s">
        <v>444</v>
      </c>
      <c r="T59" s="463"/>
      <c r="U59" s="442"/>
      <c r="V59" s="1438">
        <v>3.5000000000000003E-2</v>
      </c>
      <c r="W59" s="442"/>
      <c r="X59" s="1719">
        <f>IFERROR(Y59/'1B'!$L$44,"")</f>
        <v>350</v>
      </c>
      <c r="Y59" s="464">
        <f>'8E'!Z69</f>
        <v>14000</v>
      </c>
      <c r="Z59" s="452">
        <f t="shared" ref="Z59:AE60" si="27">Y59+(Y59*$F59)</f>
        <v>14490</v>
      </c>
      <c r="AA59" s="452">
        <f t="shared" si="27"/>
        <v>14997.15</v>
      </c>
      <c r="AB59" s="452">
        <f t="shared" si="27"/>
        <v>15522.05025</v>
      </c>
      <c r="AC59" s="452">
        <f t="shared" si="27"/>
        <v>16065.322008749999</v>
      </c>
      <c r="AD59" s="452">
        <f t="shared" si="27"/>
        <v>16627.60827905625</v>
      </c>
      <c r="AE59" s="453">
        <f t="shared" si="27"/>
        <v>17209.57456882322</v>
      </c>
      <c r="AF59" s="412"/>
    </row>
    <row r="60" spans="2:32" ht="15.75" thickBot="1" x14ac:dyDescent="0.3">
      <c r="B60" s="446"/>
      <c r="C60" s="465" t="s">
        <v>445</v>
      </c>
      <c r="D60" s="457"/>
      <c r="E60" s="458"/>
      <c r="F60" s="1451">
        <v>3.5000000000000003E-2</v>
      </c>
      <c r="G60" s="450"/>
      <c r="H60" s="1721">
        <f>IFERROR(I60/'1B'!$L$20,"")</f>
        <v>0</v>
      </c>
      <c r="I60" s="675">
        <f>'8E'!I70</f>
        <v>0</v>
      </c>
      <c r="J60" s="460">
        <f t="shared" si="26"/>
        <v>0</v>
      </c>
      <c r="K60" s="460">
        <f t="shared" si="26"/>
        <v>0</v>
      </c>
      <c r="L60" s="460">
        <f t="shared" si="26"/>
        <v>0</v>
      </c>
      <c r="M60" s="460">
        <f t="shared" si="26"/>
        <v>0</v>
      </c>
      <c r="N60" s="460">
        <f t="shared" si="26"/>
        <v>0</v>
      </c>
      <c r="O60" s="461">
        <f t="shared" si="26"/>
        <v>0</v>
      </c>
      <c r="P60" s="412"/>
      <c r="R60" s="446"/>
      <c r="S60" s="465" t="s">
        <v>445</v>
      </c>
      <c r="T60" s="457"/>
      <c r="U60" s="458"/>
      <c r="V60" s="1451">
        <v>3.5000000000000003E-2</v>
      </c>
      <c r="W60" s="450"/>
      <c r="X60" s="363">
        <f>IFERROR(Y60/'1B'!$L$44,"")</f>
        <v>0</v>
      </c>
      <c r="Y60" s="675">
        <f>'8E'!AA70</f>
        <v>0</v>
      </c>
      <c r="Z60" s="460">
        <f t="shared" si="27"/>
        <v>0</v>
      </c>
      <c r="AA60" s="460">
        <f t="shared" si="27"/>
        <v>0</v>
      </c>
      <c r="AB60" s="460">
        <f t="shared" si="27"/>
        <v>0</v>
      </c>
      <c r="AC60" s="460">
        <f t="shared" si="27"/>
        <v>0</v>
      </c>
      <c r="AD60" s="460">
        <f t="shared" si="27"/>
        <v>0</v>
      </c>
      <c r="AE60" s="461">
        <f t="shared" si="27"/>
        <v>0</v>
      </c>
      <c r="AF60" s="412"/>
    </row>
    <row r="61" spans="2:32" x14ac:dyDescent="0.25">
      <c r="B61" s="446"/>
      <c r="C61" s="370" t="s">
        <v>446</v>
      </c>
      <c r="D61" s="428"/>
      <c r="E61" s="428"/>
      <c r="F61" s="428"/>
      <c r="G61" s="411"/>
      <c r="H61" s="1723">
        <f>IFERROR(I61/'1B'!$L$44,"")</f>
        <v>770</v>
      </c>
      <c r="I61" s="364">
        <f>SUM(I59:I60)</f>
        <v>30800</v>
      </c>
      <c r="J61" s="365">
        <f t="shared" ref="J61:O61" si="28">SUM(J59:J60)</f>
        <v>31878</v>
      </c>
      <c r="K61" s="365">
        <f t="shared" si="28"/>
        <v>32993.730000000003</v>
      </c>
      <c r="L61" s="365">
        <f t="shared" si="28"/>
        <v>34148.510550000006</v>
      </c>
      <c r="M61" s="365">
        <f t="shared" si="28"/>
        <v>35343.708419250004</v>
      </c>
      <c r="N61" s="365">
        <f t="shared" si="28"/>
        <v>36580.738213923752</v>
      </c>
      <c r="O61" s="366">
        <f t="shared" si="28"/>
        <v>37861.064051411086</v>
      </c>
      <c r="P61" s="412"/>
      <c r="R61" s="446"/>
      <c r="S61" s="370" t="s">
        <v>446</v>
      </c>
      <c r="T61" s="428"/>
      <c r="U61" s="428"/>
      <c r="V61" s="428"/>
      <c r="W61" s="411"/>
      <c r="X61" s="1725">
        <f>IFERROR(Y61/'1B'!$L$44,"")</f>
        <v>350</v>
      </c>
      <c r="Y61" s="364">
        <f>SUM(Y59:Y60)</f>
        <v>14000</v>
      </c>
      <c r="Z61" s="365">
        <f t="shared" ref="Z61:AE61" si="29">SUM(Z59:Z60)</f>
        <v>14490</v>
      </c>
      <c r="AA61" s="365">
        <f t="shared" si="29"/>
        <v>14997.15</v>
      </c>
      <c r="AB61" s="365">
        <f t="shared" si="29"/>
        <v>15522.05025</v>
      </c>
      <c r="AC61" s="365">
        <f t="shared" si="29"/>
        <v>16065.322008749999</v>
      </c>
      <c r="AD61" s="365">
        <f t="shared" si="29"/>
        <v>16627.60827905625</v>
      </c>
      <c r="AE61" s="366">
        <f t="shared" si="29"/>
        <v>17209.57456882322</v>
      </c>
      <c r="AF61" s="412"/>
    </row>
    <row r="62" spans="2:32" ht="7.5" customHeight="1" thickBot="1" x14ac:dyDescent="0.3">
      <c r="B62" s="446"/>
      <c r="C62" s="370"/>
      <c r="D62" s="428"/>
      <c r="E62" s="428"/>
      <c r="F62" s="428"/>
      <c r="G62" s="411"/>
      <c r="H62" s="1723"/>
      <c r="I62" s="367"/>
      <c r="J62" s="368"/>
      <c r="K62" s="368"/>
      <c r="L62" s="368"/>
      <c r="M62" s="368"/>
      <c r="N62" s="368"/>
      <c r="O62" s="369"/>
      <c r="P62" s="412"/>
      <c r="R62" s="446"/>
      <c r="S62" s="370"/>
      <c r="T62" s="428"/>
      <c r="U62" s="428"/>
      <c r="V62" s="428"/>
      <c r="W62" s="411"/>
      <c r="X62" s="466"/>
      <c r="Y62" s="367"/>
      <c r="Z62" s="368"/>
      <c r="AA62" s="368"/>
      <c r="AB62" s="368"/>
      <c r="AC62" s="368"/>
      <c r="AD62" s="368"/>
      <c r="AE62" s="369"/>
      <c r="AF62" s="412"/>
    </row>
    <row r="63" spans="2:32" ht="15.75" thickBot="1" x14ac:dyDescent="0.3">
      <c r="B63" s="413"/>
      <c r="C63" s="370" t="s">
        <v>447</v>
      </c>
      <c r="D63" s="428"/>
      <c r="E63" s="239"/>
      <c r="F63" s="1452">
        <v>3.5000000000000003E-2</v>
      </c>
      <c r="G63" s="442"/>
      <c r="H63" s="1724">
        <f>IFERROR(I63/'1B'!$L$20,"")</f>
        <v>737.45454545454527</v>
      </c>
      <c r="I63" s="371">
        <f>'8D'!K43</f>
        <v>64895.999999999985</v>
      </c>
      <c r="J63" s="467">
        <f>I63+(I63*$F63)</f>
        <v>67167.359999999986</v>
      </c>
      <c r="K63" s="467">
        <f t="shared" ref="K63:O65" si="30">J63+(J63*$F63)</f>
        <v>69518.217599999989</v>
      </c>
      <c r="L63" s="467">
        <f t="shared" si="30"/>
        <v>71951.355215999996</v>
      </c>
      <c r="M63" s="467">
        <f t="shared" si="30"/>
        <v>74469.65264855999</v>
      </c>
      <c r="N63" s="467">
        <f t="shared" si="30"/>
        <v>77076.090491259587</v>
      </c>
      <c r="O63" s="468">
        <f t="shared" si="30"/>
        <v>79773.753658453672</v>
      </c>
      <c r="P63" s="412"/>
      <c r="R63" s="413"/>
      <c r="S63" s="370" t="s">
        <v>447</v>
      </c>
      <c r="T63" s="428"/>
      <c r="U63" s="239"/>
      <c r="V63" s="1452">
        <v>3.5000000000000003E-2</v>
      </c>
      <c r="W63" s="442"/>
      <c r="X63" s="1193">
        <f>IFERROR(Y63/'1B'!$L$44,"")</f>
        <v>0</v>
      </c>
      <c r="Y63" s="371">
        <v>0</v>
      </c>
      <c r="Z63" s="467">
        <f t="shared" ref="Z63:AE63" si="31">Y63+(Y63*$F63)</f>
        <v>0</v>
      </c>
      <c r="AA63" s="467">
        <f t="shared" si="31"/>
        <v>0</v>
      </c>
      <c r="AB63" s="467">
        <f t="shared" si="31"/>
        <v>0</v>
      </c>
      <c r="AC63" s="467">
        <f t="shared" si="31"/>
        <v>0</v>
      </c>
      <c r="AD63" s="467">
        <f t="shared" si="31"/>
        <v>0</v>
      </c>
      <c r="AE63" s="468">
        <f t="shared" si="31"/>
        <v>0</v>
      </c>
      <c r="AF63" s="412"/>
    </row>
    <row r="64" spans="2:32" ht="7.5" customHeight="1" thickBot="1" x14ac:dyDescent="0.3">
      <c r="B64" s="413"/>
      <c r="C64" s="370"/>
      <c r="D64" s="428"/>
      <c r="E64" s="239"/>
      <c r="F64" s="428"/>
      <c r="G64" s="411"/>
      <c r="H64" s="466"/>
      <c r="I64" s="367"/>
      <c r="J64" s="368"/>
      <c r="K64" s="368"/>
      <c r="L64" s="368"/>
      <c r="M64" s="368"/>
      <c r="N64" s="368"/>
      <c r="O64" s="369"/>
      <c r="P64" s="412"/>
      <c r="R64" s="413"/>
      <c r="S64" s="370"/>
      <c r="T64" s="428"/>
      <c r="U64" s="239"/>
      <c r="V64" s="428"/>
      <c r="W64" s="411"/>
      <c r="X64" s="466"/>
      <c r="Y64" s="367"/>
      <c r="Z64" s="368"/>
      <c r="AA64" s="368"/>
      <c r="AB64" s="368"/>
      <c r="AC64" s="368"/>
      <c r="AD64" s="368"/>
      <c r="AE64" s="369"/>
      <c r="AF64" s="412"/>
    </row>
    <row r="65" spans="2:32" ht="15.75" thickBot="1" x14ac:dyDescent="0.3">
      <c r="B65" s="413"/>
      <c r="C65" s="469" t="s">
        <v>448</v>
      </c>
      <c r="D65" s="431"/>
      <c r="E65" s="431"/>
      <c r="F65" s="1453">
        <v>0</v>
      </c>
      <c r="G65" s="470"/>
      <c r="H65" s="431"/>
      <c r="I65" s="1454">
        <f>'8E'!I75</f>
        <v>0</v>
      </c>
      <c r="J65" s="1455">
        <f>I65+(I65*$F65)</f>
        <v>0</v>
      </c>
      <c r="K65" s="1455">
        <f t="shared" si="30"/>
        <v>0</v>
      </c>
      <c r="L65" s="1455">
        <f t="shared" si="30"/>
        <v>0</v>
      </c>
      <c r="M65" s="1455">
        <f t="shared" si="30"/>
        <v>0</v>
      </c>
      <c r="N65" s="1455">
        <f t="shared" si="30"/>
        <v>0</v>
      </c>
      <c r="O65" s="1456">
        <f t="shared" si="30"/>
        <v>0</v>
      </c>
      <c r="P65" s="412"/>
      <c r="R65" s="413"/>
      <c r="S65" s="469" t="s">
        <v>448</v>
      </c>
      <c r="T65" s="431"/>
      <c r="U65" s="431"/>
      <c r="V65" s="1453">
        <v>0</v>
      </c>
      <c r="W65" s="470"/>
      <c r="X65" s="431"/>
      <c r="Y65" s="1454">
        <f>'8E'!AA75</f>
        <v>0</v>
      </c>
      <c r="Z65" s="1455">
        <f t="shared" ref="Z65:AE65" si="32">Y65+(Y65*$F65)</f>
        <v>0</v>
      </c>
      <c r="AA65" s="1455">
        <f t="shared" si="32"/>
        <v>0</v>
      </c>
      <c r="AB65" s="1455">
        <f t="shared" si="32"/>
        <v>0</v>
      </c>
      <c r="AC65" s="1455">
        <f t="shared" si="32"/>
        <v>0</v>
      </c>
      <c r="AD65" s="1455">
        <f t="shared" si="32"/>
        <v>0</v>
      </c>
      <c r="AE65" s="1456">
        <f t="shared" si="32"/>
        <v>0</v>
      </c>
      <c r="AF65" s="412"/>
    </row>
    <row r="66" spans="2:32" ht="16.5" thickTop="1" thickBot="1" x14ac:dyDescent="0.3">
      <c r="B66" s="413"/>
      <c r="C66" s="436" t="s">
        <v>449</v>
      </c>
      <c r="D66" s="428"/>
      <c r="E66" s="411"/>
      <c r="F66" s="428"/>
      <c r="G66" s="471"/>
      <c r="H66" s="429" t="s">
        <v>412</v>
      </c>
      <c r="I66" s="372">
        <f>I57+I61+I63+I65</f>
        <v>603717</v>
      </c>
      <c r="J66" s="373">
        <f t="shared" ref="J66:O66" si="33">J57+J61+J63+J65</f>
        <v>624025.61</v>
      </c>
      <c r="K66" s="373">
        <f t="shared" si="33"/>
        <v>645045.02134999994</v>
      </c>
      <c r="L66" s="373">
        <f t="shared" si="33"/>
        <v>666800.11209725006</v>
      </c>
      <c r="M66" s="373">
        <f t="shared" si="33"/>
        <v>689316.63102065376</v>
      </c>
      <c r="N66" s="373">
        <f t="shared" si="33"/>
        <v>712621.22810637672</v>
      </c>
      <c r="O66" s="374">
        <f t="shared" si="33"/>
        <v>736741.48609009979</v>
      </c>
      <c r="P66" s="412"/>
      <c r="R66" s="413"/>
      <c r="S66" s="436" t="s">
        <v>449</v>
      </c>
      <c r="T66" s="428"/>
      <c r="U66" s="411"/>
      <c r="V66" s="428"/>
      <c r="W66" s="471"/>
      <c r="X66" s="429" t="s">
        <v>412</v>
      </c>
      <c r="Y66" s="372">
        <f>Y57+Y61+Y63+Y65</f>
        <v>256990</v>
      </c>
      <c r="Z66" s="373">
        <f t="shared" ref="Z66:AE66" si="34">Z57+Z61+Z63+Z65</f>
        <v>265921.65000000002</v>
      </c>
      <c r="AA66" s="373">
        <f t="shared" si="34"/>
        <v>275165.90774999995</v>
      </c>
      <c r="AB66" s="373">
        <f t="shared" si="34"/>
        <v>284733.71452124999</v>
      </c>
      <c r="AC66" s="373">
        <f t="shared" si="34"/>
        <v>294636.39452949376</v>
      </c>
      <c r="AD66" s="373">
        <f t="shared" si="34"/>
        <v>304885.66833802598</v>
      </c>
      <c r="AE66" s="374">
        <f t="shared" si="34"/>
        <v>315493.66672985692</v>
      </c>
      <c r="AF66" s="412"/>
    </row>
    <row r="67" spans="2:32" ht="7.5" customHeight="1" thickBot="1" x14ac:dyDescent="0.3">
      <c r="B67" s="413"/>
      <c r="C67" s="428"/>
      <c r="D67" s="428"/>
      <c r="E67" s="428"/>
      <c r="F67" s="428"/>
      <c r="G67" s="428"/>
      <c r="H67" s="428"/>
      <c r="I67" s="472"/>
      <c r="J67" s="472"/>
      <c r="K67" s="472"/>
      <c r="L67" s="472"/>
      <c r="M67" s="472"/>
      <c r="N67" s="472"/>
      <c r="O67" s="472"/>
      <c r="P67" s="412"/>
      <c r="R67" s="413"/>
      <c r="S67" s="428"/>
      <c r="T67" s="428"/>
      <c r="U67" s="428"/>
      <c r="V67" s="428"/>
      <c r="W67" s="428"/>
      <c r="X67" s="428"/>
      <c r="Y67" s="472"/>
      <c r="Z67" s="472"/>
      <c r="AA67" s="472"/>
      <c r="AB67" s="472"/>
      <c r="AC67" s="472"/>
      <c r="AD67" s="472"/>
      <c r="AE67" s="472"/>
      <c r="AF67" s="412"/>
    </row>
    <row r="68" spans="2:32" ht="15.75" thickBot="1" x14ac:dyDescent="0.3">
      <c r="B68" s="413"/>
      <c r="C68" s="436" t="s">
        <v>450</v>
      </c>
      <c r="D68" s="428"/>
      <c r="E68" s="428"/>
      <c r="F68" s="428"/>
      <c r="G68" s="428"/>
      <c r="H68" s="429" t="s">
        <v>412</v>
      </c>
      <c r="I68" s="375">
        <f>I32-I66</f>
        <v>411373.19999999995</v>
      </c>
      <c r="J68" s="376">
        <f t="shared" ref="J68:O68" si="35">J32-J66</f>
        <v>416341.52499999979</v>
      </c>
      <c r="K68" s="376">
        <f t="shared" si="35"/>
        <v>421228.96562499984</v>
      </c>
      <c r="L68" s="376">
        <f t="shared" si="35"/>
        <v>426026.35162412468</v>
      </c>
      <c r="M68" s="376">
        <f t="shared" si="35"/>
        <v>430724.03390719555</v>
      </c>
      <c r="N68" s="376">
        <f t="shared" si="35"/>
        <v>435311.8638503775</v>
      </c>
      <c r="O68" s="377">
        <f t="shared" si="35"/>
        <v>439779.17177939613</v>
      </c>
      <c r="P68" s="412"/>
      <c r="R68" s="413"/>
      <c r="S68" s="436" t="s">
        <v>450</v>
      </c>
      <c r="T68" s="428"/>
      <c r="U68" s="428"/>
      <c r="V68" s="428"/>
      <c r="W68" s="428"/>
      <c r="X68" s="429" t="s">
        <v>412</v>
      </c>
      <c r="Y68" s="375">
        <f>Y32-Y66</f>
        <v>95349.799999999988</v>
      </c>
      <c r="Z68" s="376">
        <f t="shared" ref="Z68:AE68" si="36">Z32-Z66</f>
        <v>95171.924999999988</v>
      </c>
      <c r="AA68" s="376">
        <f t="shared" si="36"/>
        <v>94899.192225000006</v>
      </c>
      <c r="AB68" s="376">
        <f t="shared" si="36"/>
        <v>94526.082265124947</v>
      </c>
      <c r="AC68" s="376">
        <f t="shared" si="36"/>
        <v>94046.827874780574</v>
      </c>
      <c r="AD68" s="376">
        <f t="shared" si="36"/>
        <v>93455.403938560048</v>
      </c>
      <c r="AE68" s="377">
        <f t="shared" si="36"/>
        <v>92745.517052092648</v>
      </c>
      <c r="AF68" s="412"/>
    </row>
    <row r="69" spans="2:32" x14ac:dyDescent="0.25">
      <c r="B69" s="413"/>
      <c r="C69" s="436"/>
      <c r="D69" s="428"/>
      <c r="E69" s="428"/>
      <c r="F69" s="428"/>
      <c r="G69" s="428"/>
      <c r="H69" s="429"/>
      <c r="I69" s="466"/>
      <c r="J69" s="466"/>
      <c r="K69" s="466"/>
      <c r="L69" s="466"/>
      <c r="M69" s="466"/>
      <c r="N69" s="466"/>
      <c r="O69" s="466"/>
      <c r="P69" s="412"/>
      <c r="R69" s="413"/>
      <c r="S69" s="436"/>
      <c r="T69" s="428"/>
      <c r="U69" s="428"/>
      <c r="V69" s="428"/>
      <c r="W69" s="428"/>
      <c r="X69" s="429"/>
      <c r="Y69" s="466"/>
      <c r="Z69" s="466"/>
      <c r="AA69" s="466"/>
      <c r="AB69" s="466"/>
      <c r="AC69" s="466"/>
      <c r="AD69" s="466"/>
      <c r="AE69" s="466"/>
      <c r="AF69" s="412"/>
    </row>
    <row r="70" spans="2:32" ht="15.75" thickBot="1" x14ac:dyDescent="0.3">
      <c r="B70" s="290"/>
      <c r="C70" s="2562" t="s">
        <v>451</v>
      </c>
      <c r="D70" s="2562"/>
      <c r="E70" s="2562"/>
      <c r="F70" s="378"/>
      <c r="G70" s="378"/>
      <c r="H70" s="378"/>
      <c r="I70" s="378"/>
      <c r="J70" s="378"/>
      <c r="K70" s="378"/>
      <c r="L70" s="1167"/>
      <c r="M70" s="1167"/>
      <c r="N70" s="1167"/>
      <c r="O70" s="1167"/>
      <c r="P70" s="251"/>
      <c r="R70" s="290"/>
      <c r="S70" s="2562" t="s">
        <v>451</v>
      </c>
      <c r="T70" s="2562"/>
      <c r="U70" s="2562"/>
      <c r="V70" s="378"/>
      <c r="W70" s="378"/>
      <c r="X70" s="378"/>
      <c r="Y70" s="378"/>
      <c r="Z70" s="378"/>
      <c r="AA70" s="378"/>
      <c r="AB70" s="1167"/>
      <c r="AC70" s="1167"/>
      <c r="AD70" s="1167"/>
      <c r="AE70" s="1167"/>
      <c r="AF70" s="843"/>
    </row>
    <row r="71" spans="2:32" ht="15.75" thickBot="1" x14ac:dyDescent="0.3">
      <c r="B71" s="290"/>
      <c r="C71" s="599" t="s">
        <v>452</v>
      </c>
      <c r="D71" s="250"/>
      <c r="E71" s="1038"/>
      <c r="F71" s="1038"/>
      <c r="G71" s="2585" t="s">
        <v>453</v>
      </c>
      <c r="H71" s="2586"/>
      <c r="I71" s="342" t="s">
        <v>400</v>
      </c>
      <c r="J71" s="343" t="s">
        <v>401</v>
      </c>
      <c r="K71" s="343" t="s">
        <v>402</v>
      </c>
      <c r="L71" s="343" t="s">
        <v>403</v>
      </c>
      <c r="M71" s="343" t="s">
        <v>404</v>
      </c>
      <c r="N71" s="343" t="s">
        <v>405</v>
      </c>
      <c r="O71" s="344" t="s">
        <v>406</v>
      </c>
      <c r="P71" s="251"/>
      <c r="R71" s="290"/>
      <c r="S71" s="599" t="s">
        <v>452</v>
      </c>
      <c r="T71" s="841"/>
      <c r="U71" s="1038"/>
      <c r="V71" s="1038"/>
      <c r="W71" s="2585" t="s">
        <v>453</v>
      </c>
      <c r="X71" s="2586"/>
      <c r="Y71" s="342" t="s">
        <v>400</v>
      </c>
      <c r="Z71" s="343" t="s">
        <v>401</v>
      </c>
      <c r="AA71" s="343" t="s">
        <v>402</v>
      </c>
      <c r="AB71" s="343" t="s">
        <v>403</v>
      </c>
      <c r="AC71" s="343" t="s">
        <v>404</v>
      </c>
      <c r="AD71" s="343" t="s">
        <v>405</v>
      </c>
      <c r="AE71" s="344" t="s">
        <v>406</v>
      </c>
      <c r="AF71" s="843"/>
    </row>
    <row r="72" spans="2:32" x14ac:dyDescent="0.25">
      <c r="B72" s="290"/>
      <c r="C72" s="2605" t="s">
        <v>1533</v>
      </c>
      <c r="D72" s="2594"/>
      <c r="E72" s="2594"/>
      <c r="F72" s="2594"/>
      <c r="G72" s="2571">
        <f>+'8E'!G82</f>
        <v>6032000</v>
      </c>
      <c r="H72" s="2606">
        <f>+'8E'!H82</f>
        <v>0</v>
      </c>
      <c r="I72" s="1457">
        <f>+'8E'!I82</f>
        <v>399707</v>
      </c>
      <c r="J72" s="1458">
        <f>+'8E'!J82</f>
        <v>399707</v>
      </c>
      <c r="K72" s="1458">
        <f>+'8E'!K82</f>
        <v>399707</v>
      </c>
      <c r="L72" s="1458">
        <f>+'8E'!L82</f>
        <v>399707</v>
      </c>
      <c r="M72" s="1458">
        <f>+'8E'!M82</f>
        <v>399707</v>
      </c>
      <c r="N72" s="1458">
        <f>+'8E'!N82</f>
        <v>399707</v>
      </c>
      <c r="O72" s="1459">
        <f>+'8E'!O82</f>
        <v>399707</v>
      </c>
      <c r="P72" s="251"/>
      <c r="R72" s="290"/>
      <c r="S72" s="2605" t="str">
        <f>'8E'!S82</f>
        <v>Lender 1</v>
      </c>
      <c r="T72" s="2594">
        <f>'8E'!T82</f>
        <v>0</v>
      </c>
      <c r="U72" s="2594">
        <f>'8E'!U82</f>
        <v>0</v>
      </c>
      <c r="V72" s="2594">
        <f>'8E'!V82</f>
        <v>0</v>
      </c>
      <c r="W72" s="2596">
        <f>'8E'!X82</f>
        <v>0</v>
      </c>
      <c r="X72" s="2597">
        <f>'8E'!Y82</f>
        <v>0</v>
      </c>
      <c r="Y72" s="1457">
        <f>'8E'!Z82</f>
        <v>0</v>
      </c>
      <c r="Z72" s="1458">
        <f>'8E'!AA82</f>
        <v>0</v>
      </c>
      <c r="AA72" s="1458">
        <f>'8E'!AB82</f>
        <v>0</v>
      </c>
      <c r="AB72" s="1458">
        <f>'8E'!AC82</f>
        <v>0</v>
      </c>
      <c r="AC72" s="1458">
        <f>'8E'!AD82</f>
        <v>0</v>
      </c>
      <c r="AD72" s="1458">
        <f>'8E'!AE82</f>
        <v>0</v>
      </c>
      <c r="AE72" s="1459">
        <f>'8E'!AF82</f>
        <v>0</v>
      </c>
      <c r="AF72" s="843"/>
    </row>
    <row r="73" spans="2:32" x14ac:dyDescent="0.25">
      <c r="B73" s="290"/>
      <c r="C73" s="2583" t="s">
        <v>455</v>
      </c>
      <c r="D73" s="2584"/>
      <c r="E73" s="2584"/>
      <c r="F73" s="2584"/>
      <c r="G73" s="2573">
        <v>0</v>
      </c>
      <c r="H73" s="2574"/>
      <c r="I73" s="1460">
        <v>0</v>
      </c>
      <c r="J73" s="1461">
        <v>0</v>
      </c>
      <c r="K73" s="1461">
        <v>0</v>
      </c>
      <c r="L73" s="1461">
        <v>0</v>
      </c>
      <c r="M73" s="1461">
        <v>0</v>
      </c>
      <c r="N73" s="1461">
        <v>0</v>
      </c>
      <c r="O73" s="1462">
        <v>0</v>
      </c>
      <c r="P73" s="251"/>
      <c r="R73" s="290"/>
      <c r="S73" s="2583" t="s">
        <v>455</v>
      </c>
      <c r="T73" s="2584"/>
      <c r="U73" s="2584"/>
      <c r="V73" s="2584"/>
      <c r="W73" s="2573">
        <v>0</v>
      </c>
      <c r="X73" s="2574"/>
      <c r="Y73" s="1460">
        <v>0</v>
      </c>
      <c r="Z73" s="1461">
        <v>0</v>
      </c>
      <c r="AA73" s="1461">
        <v>0</v>
      </c>
      <c r="AB73" s="1461">
        <v>0</v>
      </c>
      <c r="AC73" s="1461">
        <v>0</v>
      </c>
      <c r="AD73" s="1461">
        <v>0</v>
      </c>
      <c r="AE73" s="1462">
        <v>0</v>
      </c>
      <c r="AF73" s="843"/>
    </row>
    <row r="74" spans="2:32" ht="15.75" thickBot="1" x14ac:dyDescent="0.3">
      <c r="B74" s="290"/>
      <c r="C74" s="2581" t="s">
        <v>456</v>
      </c>
      <c r="D74" s="2582"/>
      <c r="E74" s="2582"/>
      <c r="F74" s="2582"/>
      <c r="G74" s="2575">
        <v>0</v>
      </c>
      <c r="H74" s="2576"/>
      <c r="I74" s="1463">
        <v>0</v>
      </c>
      <c r="J74" s="1464">
        <v>0</v>
      </c>
      <c r="K74" s="1464">
        <v>0</v>
      </c>
      <c r="L74" s="1464">
        <v>0</v>
      </c>
      <c r="M74" s="1464">
        <v>0</v>
      </c>
      <c r="N74" s="1464">
        <v>0</v>
      </c>
      <c r="O74" s="1465">
        <v>0</v>
      </c>
      <c r="P74" s="251"/>
      <c r="R74" s="290"/>
      <c r="S74" s="2581" t="s">
        <v>456</v>
      </c>
      <c r="T74" s="2582"/>
      <c r="U74" s="2582"/>
      <c r="V74" s="2582"/>
      <c r="W74" s="2575">
        <v>0</v>
      </c>
      <c r="X74" s="2576"/>
      <c r="Y74" s="1463">
        <v>0</v>
      </c>
      <c r="Z74" s="1464">
        <v>0</v>
      </c>
      <c r="AA74" s="1464">
        <v>0</v>
      </c>
      <c r="AB74" s="1464">
        <v>0</v>
      </c>
      <c r="AC74" s="1464">
        <v>0</v>
      </c>
      <c r="AD74" s="1464">
        <v>0</v>
      </c>
      <c r="AE74" s="1465">
        <v>0</v>
      </c>
      <c r="AF74" s="843"/>
    </row>
    <row r="75" spans="2:32" ht="15.75" thickTop="1" x14ac:dyDescent="0.25">
      <c r="B75" s="290"/>
      <c r="C75" s="1168"/>
      <c r="D75" s="1168"/>
      <c r="E75" s="1168"/>
      <c r="F75" s="1168"/>
      <c r="G75" s="1169"/>
      <c r="H75" s="1170" t="s">
        <v>457</v>
      </c>
      <c r="I75" s="379">
        <f>SUM(I72:I74)</f>
        <v>399707</v>
      </c>
      <c r="J75" s="380">
        <f t="shared" ref="J75:O75" si="37">SUM(J72:J74)</f>
        <v>399707</v>
      </c>
      <c r="K75" s="380">
        <f t="shared" si="37"/>
        <v>399707</v>
      </c>
      <c r="L75" s="380">
        <f t="shared" si="37"/>
        <v>399707</v>
      </c>
      <c r="M75" s="380">
        <f t="shared" si="37"/>
        <v>399707</v>
      </c>
      <c r="N75" s="380">
        <f t="shared" si="37"/>
        <v>399707</v>
      </c>
      <c r="O75" s="381">
        <f t="shared" si="37"/>
        <v>399707</v>
      </c>
      <c r="P75" s="251"/>
      <c r="R75" s="290"/>
      <c r="S75" s="1168"/>
      <c r="T75" s="1168"/>
      <c r="U75" s="1168"/>
      <c r="V75" s="1168"/>
      <c r="W75" s="1169"/>
      <c r="X75" s="1170" t="s">
        <v>457</v>
      </c>
      <c r="Y75" s="379">
        <f>SUM(Y72:Y74)</f>
        <v>0</v>
      </c>
      <c r="Z75" s="380">
        <f t="shared" ref="Z75:AE75" si="38">SUM(Z72:Z74)</f>
        <v>0</v>
      </c>
      <c r="AA75" s="380">
        <f t="shared" si="38"/>
        <v>0</v>
      </c>
      <c r="AB75" s="380">
        <f t="shared" si="38"/>
        <v>0</v>
      </c>
      <c r="AC75" s="380">
        <f t="shared" si="38"/>
        <v>0</v>
      </c>
      <c r="AD75" s="380">
        <f t="shared" si="38"/>
        <v>0</v>
      </c>
      <c r="AE75" s="381">
        <f t="shared" si="38"/>
        <v>0</v>
      </c>
      <c r="AF75" s="843"/>
    </row>
    <row r="76" spans="2:32" x14ac:dyDescent="0.25">
      <c r="B76" s="290"/>
      <c r="C76" s="1168"/>
      <c r="D76" s="1168"/>
      <c r="E76" s="1168"/>
      <c r="F76" s="1038"/>
      <c r="G76" s="687"/>
      <c r="H76" s="687" t="s">
        <v>458</v>
      </c>
      <c r="I76" s="1726">
        <f>IFERROR((I68+I63)/I75,"$0 ")</f>
        <v>1.1915458073038498</v>
      </c>
      <c r="J76" s="1727">
        <f t="shared" ref="J76:O76" si="39">IFERROR((J68+J63)/J75,"$0 ")</f>
        <v>1.2096582871953701</v>
      </c>
      <c r="K76" s="1727">
        <f t="shared" si="39"/>
        <v>1.2277672976079974</v>
      </c>
      <c r="L76" s="1727">
        <f t="shared" si="39"/>
        <v>1.245856857248246</v>
      </c>
      <c r="M76" s="1727">
        <f t="shared" si="39"/>
        <v>1.2639100304867203</v>
      </c>
      <c r="N76" s="1727">
        <f t="shared" si="39"/>
        <v>1.2819088841117046</v>
      </c>
      <c r="O76" s="1728">
        <f t="shared" si="39"/>
        <v>1.2998344423236265</v>
      </c>
      <c r="P76" s="251"/>
      <c r="R76" s="290"/>
      <c r="S76" s="1168"/>
      <c r="T76" s="1168"/>
      <c r="U76" s="1168"/>
      <c r="V76" s="1038"/>
      <c r="W76" s="1709"/>
      <c r="X76" s="1709" t="s">
        <v>458</v>
      </c>
      <c r="Y76" s="619" t="str">
        <f>IFERROR(Y68/Y75,"$0 ")</f>
        <v xml:space="preserve">$0 </v>
      </c>
      <c r="Z76" s="620" t="str">
        <f t="shared" ref="Z76:AE76" si="40">IFERROR(Z68/Z75,"$0 ")</f>
        <v xml:space="preserve">$0 </v>
      </c>
      <c r="AA76" s="620" t="str">
        <f t="shared" si="40"/>
        <v xml:space="preserve">$0 </v>
      </c>
      <c r="AB76" s="620" t="str">
        <f t="shared" si="40"/>
        <v xml:space="preserve">$0 </v>
      </c>
      <c r="AC76" s="620" t="str">
        <f t="shared" si="40"/>
        <v xml:space="preserve">$0 </v>
      </c>
      <c r="AD76" s="620" t="str">
        <f t="shared" si="40"/>
        <v xml:space="preserve">$0 </v>
      </c>
      <c r="AE76" s="621" t="str">
        <f t="shared" si="40"/>
        <v xml:space="preserve">$0 </v>
      </c>
      <c r="AF76" s="843"/>
    </row>
    <row r="77" spans="2:32" ht="15.75" thickBot="1" x14ac:dyDescent="0.3">
      <c r="B77" s="290"/>
      <c r="C77" s="1168"/>
      <c r="D77" s="1168"/>
      <c r="E77" s="1168"/>
      <c r="F77" s="2547" t="s">
        <v>459</v>
      </c>
      <c r="G77" s="2547"/>
      <c r="H77" s="2552"/>
      <c r="I77" s="382">
        <f>I68-I75</f>
        <v>11666.199999999953</v>
      </c>
      <c r="J77" s="383">
        <f t="shared" ref="J77:O77" si="41">J68-J75</f>
        <v>16634.52499999979</v>
      </c>
      <c r="K77" s="383">
        <f t="shared" si="41"/>
        <v>21521.965624999837</v>
      </c>
      <c r="L77" s="383">
        <f>L68-L75</f>
        <v>26319.351624124683</v>
      </c>
      <c r="M77" s="383">
        <f t="shared" si="41"/>
        <v>31017.033907195553</v>
      </c>
      <c r="N77" s="383">
        <f t="shared" si="41"/>
        <v>35604.8638503775</v>
      </c>
      <c r="O77" s="384">
        <f t="shared" si="41"/>
        <v>40072.171779396129</v>
      </c>
      <c r="P77" s="251"/>
      <c r="R77" s="290"/>
      <c r="S77" s="1168"/>
      <c r="T77" s="1168"/>
      <c r="U77" s="1168"/>
      <c r="V77" s="2547" t="s">
        <v>459</v>
      </c>
      <c r="W77" s="2547"/>
      <c r="X77" s="2552"/>
      <c r="Y77" s="382">
        <f t="shared" ref="Y77:AE77" si="42">Y68-Y75</f>
        <v>95349.799999999988</v>
      </c>
      <c r="Z77" s="383">
        <f t="shared" si="42"/>
        <v>95171.924999999988</v>
      </c>
      <c r="AA77" s="383">
        <f t="shared" si="42"/>
        <v>94899.192225000006</v>
      </c>
      <c r="AB77" s="383">
        <f t="shared" si="42"/>
        <v>94526.082265124947</v>
      </c>
      <c r="AC77" s="383">
        <f t="shared" si="42"/>
        <v>94046.827874780574</v>
      </c>
      <c r="AD77" s="383">
        <f t="shared" si="42"/>
        <v>93455.403938560048</v>
      </c>
      <c r="AE77" s="384">
        <f t="shared" si="42"/>
        <v>92745.517052092648</v>
      </c>
      <c r="AF77" s="843"/>
    </row>
    <row r="78" spans="2:32" ht="15" customHeight="1" thickBot="1" x14ac:dyDescent="0.3">
      <c r="B78" s="290"/>
      <c r="C78" s="1168"/>
      <c r="D78" s="1168"/>
      <c r="E78" s="1168"/>
      <c r="F78" s="1168"/>
      <c r="G78" s="1169"/>
      <c r="H78" s="1169"/>
      <c r="I78" s="1171"/>
      <c r="J78" s="1171"/>
      <c r="K78" s="1171"/>
      <c r="L78" s="1171"/>
      <c r="M78" s="1171"/>
      <c r="N78" s="1171"/>
      <c r="O78" s="1171"/>
      <c r="P78" s="251"/>
      <c r="R78" s="290"/>
      <c r="S78" s="1168"/>
      <c r="T78" s="1168"/>
      <c r="U78" s="1168"/>
      <c r="V78" s="1168"/>
      <c r="W78" s="1169"/>
      <c r="X78" s="1169"/>
      <c r="Y78" s="1171"/>
      <c r="Z78" s="1171"/>
      <c r="AA78" s="1171"/>
      <c r="AB78" s="1171"/>
      <c r="AC78" s="1171"/>
      <c r="AD78" s="1171"/>
      <c r="AE78" s="1171"/>
      <c r="AF78" s="843"/>
    </row>
    <row r="79" spans="2:32" ht="15.75" thickBot="1" x14ac:dyDescent="0.3">
      <c r="B79" s="290"/>
      <c r="C79" s="599" t="s">
        <v>460</v>
      </c>
      <c r="D79" s="250"/>
      <c r="E79" s="1038"/>
      <c r="F79" s="1038"/>
      <c r="G79" s="2585" t="s">
        <v>453</v>
      </c>
      <c r="H79" s="2586"/>
      <c r="I79" s="342" t="s">
        <v>400</v>
      </c>
      <c r="J79" s="343" t="s">
        <v>401</v>
      </c>
      <c r="K79" s="343" t="s">
        <v>402</v>
      </c>
      <c r="L79" s="343" t="s">
        <v>403</v>
      </c>
      <c r="M79" s="343" t="s">
        <v>404</v>
      </c>
      <c r="N79" s="343" t="s">
        <v>405</v>
      </c>
      <c r="O79" s="344" t="s">
        <v>406</v>
      </c>
      <c r="P79" s="251"/>
      <c r="R79" s="290"/>
      <c r="S79" s="599" t="s">
        <v>460</v>
      </c>
      <c r="T79" s="841"/>
      <c r="U79" s="1038"/>
      <c r="V79" s="1038"/>
      <c r="W79" s="2585" t="s">
        <v>453</v>
      </c>
      <c r="X79" s="2586"/>
      <c r="Y79" s="342" t="s">
        <v>400</v>
      </c>
      <c r="Z79" s="343" t="s">
        <v>401</v>
      </c>
      <c r="AA79" s="343" t="s">
        <v>402</v>
      </c>
      <c r="AB79" s="343" t="s">
        <v>403</v>
      </c>
      <c r="AC79" s="343" t="s">
        <v>404</v>
      </c>
      <c r="AD79" s="343" t="s">
        <v>405</v>
      </c>
      <c r="AE79" s="344" t="s">
        <v>406</v>
      </c>
      <c r="AF79" s="843"/>
    </row>
    <row r="80" spans="2:32" x14ac:dyDescent="0.25">
      <c r="B80" s="290"/>
      <c r="C80" s="2577" t="s">
        <v>1409</v>
      </c>
      <c r="D80" s="2578"/>
      <c r="E80" s="2578"/>
      <c r="F80" s="2578"/>
      <c r="G80" s="2596">
        <v>350000</v>
      </c>
      <c r="H80" s="2604"/>
      <c r="I80" s="1457">
        <f>'8E'!I90</f>
        <v>4166.1999999999534</v>
      </c>
      <c r="J80" s="1458">
        <f>'8E'!J90</f>
        <v>8872.0249999997905</v>
      </c>
      <c r="K80" s="1458">
        <f>'8E'!K90</f>
        <v>13487.778124999839</v>
      </c>
      <c r="L80" s="1458">
        <f>'8E'!L90</f>
        <v>18003.967561624686</v>
      </c>
      <c r="M80" s="1458">
        <f>'8E'!M90</f>
        <v>22410.611402508057</v>
      </c>
      <c r="N80" s="1458">
        <f>'8E'!N90</f>
        <v>26697.216558025943</v>
      </c>
      <c r="O80" s="1459">
        <f>'8E'!O90</f>
        <v>30852.756831812265</v>
      </c>
      <c r="P80" s="251"/>
      <c r="R80" s="290"/>
      <c r="S80" s="2605" t="str">
        <f>'8E'!S90</f>
        <v>Deferred Developer Fee</v>
      </c>
      <c r="T80" s="2594">
        <f>'8E'!T90</f>
        <v>0</v>
      </c>
      <c r="U80" s="2594">
        <f>'8E'!U90</f>
        <v>0</v>
      </c>
      <c r="V80" s="2594">
        <f>'8E'!V90</f>
        <v>0</v>
      </c>
      <c r="W80" s="2596">
        <f>'8E'!X90</f>
        <v>900000</v>
      </c>
      <c r="X80" s="2597">
        <f>'8E'!Y90</f>
        <v>0</v>
      </c>
      <c r="Y80" s="1457">
        <f>'8E'!Z90</f>
        <v>87849.799999999988</v>
      </c>
      <c r="Z80" s="1458">
        <f>'8E'!AA90</f>
        <v>87409.424999999988</v>
      </c>
      <c r="AA80" s="1458">
        <f>'8E'!AB90</f>
        <v>86865.004725000006</v>
      </c>
      <c r="AB80" s="1458">
        <f>'8E'!AC90</f>
        <v>86210.698202624946</v>
      </c>
      <c r="AC80" s="1458">
        <f>'8E'!AD90</f>
        <v>85440.405370093082</v>
      </c>
      <c r="AD80" s="1458">
        <f>'8E'!AE90</f>
        <v>84547.756646208494</v>
      </c>
      <c r="AE80" s="1459">
        <f>'8E'!AF90</f>
        <v>83526.102104508784</v>
      </c>
      <c r="AF80" s="843"/>
    </row>
    <row r="81" spans="2:32" x14ac:dyDescent="0.25">
      <c r="B81" s="290"/>
      <c r="C81" s="2579" t="s">
        <v>1612</v>
      </c>
      <c r="D81" s="2580"/>
      <c r="E81" s="2580"/>
      <c r="F81" s="2580"/>
      <c r="G81" s="2573">
        <v>0</v>
      </c>
      <c r="H81" s="2574"/>
      <c r="I81" s="1460">
        <v>7500</v>
      </c>
      <c r="J81" s="1461">
        <f t="shared" ref="J81" si="43">+I81*1.035</f>
        <v>7762.4999999999991</v>
      </c>
      <c r="K81" s="1461">
        <f t="shared" ref="K81" si="44">+J81*1.035</f>
        <v>8034.1874999999982</v>
      </c>
      <c r="L81" s="1461">
        <f t="shared" ref="L81" si="45">+K81*1.035</f>
        <v>8315.3840624999975</v>
      </c>
      <c r="M81" s="1461">
        <f t="shared" ref="M81" si="46">+L81*1.035</f>
        <v>8606.4225046874963</v>
      </c>
      <c r="N81" s="1461">
        <f t="shared" ref="N81" si="47">+M81*1.035</f>
        <v>8907.6472923515576</v>
      </c>
      <c r="O81" s="1462">
        <f t="shared" ref="O81" si="48">+N81*1.035</f>
        <v>9219.4149475838622</v>
      </c>
      <c r="P81" s="251"/>
      <c r="R81" s="290"/>
      <c r="S81" s="2579" t="str">
        <f>'8E'!S91</f>
        <v>LP Asset Management Fee</v>
      </c>
      <c r="T81" s="2580">
        <f>'8E'!T91</f>
        <v>0</v>
      </c>
      <c r="U81" s="2580">
        <f>'8E'!U91</f>
        <v>0</v>
      </c>
      <c r="V81" s="2580">
        <f>'8E'!V91</f>
        <v>0</v>
      </c>
      <c r="W81" s="2573">
        <v>0</v>
      </c>
      <c r="X81" s="2574"/>
      <c r="Y81" s="1460">
        <f>'8E'!Z91</f>
        <v>7500</v>
      </c>
      <c r="Z81" s="1461">
        <f>'8E'!AA91</f>
        <v>7762.4999999999991</v>
      </c>
      <c r="AA81" s="1461">
        <f>'8E'!AB91</f>
        <v>8034.1874999999982</v>
      </c>
      <c r="AB81" s="1461">
        <f>'8E'!AC91</f>
        <v>8315.3840624999975</v>
      </c>
      <c r="AC81" s="1461">
        <f>'8E'!AD91</f>
        <v>8606.4225046874963</v>
      </c>
      <c r="AD81" s="1461">
        <f>'8E'!AE91</f>
        <v>8907.6472923515576</v>
      </c>
      <c r="AE81" s="1462">
        <f>'8E'!AF91</f>
        <v>9219.4149475838622</v>
      </c>
      <c r="AF81" s="843"/>
    </row>
    <row r="82" spans="2:32" x14ac:dyDescent="0.25">
      <c r="B82" s="290"/>
      <c r="C82" s="2579" t="s">
        <v>1615</v>
      </c>
      <c r="D82" s="2580"/>
      <c r="E82" s="2580"/>
      <c r="F82" s="2580"/>
      <c r="G82" s="2573">
        <v>0</v>
      </c>
      <c r="H82" s="2574"/>
      <c r="I82" s="1466">
        <v>0</v>
      </c>
      <c r="J82" s="1467">
        <v>0</v>
      </c>
      <c r="K82" s="1467">
        <v>0</v>
      </c>
      <c r="L82" s="1467">
        <v>0</v>
      </c>
      <c r="M82" s="1467">
        <v>0</v>
      </c>
      <c r="N82" s="1467">
        <v>0</v>
      </c>
      <c r="O82" s="1468">
        <v>0</v>
      </c>
      <c r="P82" s="251"/>
      <c r="R82" s="290"/>
      <c r="S82" s="2579" t="s">
        <v>461</v>
      </c>
      <c r="T82" s="2580"/>
      <c r="U82" s="2580"/>
      <c r="V82" s="2580"/>
      <c r="W82" s="2573">
        <v>0</v>
      </c>
      <c r="X82" s="2574"/>
      <c r="Y82" s="1466">
        <v>0</v>
      </c>
      <c r="Z82" s="1467">
        <v>0</v>
      </c>
      <c r="AA82" s="1467">
        <v>0</v>
      </c>
      <c r="AB82" s="1467">
        <v>0</v>
      </c>
      <c r="AC82" s="1467">
        <v>0</v>
      </c>
      <c r="AD82" s="1467">
        <v>0</v>
      </c>
      <c r="AE82" s="1468">
        <v>0</v>
      </c>
      <c r="AF82" s="843"/>
    </row>
    <row r="83" spans="2:32" ht="15.75" thickBot="1" x14ac:dyDescent="0.3">
      <c r="B83" s="290"/>
      <c r="C83" s="2581" t="s">
        <v>456</v>
      </c>
      <c r="D83" s="2582"/>
      <c r="E83" s="2582"/>
      <c r="F83" s="2582"/>
      <c r="G83" s="2575">
        <v>0</v>
      </c>
      <c r="H83" s="2576"/>
      <c r="I83" s="1469">
        <v>0</v>
      </c>
      <c r="J83" s="1470">
        <v>0</v>
      </c>
      <c r="K83" s="1470">
        <v>0</v>
      </c>
      <c r="L83" s="1470">
        <v>0</v>
      </c>
      <c r="M83" s="1470">
        <v>0</v>
      </c>
      <c r="N83" s="1470">
        <v>0</v>
      </c>
      <c r="O83" s="1471">
        <v>0</v>
      </c>
      <c r="P83" s="251"/>
      <c r="R83" s="290"/>
      <c r="S83" s="2581" t="s">
        <v>456</v>
      </c>
      <c r="T83" s="2582"/>
      <c r="U83" s="2582"/>
      <c r="V83" s="2582"/>
      <c r="W83" s="2575">
        <v>0</v>
      </c>
      <c r="X83" s="2576"/>
      <c r="Y83" s="1469">
        <v>0</v>
      </c>
      <c r="Z83" s="1470">
        <v>0</v>
      </c>
      <c r="AA83" s="1470">
        <v>0</v>
      </c>
      <c r="AB83" s="1470">
        <v>0</v>
      </c>
      <c r="AC83" s="1470">
        <v>0</v>
      </c>
      <c r="AD83" s="1470">
        <v>0</v>
      </c>
      <c r="AE83" s="1471">
        <v>0</v>
      </c>
      <c r="AF83" s="843"/>
    </row>
    <row r="84" spans="2:32" ht="16.5" thickTop="1" thickBot="1" x14ac:dyDescent="0.3">
      <c r="B84" s="290"/>
      <c r="C84" s="1038"/>
      <c r="D84" s="1038"/>
      <c r="E84" s="1038"/>
      <c r="F84" s="2547" t="s">
        <v>462</v>
      </c>
      <c r="G84" s="2547"/>
      <c r="H84" s="2552"/>
      <c r="I84" s="385">
        <f>SUM(I80:I83)</f>
        <v>11666.199999999953</v>
      </c>
      <c r="J84" s="386">
        <f t="shared" ref="J84:O84" si="49">SUM(J80:J83)</f>
        <v>16634.52499999979</v>
      </c>
      <c r="K84" s="386">
        <f t="shared" si="49"/>
        <v>21521.965624999837</v>
      </c>
      <c r="L84" s="386">
        <f t="shared" si="49"/>
        <v>26319.351624124683</v>
      </c>
      <c r="M84" s="386">
        <f t="shared" si="49"/>
        <v>31017.033907195553</v>
      </c>
      <c r="N84" s="386">
        <f t="shared" si="49"/>
        <v>35604.8638503775</v>
      </c>
      <c r="O84" s="387">
        <f t="shared" si="49"/>
        <v>40072.171779396129</v>
      </c>
      <c r="P84" s="251"/>
      <c r="R84" s="290"/>
      <c r="S84" s="1038"/>
      <c r="T84" s="1038"/>
      <c r="U84" s="1038"/>
      <c r="V84" s="2547" t="s">
        <v>462</v>
      </c>
      <c r="W84" s="2547"/>
      <c r="X84" s="2552"/>
      <c r="Y84" s="385">
        <f>SUM(Y80:Y83)</f>
        <v>95349.799999999988</v>
      </c>
      <c r="Z84" s="386">
        <f t="shared" ref="Z84:AE84" si="50">SUM(Z80:Z83)</f>
        <v>95171.924999999988</v>
      </c>
      <c r="AA84" s="386">
        <f t="shared" si="50"/>
        <v>94899.192225000006</v>
      </c>
      <c r="AB84" s="386">
        <f t="shared" si="50"/>
        <v>94526.082265124947</v>
      </c>
      <c r="AC84" s="386">
        <f t="shared" si="50"/>
        <v>94046.827874780574</v>
      </c>
      <c r="AD84" s="386">
        <f t="shared" si="50"/>
        <v>93455.403938560048</v>
      </c>
      <c r="AE84" s="387">
        <f t="shared" si="50"/>
        <v>92745.517052092648</v>
      </c>
      <c r="AF84" s="843"/>
    </row>
    <row r="85" spans="2:32" ht="7.5" customHeight="1" thickBot="1" x14ac:dyDescent="0.3">
      <c r="B85" s="290"/>
      <c r="C85" s="1038"/>
      <c r="D85" s="1038"/>
      <c r="E85" s="1038"/>
      <c r="F85" s="1038"/>
      <c r="G85" s="1038"/>
      <c r="H85" s="1038"/>
      <c r="I85" s="1038"/>
      <c r="J85" s="1038"/>
      <c r="K85" s="1038"/>
      <c r="L85" s="1038"/>
      <c r="M85" s="1038"/>
      <c r="N85" s="1038"/>
      <c r="O85" s="1038"/>
      <c r="P85" s="251"/>
      <c r="R85" s="290"/>
      <c r="S85" s="1038"/>
      <c r="T85" s="1038"/>
      <c r="U85" s="1038"/>
      <c r="V85" s="1038"/>
      <c r="W85" s="1038"/>
      <c r="X85" s="1038"/>
      <c r="Y85" s="1038"/>
      <c r="Z85" s="1038"/>
      <c r="AA85" s="1038"/>
      <c r="AB85" s="1038"/>
      <c r="AC85" s="1038"/>
      <c r="AD85" s="1038"/>
      <c r="AE85" s="1038"/>
      <c r="AF85" s="843"/>
    </row>
    <row r="86" spans="2:32" x14ac:dyDescent="0.25">
      <c r="B86" s="290"/>
      <c r="C86" s="1038"/>
      <c r="D86" s="1038"/>
      <c r="E86" s="1038"/>
      <c r="F86" s="2547" t="s">
        <v>463</v>
      </c>
      <c r="G86" s="2547"/>
      <c r="H86" s="2552"/>
      <c r="I86" s="1734">
        <f>IFERROR(I68/(I75+I84),"$0 ")</f>
        <v>1</v>
      </c>
      <c r="J86" s="1735">
        <f t="shared" ref="J86:O86" si="51">IFERROR(J68/(J75+J84),"$0 ")</f>
        <v>1</v>
      </c>
      <c r="K86" s="1735">
        <f t="shared" si="51"/>
        <v>1</v>
      </c>
      <c r="L86" s="1735">
        <f t="shared" si="51"/>
        <v>1</v>
      </c>
      <c r="M86" s="1735">
        <f t="shared" si="51"/>
        <v>1</v>
      </c>
      <c r="N86" s="1735">
        <f t="shared" si="51"/>
        <v>1</v>
      </c>
      <c r="O86" s="1736">
        <f t="shared" si="51"/>
        <v>1</v>
      </c>
      <c r="P86" s="251"/>
      <c r="R86" s="290"/>
      <c r="S86" s="1038"/>
      <c r="T86" s="1038"/>
      <c r="U86" s="1038"/>
      <c r="V86" s="2547" t="s">
        <v>463</v>
      </c>
      <c r="W86" s="2547"/>
      <c r="X86" s="2552"/>
      <c r="Y86" s="622">
        <f>IFERROR(Y68/(Y75+Y84),"$0 ")</f>
        <v>1</v>
      </c>
      <c r="Z86" s="623">
        <f t="shared" ref="Z86:AE86" si="52">IFERROR(Z68/(Z75+Z84),"$0 ")</f>
        <v>1</v>
      </c>
      <c r="AA86" s="623">
        <f t="shared" si="52"/>
        <v>1</v>
      </c>
      <c r="AB86" s="623">
        <f t="shared" si="52"/>
        <v>1</v>
      </c>
      <c r="AC86" s="623">
        <f t="shared" si="52"/>
        <v>1</v>
      </c>
      <c r="AD86" s="623">
        <f t="shared" si="52"/>
        <v>1</v>
      </c>
      <c r="AE86" s="624">
        <f t="shared" si="52"/>
        <v>1</v>
      </c>
      <c r="AF86" s="843"/>
    </row>
    <row r="87" spans="2:32" ht="15.75" thickBot="1" x14ac:dyDescent="0.3">
      <c r="B87" s="290"/>
      <c r="C87" s="1038"/>
      <c r="D87" s="1038"/>
      <c r="E87" s="1038"/>
      <c r="F87" s="2547" t="s">
        <v>464</v>
      </c>
      <c r="G87" s="2548"/>
      <c r="H87" s="2549"/>
      <c r="I87" s="1172">
        <f t="shared" ref="I87:O87" si="53">I77-I84</f>
        <v>0</v>
      </c>
      <c r="J87" s="1173">
        <f t="shared" si="53"/>
        <v>0</v>
      </c>
      <c r="K87" s="1174">
        <f t="shared" si="53"/>
        <v>0</v>
      </c>
      <c r="L87" s="1174">
        <f t="shared" si="53"/>
        <v>0</v>
      </c>
      <c r="M87" s="1174">
        <f t="shared" si="53"/>
        <v>0</v>
      </c>
      <c r="N87" s="1174">
        <f t="shared" si="53"/>
        <v>0</v>
      </c>
      <c r="O87" s="1175">
        <f t="shared" si="53"/>
        <v>0</v>
      </c>
      <c r="P87" s="251"/>
      <c r="R87" s="290"/>
      <c r="S87" s="1038"/>
      <c r="T87" s="1038"/>
      <c r="U87" s="1038"/>
      <c r="V87" s="2547" t="s">
        <v>464</v>
      </c>
      <c r="W87" s="2548"/>
      <c r="X87" s="2549"/>
      <c r="Y87" s="1172">
        <f t="shared" ref="Y87:AE87" si="54">Y77-Y84</f>
        <v>0</v>
      </c>
      <c r="Z87" s="1173">
        <f t="shared" si="54"/>
        <v>0</v>
      </c>
      <c r="AA87" s="1174">
        <f t="shared" si="54"/>
        <v>0</v>
      </c>
      <c r="AB87" s="1174">
        <f t="shared" si="54"/>
        <v>0</v>
      </c>
      <c r="AC87" s="1174">
        <f t="shared" si="54"/>
        <v>0</v>
      </c>
      <c r="AD87" s="1174">
        <f t="shared" si="54"/>
        <v>0</v>
      </c>
      <c r="AE87" s="1175">
        <f t="shared" si="54"/>
        <v>0</v>
      </c>
      <c r="AF87" s="843"/>
    </row>
    <row r="88" spans="2:32" ht="9" customHeight="1" thickBot="1" x14ac:dyDescent="0.3">
      <c r="B88" s="1122"/>
      <c r="C88" s="256"/>
      <c r="D88" s="473"/>
      <c r="E88" s="256"/>
      <c r="F88" s="256"/>
      <c r="G88" s="256"/>
      <c r="H88" s="256"/>
      <c r="I88" s="256"/>
      <c r="J88" s="256"/>
      <c r="K88" s="256"/>
      <c r="L88" s="256"/>
      <c r="M88" s="256"/>
      <c r="N88" s="256"/>
      <c r="O88" s="256"/>
      <c r="P88" s="257"/>
      <c r="R88" s="1122"/>
      <c r="S88" s="256"/>
      <c r="T88" s="473"/>
      <c r="U88" s="256"/>
      <c r="V88" s="256"/>
      <c r="W88" s="256"/>
      <c r="X88" s="256"/>
      <c r="Y88" s="256"/>
      <c r="Z88" s="256"/>
      <c r="AA88" s="256"/>
      <c r="AB88" s="256"/>
      <c r="AC88" s="256"/>
      <c r="AD88" s="256"/>
      <c r="AE88" s="256"/>
      <c r="AF88" s="257"/>
    </row>
    <row r="89" spans="2:32" ht="9" customHeight="1" x14ac:dyDescent="0.25">
      <c r="B89" s="407"/>
      <c r="C89" s="408"/>
      <c r="D89" s="408"/>
      <c r="E89" s="408"/>
      <c r="F89" s="408"/>
      <c r="G89" s="408"/>
      <c r="H89" s="408"/>
      <c r="I89" s="408"/>
      <c r="J89" s="408"/>
      <c r="K89" s="408"/>
      <c r="L89" s="408"/>
      <c r="M89" s="408"/>
      <c r="N89" s="408"/>
      <c r="O89" s="408"/>
      <c r="P89" s="409"/>
      <c r="R89" s="407"/>
      <c r="S89" s="408"/>
      <c r="T89" s="408"/>
      <c r="U89" s="408"/>
      <c r="V89" s="408"/>
      <c r="W89" s="408"/>
      <c r="X89" s="408"/>
      <c r="Y89" s="408"/>
      <c r="Z89" s="408"/>
      <c r="AA89" s="408"/>
      <c r="AB89" s="408"/>
      <c r="AC89" s="408"/>
      <c r="AD89" s="408"/>
      <c r="AE89" s="408"/>
      <c r="AF89" s="409"/>
    </row>
    <row r="90" spans="2:32" ht="18.75" x14ac:dyDescent="0.3">
      <c r="B90" s="410"/>
      <c r="C90" s="2323" t="s">
        <v>1066</v>
      </c>
      <c r="D90" s="2323"/>
      <c r="E90" s="2323"/>
      <c r="F90" s="2323"/>
      <c r="G90" s="2323"/>
      <c r="H90" s="2323"/>
      <c r="I90" s="2323"/>
      <c r="J90" s="2323"/>
      <c r="K90" s="2323"/>
      <c r="L90" s="2323"/>
      <c r="M90" s="2323"/>
      <c r="N90" s="2323"/>
      <c r="O90" s="2323"/>
      <c r="P90" s="412"/>
      <c r="R90" s="410"/>
      <c r="S90" s="2323" t="s">
        <v>1066</v>
      </c>
      <c r="T90" s="2323"/>
      <c r="U90" s="2323"/>
      <c r="V90" s="2323"/>
      <c r="W90" s="2323"/>
      <c r="X90" s="2323"/>
      <c r="Y90" s="2323"/>
      <c r="Z90" s="2323"/>
      <c r="AA90" s="2323"/>
      <c r="AB90" s="2323"/>
      <c r="AC90" s="2323"/>
      <c r="AD90" s="2323"/>
      <c r="AE90" s="2323"/>
      <c r="AF90" s="412"/>
    </row>
    <row r="91" spans="2:32" x14ac:dyDescent="0.25">
      <c r="B91" s="410"/>
      <c r="C91" s="411"/>
      <c r="D91" s="411"/>
      <c r="E91" s="411"/>
      <c r="F91" s="411"/>
      <c r="G91" s="411"/>
      <c r="H91" s="411"/>
      <c r="I91" s="411"/>
      <c r="J91" s="411"/>
      <c r="K91" s="411"/>
      <c r="L91" s="411"/>
      <c r="M91" s="411"/>
      <c r="N91" s="411"/>
      <c r="O91" s="411"/>
      <c r="P91" s="412"/>
      <c r="R91" s="410"/>
      <c r="S91" s="411"/>
      <c r="T91" s="411"/>
      <c r="U91" s="411"/>
      <c r="V91" s="411"/>
      <c r="W91" s="411"/>
      <c r="X91" s="411"/>
      <c r="Y91" s="411"/>
      <c r="Z91" s="411"/>
      <c r="AA91" s="411"/>
      <c r="AB91" s="411"/>
      <c r="AC91" s="411"/>
      <c r="AD91" s="411"/>
      <c r="AE91" s="411"/>
      <c r="AF91" s="412"/>
    </row>
    <row r="92" spans="2:32" x14ac:dyDescent="0.25">
      <c r="B92" s="410"/>
      <c r="C92" s="979" t="s">
        <v>63</v>
      </c>
      <c r="D92" s="1741" t="str">
        <f>IF('1A'!$G$7="","Enter Project Name on Form 1A",'1A'!$G$7)</f>
        <v>Building 9 South (4%)</v>
      </c>
      <c r="E92" s="978"/>
      <c r="F92" s="978"/>
      <c r="G92" s="978"/>
      <c r="H92" s="978"/>
      <c r="I92" s="978"/>
      <c r="J92" s="1038"/>
      <c r="K92" s="1038"/>
      <c r="L92" s="1038"/>
      <c r="M92" s="979"/>
      <c r="N92" s="979"/>
      <c r="O92" s="979"/>
      <c r="P92" s="412"/>
      <c r="R92" s="410"/>
      <c r="S92" s="979" t="s">
        <v>63</v>
      </c>
      <c r="T92" s="1741" t="str">
        <f>IF('1A'!$G$9="","Enter Project Name on Form 1A",'1A'!$G$9)</f>
        <v>Building 9 North (9%)</v>
      </c>
      <c r="U92" s="1708"/>
      <c r="V92" s="1708"/>
      <c r="W92" s="1708"/>
      <c r="X92" s="1708"/>
      <c r="Y92" s="1708"/>
      <c r="Z92" s="1038"/>
      <c r="AA92" s="1038"/>
      <c r="AB92" s="1038"/>
      <c r="AC92" s="979"/>
      <c r="AD92" s="979"/>
      <c r="AE92" s="979"/>
      <c r="AF92" s="412"/>
    </row>
    <row r="93" spans="2:32" ht="3.75" customHeight="1" x14ac:dyDescent="0.25">
      <c r="B93" s="410"/>
      <c r="C93" s="979"/>
      <c r="D93" s="979"/>
      <c r="E93" s="979"/>
      <c r="F93" s="979"/>
      <c r="G93" s="979"/>
      <c r="H93" s="979"/>
      <c r="I93" s="1038"/>
      <c r="J93" s="1038"/>
      <c r="K93" s="1038"/>
      <c r="L93" s="1038"/>
      <c r="M93" s="979"/>
      <c r="N93" s="979"/>
      <c r="O93" s="979"/>
      <c r="P93" s="412"/>
      <c r="R93" s="410"/>
      <c r="S93" s="979"/>
      <c r="T93" s="979"/>
      <c r="U93" s="979"/>
      <c r="V93" s="979"/>
      <c r="W93" s="979"/>
      <c r="X93" s="979"/>
      <c r="Y93" s="1038"/>
      <c r="Z93" s="1038"/>
      <c r="AA93" s="1038"/>
      <c r="AB93" s="1038"/>
      <c r="AC93" s="979"/>
      <c r="AD93" s="979"/>
      <c r="AE93" s="979"/>
      <c r="AF93" s="412"/>
    </row>
    <row r="94" spans="2:32" x14ac:dyDescent="0.25">
      <c r="B94" s="413"/>
      <c r="C94" s="979" t="s">
        <v>398</v>
      </c>
      <c r="D94" s="1186">
        <f ca="1">IF(D13=0,"",D13)</f>
        <v>42285</v>
      </c>
      <c r="E94" s="414"/>
      <c r="F94" s="414"/>
      <c r="G94" s="414"/>
      <c r="H94" s="414"/>
      <c r="I94" s="415"/>
      <c r="J94" s="415"/>
      <c r="K94" s="415"/>
      <c r="L94" s="415"/>
      <c r="M94" s="415"/>
      <c r="N94" s="416"/>
      <c r="O94" s="415"/>
      <c r="P94" s="417"/>
      <c r="R94" s="413"/>
      <c r="S94" s="979" t="s">
        <v>398</v>
      </c>
      <c r="T94" s="1186">
        <f ca="1">IF(T13=0,"",T13)</f>
        <v>42285</v>
      </c>
      <c r="U94" s="414"/>
      <c r="V94" s="414"/>
      <c r="W94" s="414"/>
      <c r="X94" s="414"/>
      <c r="Y94" s="415"/>
      <c r="Z94" s="415"/>
      <c r="AA94" s="415"/>
      <c r="AB94" s="415"/>
      <c r="AC94" s="415"/>
      <c r="AD94" s="416"/>
      <c r="AE94" s="415"/>
      <c r="AF94" s="417"/>
    </row>
    <row r="95" spans="2:32" ht="7.5" customHeight="1" x14ac:dyDescent="0.25">
      <c r="B95" s="290"/>
      <c r="C95" s="250"/>
      <c r="D95" s="250"/>
      <c r="E95" s="250"/>
      <c r="F95" s="250"/>
      <c r="G95" s="250"/>
      <c r="H95" s="250"/>
      <c r="I95" s="250"/>
      <c r="J95" s="250"/>
      <c r="K95" s="250"/>
      <c r="L95" s="250"/>
      <c r="M95" s="250"/>
      <c r="N95" s="250"/>
      <c r="O95" s="250"/>
      <c r="P95" s="251"/>
      <c r="R95" s="290"/>
      <c r="S95" s="841"/>
      <c r="T95" s="841"/>
      <c r="U95" s="841"/>
      <c r="V95" s="841"/>
      <c r="W95" s="841"/>
      <c r="X95" s="841"/>
      <c r="Y95" s="841"/>
      <c r="Z95" s="841"/>
      <c r="AA95" s="841"/>
      <c r="AB95" s="841"/>
      <c r="AC95" s="841"/>
      <c r="AD95" s="841"/>
      <c r="AE95" s="841"/>
      <c r="AF95" s="843"/>
    </row>
    <row r="96" spans="2:32" ht="15.75" thickBot="1" x14ac:dyDescent="0.3">
      <c r="B96" s="419"/>
      <c r="C96" s="338" t="s">
        <v>399</v>
      </c>
      <c r="D96" s="339"/>
      <c r="E96" s="337"/>
      <c r="F96" s="337"/>
      <c r="G96" s="337"/>
      <c r="H96" s="337"/>
      <c r="I96" s="339"/>
      <c r="J96" s="339"/>
      <c r="K96" s="339"/>
      <c r="L96" s="339"/>
      <c r="M96" s="339"/>
      <c r="N96" s="341"/>
      <c r="O96" s="339"/>
      <c r="P96" s="421"/>
      <c r="R96" s="419"/>
      <c r="S96" s="338" t="s">
        <v>399</v>
      </c>
      <c r="T96" s="339"/>
      <c r="U96" s="337"/>
      <c r="V96" s="337"/>
      <c r="W96" s="337"/>
      <c r="X96" s="337"/>
      <c r="Y96" s="339"/>
      <c r="Z96" s="339"/>
      <c r="AA96" s="339"/>
      <c r="AB96" s="339"/>
      <c r="AC96" s="339"/>
      <c r="AD96" s="341"/>
      <c r="AE96" s="339"/>
      <c r="AF96" s="421"/>
    </row>
    <row r="97" spans="2:32" ht="15.75" thickBot="1" x14ac:dyDescent="0.3">
      <c r="B97" s="290"/>
      <c r="C97" s="428"/>
      <c r="D97" s="1038"/>
      <c r="E97" s="1038"/>
      <c r="F97" s="1038"/>
      <c r="G97" s="1038"/>
      <c r="H97" s="388" t="s">
        <v>465</v>
      </c>
      <c r="I97" s="389" t="s">
        <v>466</v>
      </c>
      <c r="J97" s="343" t="s">
        <v>467</v>
      </c>
      <c r="K97" s="343" t="s">
        <v>468</v>
      </c>
      <c r="L97" s="343" t="s">
        <v>469</v>
      </c>
      <c r="M97" s="343" t="s">
        <v>470</v>
      </c>
      <c r="N97" s="343" t="s">
        <v>471</v>
      </c>
      <c r="O97" s="344" t="s">
        <v>472</v>
      </c>
      <c r="P97" s="251"/>
      <c r="R97" s="290"/>
      <c r="S97" s="428"/>
      <c r="T97" s="1038"/>
      <c r="U97" s="1038"/>
      <c r="V97" s="1038"/>
      <c r="W97" s="1038"/>
      <c r="X97" s="388" t="s">
        <v>465</v>
      </c>
      <c r="Y97" s="389" t="s">
        <v>466</v>
      </c>
      <c r="Z97" s="343" t="s">
        <v>467</v>
      </c>
      <c r="AA97" s="343" t="s">
        <v>468</v>
      </c>
      <c r="AB97" s="343" t="s">
        <v>469</v>
      </c>
      <c r="AC97" s="343" t="s">
        <v>470</v>
      </c>
      <c r="AD97" s="343" t="s">
        <v>471</v>
      </c>
      <c r="AE97" s="344" t="s">
        <v>472</v>
      </c>
      <c r="AF97" s="843"/>
    </row>
    <row r="98" spans="2:32" x14ac:dyDescent="0.25">
      <c r="B98" s="290"/>
      <c r="C98" s="420" t="s">
        <v>407</v>
      </c>
      <c r="D98" s="1038"/>
      <c r="E98" s="1038"/>
      <c r="F98" s="1038"/>
      <c r="G98" s="1038"/>
      <c r="H98" s="346"/>
      <c r="I98" s="347"/>
      <c r="J98" s="347"/>
      <c r="K98" s="347"/>
      <c r="L98" s="347"/>
      <c r="M98" s="347"/>
      <c r="N98" s="347"/>
      <c r="O98" s="348"/>
      <c r="P98" s="251"/>
      <c r="R98" s="290"/>
      <c r="S98" s="420" t="s">
        <v>407</v>
      </c>
      <c r="T98" s="1038"/>
      <c r="U98" s="1038"/>
      <c r="V98" s="1038"/>
      <c r="W98" s="1038"/>
      <c r="X98" s="346"/>
      <c r="Y98" s="347"/>
      <c r="Z98" s="347"/>
      <c r="AA98" s="347"/>
      <c r="AB98" s="347"/>
      <c r="AC98" s="347"/>
      <c r="AD98" s="347"/>
      <c r="AE98" s="348"/>
      <c r="AF98" s="843"/>
    </row>
    <row r="99" spans="2:32" x14ac:dyDescent="0.25">
      <c r="B99" s="290"/>
      <c r="C99" s="474" t="s">
        <v>409</v>
      </c>
      <c r="D99" s="1038"/>
      <c r="E99" s="1038"/>
      <c r="F99" s="1038"/>
      <c r="G99" s="1038"/>
      <c r="H99" s="464">
        <f>O18+(O18*$G18)</f>
        <v>1245024.7036490713</v>
      </c>
      <c r="I99" s="475">
        <f>H99+(H99*$G18)</f>
        <v>1276150.321240298</v>
      </c>
      <c r="J99" s="475">
        <f t="shared" ref="J99:O99" si="55">I99+(I99*$G18)</f>
        <v>1308054.0792713054</v>
      </c>
      <c r="K99" s="475">
        <f t="shared" si="55"/>
        <v>1340755.4312530879</v>
      </c>
      <c r="L99" s="475">
        <f t="shared" si="55"/>
        <v>1374274.3170344152</v>
      </c>
      <c r="M99" s="475">
        <f t="shared" si="55"/>
        <v>1408631.1749602756</v>
      </c>
      <c r="N99" s="475">
        <f t="shared" si="55"/>
        <v>1443846.9543342825</v>
      </c>
      <c r="O99" s="476">
        <f t="shared" si="55"/>
        <v>1479943.1281926397</v>
      </c>
      <c r="P99" s="251"/>
      <c r="R99" s="290"/>
      <c r="S99" s="474" t="s">
        <v>409</v>
      </c>
      <c r="T99" s="1038"/>
      <c r="U99" s="1038"/>
      <c r="V99" s="1038"/>
      <c r="W99" s="1038"/>
      <c r="X99" s="464">
        <f>AE18+(AE18*$G18)</f>
        <v>427170.86718122364</v>
      </c>
      <c r="Y99" s="475">
        <f t="shared" ref="Y99:AE99" si="56">X99+(X99*$G18)</f>
        <v>437850.13886075426</v>
      </c>
      <c r="Z99" s="475">
        <f t="shared" si="56"/>
        <v>448796.39233227313</v>
      </c>
      <c r="AA99" s="475">
        <f t="shared" si="56"/>
        <v>460016.30214057997</v>
      </c>
      <c r="AB99" s="475">
        <f t="shared" si="56"/>
        <v>471516.70969409449</v>
      </c>
      <c r="AC99" s="475">
        <f t="shared" si="56"/>
        <v>483304.62743644684</v>
      </c>
      <c r="AD99" s="475">
        <f t="shared" si="56"/>
        <v>495387.24312235799</v>
      </c>
      <c r="AE99" s="476">
        <f t="shared" si="56"/>
        <v>507771.92420041695</v>
      </c>
      <c r="AF99" s="843"/>
    </row>
    <row r="100" spans="2:32" x14ac:dyDescent="0.25">
      <c r="B100" s="290"/>
      <c r="C100" s="474" t="s">
        <v>355</v>
      </c>
      <c r="D100" s="1038"/>
      <c r="E100" s="1038"/>
      <c r="F100" s="1038"/>
      <c r="G100" s="1038"/>
      <c r="H100" s="1190"/>
      <c r="I100" s="1191"/>
      <c r="J100" s="1191"/>
      <c r="K100" s="1191"/>
      <c r="L100" s="1191"/>
      <c r="M100" s="1191"/>
      <c r="N100" s="1191"/>
      <c r="O100" s="1192"/>
      <c r="P100" s="251"/>
      <c r="R100" s="290"/>
      <c r="S100" s="474" t="s">
        <v>355</v>
      </c>
      <c r="T100" s="1038"/>
      <c r="U100" s="1038"/>
      <c r="V100" s="1038"/>
      <c r="W100" s="1038"/>
      <c r="X100" s="1190"/>
      <c r="Y100" s="1191"/>
      <c r="Z100" s="1191"/>
      <c r="AA100" s="1191"/>
      <c r="AB100" s="1191"/>
      <c r="AC100" s="1191"/>
      <c r="AD100" s="1191"/>
      <c r="AE100" s="1192"/>
      <c r="AF100" s="843"/>
    </row>
    <row r="101" spans="2:32" x14ac:dyDescent="0.25">
      <c r="B101" s="290"/>
      <c r="C101" s="474" t="s">
        <v>365</v>
      </c>
      <c r="D101" s="1038"/>
      <c r="E101" s="1038"/>
      <c r="F101" s="1038"/>
      <c r="G101" s="1038"/>
      <c r="H101" s="464">
        <v>0</v>
      </c>
      <c r="I101" s="475">
        <v>0</v>
      </c>
      <c r="J101" s="475">
        <v>0</v>
      </c>
      <c r="K101" s="475">
        <v>0</v>
      </c>
      <c r="L101" s="475">
        <v>0</v>
      </c>
      <c r="M101" s="475">
        <v>0</v>
      </c>
      <c r="N101" s="475">
        <v>0</v>
      </c>
      <c r="O101" s="476">
        <v>0</v>
      </c>
      <c r="P101" s="251"/>
      <c r="R101" s="290"/>
      <c r="S101" s="474" t="s">
        <v>365</v>
      </c>
      <c r="T101" s="1038"/>
      <c r="U101" s="1038"/>
      <c r="V101" s="1038"/>
      <c r="W101" s="1038"/>
      <c r="X101" s="464">
        <v>0</v>
      </c>
      <c r="Y101" s="475">
        <v>0</v>
      </c>
      <c r="Z101" s="475">
        <v>0</v>
      </c>
      <c r="AA101" s="475">
        <v>0</v>
      </c>
      <c r="AB101" s="475">
        <v>0</v>
      </c>
      <c r="AC101" s="475">
        <v>0</v>
      </c>
      <c r="AD101" s="475">
        <v>0</v>
      </c>
      <c r="AE101" s="476">
        <v>0</v>
      </c>
      <c r="AF101" s="843"/>
    </row>
    <row r="102" spans="2:32" x14ac:dyDescent="0.25">
      <c r="B102" s="290"/>
      <c r="C102" s="474" t="s">
        <v>473</v>
      </c>
      <c r="D102" s="2607" t="str">
        <f>IF(D21=0,"",D21)</f>
        <v>Laundry, Forfeited Deposits, App Fees, Parking</v>
      </c>
      <c r="E102" s="2608"/>
      <c r="F102" s="2608"/>
      <c r="G102" s="428"/>
      <c r="H102" s="464">
        <f>O21+(O21*$G21)</f>
        <v>24260.241300752798</v>
      </c>
      <c r="I102" s="475">
        <f>H102+(H102*$G21)</f>
        <v>24745.446126767853</v>
      </c>
      <c r="J102" s="475">
        <f t="shared" ref="J102:O103" si="57">I102+(I102*$G21)</f>
        <v>25240.355049303209</v>
      </c>
      <c r="K102" s="475">
        <f t="shared" si="57"/>
        <v>25745.162150289274</v>
      </c>
      <c r="L102" s="475">
        <f t="shared" si="57"/>
        <v>26260.065393295059</v>
      </c>
      <c r="M102" s="475">
        <f t="shared" si="57"/>
        <v>26785.266701160959</v>
      </c>
      <c r="N102" s="475">
        <f t="shared" si="57"/>
        <v>27320.972035184179</v>
      </c>
      <c r="O102" s="476">
        <f t="shared" si="57"/>
        <v>27867.391475887864</v>
      </c>
      <c r="P102" s="251"/>
      <c r="R102" s="290"/>
      <c r="S102" s="474" t="s">
        <v>473</v>
      </c>
      <c r="T102" s="2566" t="str">
        <f>IF(T21=0,"",T21)</f>
        <v>Laundry, Forfeited Deposits, App Fees, Parking</v>
      </c>
      <c r="U102" s="2567"/>
      <c r="V102" s="2567"/>
      <c r="W102" s="428"/>
      <c r="X102" s="464">
        <f>AE21+(AE21*$G21)</f>
        <v>13232.858891319705</v>
      </c>
      <c r="Y102" s="475">
        <f t="shared" ref="Y102:AE103" si="58">X102+(X102*$G21)</f>
        <v>13497.516069146099</v>
      </c>
      <c r="Z102" s="475">
        <f t="shared" si="58"/>
        <v>13767.46639052902</v>
      </c>
      <c r="AA102" s="475">
        <f t="shared" si="58"/>
        <v>14042.8157183396</v>
      </c>
      <c r="AB102" s="475">
        <f t="shared" si="58"/>
        <v>14323.672032706392</v>
      </c>
      <c r="AC102" s="475">
        <f t="shared" si="58"/>
        <v>14610.145473360521</v>
      </c>
      <c r="AD102" s="475">
        <f t="shared" si="58"/>
        <v>14902.348382827731</v>
      </c>
      <c r="AE102" s="476">
        <f t="shared" si="58"/>
        <v>15200.395350484287</v>
      </c>
      <c r="AF102" s="843"/>
    </row>
    <row r="103" spans="2:32" x14ac:dyDescent="0.25">
      <c r="B103" s="290"/>
      <c r="C103" s="456" t="s">
        <v>473</v>
      </c>
      <c r="D103" s="2566" t="str">
        <f>IF(D22=0,"",D22)</f>
        <v/>
      </c>
      <c r="E103" s="2567"/>
      <c r="F103" s="2567"/>
      <c r="G103" s="428"/>
      <c r="H103" s="464">
        <f>O22+(O22*$G22)</f>
        <v>0</v>
      </c>
      <c r="I103" s="475">
        <f>H103+(H103*$G22)</f>
        <v>0</v>
      </c>
      <c r="J103" s="475">
        <f t="shared" si="57"/>
        <v>0</v>
      </c>
      <c r="K103" s="475">
        <f t="shared" si="57"/>
        <v>0</v>
      </c>
      <c r="L103" s="475">
        <f t="shared" si="57"/>
        <v>0</v>
      </c>
      <c r="M103" s="475">
        <f t="shared" si="57"/>
        <v>0</v>
      </c>
      <c r="N103" s="475">
        <f t="shared" si="57"/>
        <v>0</v>
      </c>
      <c r="O103" s="476">
        <f t="shared" si="57"/>
        <v>0</v>
      </c>
      <c r="P103" s="251"/>
      <c r="R103" s="290"/>
      <c r="S103" s="456" t="s">
        <v>473</v>
      </c>
      <c r="T103" s="2566" t="str">
        <f>IF(T22=0,"",T22)</f>
        <v/>
      </c>
      <c r="U103" s="2567"/>
      <c r="V103" s="2567"/>
      <c r="W103" s="428"/>
      <c r="X103" s="464">
        <f>AE22+(AE22*$G22)</f>
        <v>0</v>
      </c>
      <c r="Y103" s="475">
        <f t="shared" si="58"/>
        <v>0</v>
      </c>
      <c r="Z103" s="475">
        <f t="shared" si="58"/>
        <v>0</v>
      </c>
      <c r="AA103" s="475">
        <f t="shared" si="58"/>
        <v>0</v>
      </c>
      <c r="AB103" s="475">
        <f t="shared" si="58"/>
        <v>0</v>
      </c>
      <c r="AC103" s="475">
        <f t="shared" si="58"/>
        <v>0</v>
      </c>
      <c r="AD103" s="475">
        <f t="shared" si="58"/>
        <v>0</v>
      </c>
      <c r="AE103" s="476">
        <f t="shared" si="58"/>
        <v>0</v>
      </c>
      <c r="AF103" s="843"/>
    </row>
    <row r="104" spans="2:32" x14ac:dyDescent="0.25">
      <c r="B104" s="290"/>
      <c r="C104" s="428" t="s">
        <v>411</v>
      </c>
      <c r="D104" s="1038"/>
      <c r="E104" s="1038"/>
      <c r="F104" s="1038"/>
      <c r="G104" s="1038"/>
      <c r="H104" s="390">
        <f>SUM(H99:H103)</f>
        <v>1269284.9449498241</v>
      </c>
      <c r="I104" s="391">
        <f t="shared" ref="I104:N104" si="59">SUM(I99:I103)</f>
        <v>1300895.7673670659</v>
      </c>
      <c r="J104" s="391">
        <f t="shared" si="59"/>
        <v>1333294.4343206086</v>
      </c>
      <c r="K104" s="391">
        <f t="shared" si="59"/>
        <v>1366500.5934033771</v>
      </c>
      <c r="L104" s="391">
        <f t="shared" si="59"/>
        <v>1400534.3824277103</v>
      </c>
      <c r="M104" s="391">
        <f t="shared" si="59"/>
        <v>1435416.4416614366</v>
      </c>
      <c r="N104" s="391">
        <f t="shared" si="59"/>
        <v>1471167.9263694668</v>
      </c>
      <c r="O104" s="392">
        <f>SUM(O99:O103)</f>
        <v>1507810.5196685276</v>
      </c>
      <c r="P104" s="251"/>
      <c r="R104" s="290"/>
      <c r="S104" s="428" t="s">
        <v>411</v>
      </c>
      <c r="T104" s="1038"/>
      <c r="U104" s="1038"/>
      <c r="V104" s="1038"/>
      <c r="W104" s="1038"/>
      <c r="X104" s="390">
        <f>SUM(X99:X103)</f>
        <v>440403.72607254336</v>
      </c>
      <c r="Y104" s="391">
        <f t="shared" ref="Y104:AD104" si="60">SUM(Y99:Y103)</f>
        <v>451347.65492990037</v>
      </c>
      <c r="Z104" s="391">
        <f t="shared" si="60"/>
        <v>462563.85872280214</v>
      </c>
      <c r="AA104" s="391">
        <f t="shared" si="60"/>
        <v>474059.11785891955</v>
      </c>
      <c r="AB104" s="391">
        <f t="shared" si="60"/>
        <v>485840.38172680087</v>
      </c>
      <c r="AC104" s="391">
        <f t="shared" si="60"/>
        <v>497914.77290980739</v>
      </c>
      <c r="AD104" s="391">
        <f t="shared" si="60"/>
        <v>510289.5915051857</v>
      </c>
      <c r="AE104" s="392">
        <f>SUM(AE99:AE103)</f>
        <v>522972.31955090124</v>
      </c>
      <c r="AF104" s="843"/>
    </row>
    <row r="105" spans="2:32" x14ac:dyDescent="0.25">
      <c r="B105" s="290"/>
      <c r="C105" s="428"/>
      <c r="D105" s="1038"/>
      <c r="E105" s="1038"/>
      <c r="F105" s="1038"/>
      <c r="G105" s="1038"/>
      <c r="H105" s="393"/>
      <c r="I105" s="394"/>
      <c r="J105" s="394"/>
      <c r="K105" s="394"/>
      <c r="L105" s="394"/>
      <c r="M105" s="394"/>
      <c r="N105" s="394"/>
      <c r="O105" s="395"/>
      <c r="P105" s="251"/>
      <c r="R105" s="290"/>
      <c r="S105" s="428"/>
      <c r="T105" s="1038"/>
      <c r="U105" s="1038"/>
      <c r="V105" s="1038"/>
      <c r="W105" s="1038"/>
      <c r="X105" s="393"/>
      <c r="Y105" s="394"/>
      <c r="Z105" s="394"/>
      <c r="AA105" s="394"/>
      <c r="AB105" s="394"/>
      <c r="AC105" s="394"/>
      <c r="AD105" s="394"/>
      <c r="AE105" s="395"/>
      <c r="AF105" s="843"/>
    </row>
    <row r="106" spans="2:32" x14ac:dyDescent="0.25">
      <c r="B106" s="290"/>
      <c r="C106" s="428" t="s">
        <v>413</v>
      </c>
      <c r="D106" s="1038"/>
      <c r="E106" s="1038"/>
      <c r="F106" s="1038"/>
      <c r="G106" s="1038"/>
      <c r="H106" s="1472">
        <v>0</v>
      </c>
      <c r="I106" s="1473">
        <v>0</v>
      </c>
      <c r="J106" s="1473">
        <v>0</v>
      </c>
      <c r="K106" s="1473">
        <v>0</v>
      </c>
      <c r="L106" s="1473">
        <v>0</v>
      </c>
      <c r="M106" s="1473">
        <v>0</v>
      </c>
      <c r="N106" s="1473">
        <v>0</v>
      </c>
      <c r="O106" s="1474">
        <v>0</v>
      </c>
      <c r="P106" s="251"/>
      <c r="R106" s="290"/>
      <c r="S106" s="428" t="s">
        <v>413</v>
      </c>
      <c r="T106" s="1038"/>
      <c r="U106" s="1038"/>
      <c r="V106" s="1038"/>
      <c r="W106" s="1038"/>
      <c r="X106" s="1472">
        <v>0</v>
      </c>
      <c r="Y106" s="1473">
        <v>0</v>
      </c>
      <c r="Z106" s="1473">
        <v>0</v>
      </c>
      <c r="AA106" s="1473">
        <v>0</v>
      </c>
      <c r="AB106" s="1473">
        <v>0</v>
      </c>
      <c r="AC106" s="1473">
        <v>0</v>
      </c>
      <c r="AD106" s="1473">
        <v>0</v>
      </c>
      <c r="AE106" s="1474">
        <v>0</v>
      </c>
      <c r="AF106" s="843"/>
    </row>
    <row r="107" spans="2:32" x14ac:dyDescent="0.25">
      <c r="B107" s="290"/>
      <c r="C107" s="428"/>
      <c r="D107" s="1038"/>
      <c r="E107" s="1038"/>
      <c r="F107" s="1038"/>
      <c r="G107" s="1038"/>
      <c r="H107" s="393"/>
      <c r="I107" s="394"/>
      <c r="J107" s="394"/>
      <c r="K107" s="394"/>
      <c r="L107" s="394"/>
      <c r="M107" s="394"/>
      <c r="N107" s="394"/>
      <c r="O107" s="395"/>
      <c r="P107" s="251"/>
      <c r="R107" s="290"/>
      <c r="S107" s="428"/>
      <c r="T107" s="1038"/>
      <c r="U107" s="1038"/>
      <c r="V107" s="1038"/>
      <c r="W107" s="1038"/>
      <c r="X107" s="393"/>
      <c r="Y107" s="394"/>
      <c r="Z107" s="394"/>
      <c r="AA107" s="394"/>
      <c r="AB107" s="394"/>
      <c r="AC107" s="394"/>
      <c r="AD107" s="394"/>
      <c r="AE107" s="395"/>
      <c r="AF107" s="843"/>
    </row>
    <row r="108" spans="2:32" ht="15.75" thickBot="1" x14ac:dyDescent="0.3">
      <c r="B108" s="290"/>
      <c r="C108" s="431" t="s">
        <v>414</v>
      </c>
      <c r="D108" s="1150"/>
      <c r="E108" s="1150"/>
      <c r="F108" s="1150"/>
      <c r="G108" s="1150"/>
      <c r="H108" s="1475">
        <v>0</v>
      </c>
      <c r="I108" s="1476">
        <v>0</v>
      </c>
      <c r="J108" s="1476">
        <v>0</v>
      </c>
      <c r="K108" s="1476">
        <v>0</v>
      </c>
      <c r="L108" s="1476">
        <v>0</v>
      </c>
      <c r="M108" s="1476">
        <v>0</v>
      </c>
      <c r="N108" s="1476">
        <v>0</v>
      </c>
      <c r="O108" s="1477">
        <v>0</v>
      </c>
      <c r="P108" s="251"/>
      <c r="R108" s="290"/>
      <c r="S108" s="431" t="s">
        <v>414</v>
      </c>
      <c r="T108" s="1150"/>
      <c r="U108" s="1150"/>
      <c r="V108" s="1150"/>
      <c r="W108" s="1150"/>
      <c r="X108" s="1475">
        <v>0</v>
      </c>
      <c r="Y108" s="1476">
        <v>0</v>
      </c>
      <c r="Z108" s="1476">
        <v>0</v>
      </c>
      <c r="AA108" s="1476">
        <v>0</v>
      </c>
      <c r="AB108" s="1476">
        <v>0</v>
      </c>
      <c r="AC108" s="1476">
        <v>0</v>
      </c>
      <c r="AD108" s="1476">
        <v>0</v>
      </c>
      <c r="AE108" s="1477">
        <v>0</v>
      </c>
      <c r="AF108" s="843"/>
    </row>
    <row r="109" spans="2:32" ht="15.75" thickTop="1" x14ac:dyDescent="0.25">
      <c r="B109" s="290"/>
      <c r="C109" s="420" t="s">
        <v>415</v>
      </c>
      <c r="D109" s="1038"/>
      <c r="E109" s="1038"/>
      <c r="F109" s="1038"/>
      <c r="G109" s="1038"/>
      <c r="H109" s="396">
        <f>H104+H106+H108</f>
        <v>1269284.9449498241</v>
      </c>
      <c r="I109" s="397">
        <f t="shared" ref="I109:N109" si="61">I104+I106+I108</f>
        <v>1300895.7673670659</v>
      </c>
      <c r="J109" s="397">
        <f t="shared" si="61"/>
        <v>1333294.4343206086</v>
      </c>
      <c r="K109" s="397">
        <f t="shared" si="61"/>
        <v>1366500.5934033771</v>
      </c>
      <c r="L109" s="397">
        <f t="shared" si="61"/>
        <v>1400534.3824277103</v>
      </c>
      <c r="M109" s="397">
        <f t="shared" si="61"/>
        <v>1435416.4416614366</v>
      </c>
      <c r="N109" s="397">
        <f t="shared" si="61"/>
        <v>1471167.9263694668</v>
      </c>
      <c r="O109" s="398">
        <f>O104+O106+O108</f>
        <v>1507810.5196685276</v>
      </c>
      <c r="P109" s="251"/>
      <c r="R109" s="290"/>
      <c r="S109" s="420" t="s">
        <v>415</v>
      </c>
      <c r="T109" s="1038"/>
      <c r="U109" s="1038"/>
      <c r="V109" s="1038"/>
      <c r="W109" s="1038"/>
      <c r="X109" s="396">
        <f>X104+X106+X108</f>
        <v>440403.72607254336</v>
      </c>
      <c r="Y109" s="397">
        <f t="shared" ref="Y109:AD109" si="62">Y104+Y106+Y108</f>
        <v>451347.65492990037</v>
      </c>
      <c r="Z109" s="397">
        <f t="shared" si="62"/>
        <v>462563.85872280214</v>
      </c>
      <c r="AA109" s="397">
        <f t="shared" si="62"/>
        <v>474059.11785891955</v>
      </c>
      <c r="AB109" s="397">
        <f t="shared" si="62"/>
        <v>485840.38172680087</v>
      </c>
      <c r="AC109" s="397">
        <f t="shared" si="62"/>
        <v>497914.77290980739</v>
      </c>
      <c r="AD109" s="397">
        <f t="shared" si="62"/>
        <v>510289.5915051857</v>
      </c>
      <c r="AE109" s="398">
        <f>AE104+AE106+AE108</f>
        <v>522972.31955090124</v>
      </c>
      <c r="AF109" s="843"/>
    </row>
    <row r="110" spans="2:32" x14ac:dyDescent="0.25">
      <c r="B110" s="290"/>
      <c r="C110" s="420"/>
      <c r="D110" s="1038"/>
      <c r="E110" s="1038"/>
      <c r="F110" s="1038"/>
      <c r="G110" s="1038"/>
      <c r="H110" s="393"/>
      <c r="I110" s="394"/>
      <c r="J110" s="394"/>
      <c r="K110" s="394"/>
      <c r="L110" s="394"/>
      <c r="M110" s="394"/>
      <c r="N110" s="394"/>
      <c r="O110" s="395"/>
      <c r="P110" s="251"/>
      <c r="R110" s="290"/>
      <c r="S110" s="420"/>
      <c r="T110" s="1038"/>
      <c r="U110" s="1038"/>
      <c r="V110" s="1038"/>
      <c r="W110" s="1038"/>
      <c r="X110" s="393"/>
      <c r="Y110" s="394"/>
      <c r="Z110" s="394"/>
      <c r="AA110" s="394"/>
      <c r="AB110" s="394"/>
      <c r="AC110" s="394"/>
      <c r="AD110" s="394"/>
      <c r="AE110" s="395"/>
      <c r="AF110" s="843"/>
    </row>
    <row r="111" spans="2:32" x14ac:dyDescent="0.25">
      <c r="B111" s="290"/>
      <c r="C111" s="477" t="s">
        <v>474</v>
      </c>
      <c r="D111" s="1038"/>
      <c r="E111" s="1038"/>
      <c r="F111" s="1038"/>
      <c r="G111" s="1038"/>
      <c r="H111" s="1176">
        <f>-H104*$G30</f>
        <v>-63464.247247491207</v>
      </c>
      <c r="I111" s="1177">
        <f t="shared" ref="I111:O111" si="63">-I104*$G30</f>
        <v>-65044.7883683533</v>
      </c>
      <c r="J111" s="1177">
        <f t="shared" si="63"/>
        <v>-66664.721716030428</v>
      </c>
      <c r="K111" s="1177">
        <f t="shared" si="63"/>
        <v>-68325.029670168864</v>
      </c>
      <c r="L111" s="1177">
        <f t="shared" si="63"/>
        <v>-70026.719121385526</v>
      </c>
      <c r="M111" s="1177">
        <f t="shared" si="63"/>
        <v>-71770.822083071835</v>
      </c>
      <c r="N111" s="1177">
        <f t="shared" si="63"/>
        <v>-73558.396318473344</v>
      </c>
      <c r="O111" s="1178">
        <f t="shared" si="63"/>
        <v>-75390.525983426385</v>
      </c>
      <c r="P111" s="251"/>
      <c r="R111" s="290"/>
      <c r="S111" s="477" t="s">
        <v>474</v>
      </c>
      <c r="T111" s="1038"/>
      <c r="U111" s="1038"/>
      <c r="V111" s="1038"/>
      <c r="W111" s="1038"/>
      <c r="X111" s="1176">
        <f>-X104*$G30</f>
        <v>-22020.186303627168</v>
      </c>
      <c r="Y111" s="1177">
        <f t="shared" ref="Y111:AE111" si="64">-Y104*$G30</f>
        <v>-22567.382746495019</v>
      </c>
      <c r="Z111" s="1177">
        <f t="shared" si="64"/>
        <v>-23128.192936140109</v>
      </c>
      <c r="AA111" s="1177">
        <f t="shared" si="64"/>
        <v>-23702.955892945978</v>
      </c>
      <c r="AB111" s="1177">
        <f t="shared" si="64"/>
        <v>-24292.019086340046</v>
      </c>
      <c r="AC111" s="1177">
        <f t="shared" si="64"/>
        <v>-24895.738645490372</v>
      </c>
      <c r="AD111" s="1177">
        <f t="shared" si="64"/>
        <v>-25514.479575259287</v>
      </c>
      <c r="AE111" s="1178">
        <f t="shared" si="64"/>
        <v>-26148.615977545065</v>
      </c>
      <c r="AF111" s="843"/>
    </row>
    <row r="112" spans="2:32" ht="15.75" thickBot="1" x14ac:dyDescent="0.3">
      <c r="B112" s="290"/>
      <c r="C112" s="435" t="s">
        <v>475</v>
      </c>
      <c r="D112" s="1150"/>
      <c r="E112" s="1150"/>
      <c r="F112" s="1150"/>
      <c r="G112" s="1150"/>
      <c r="H112" s="1179">
        <f>-H108*$G31</f>
        <v>0</v>
      </c>
      <c r="I112" s="1180">
        <f>-I108*$G31</f>
        <v>0</v>
      </c>
      <c r="J112" s="1180">
        <f t="shared" ref="J112:O112" si="65">-J108*$G31</f>
        <v>0</v>
      </c>
      <c r="K112" s="1180">
        <f t="shared" si="65"/>
        <v>0</v>
      </c>
      <c r="L112" s="1180">
        <f t="shared" si="65"/>
        <v>0</v>
      </c>
      <c r="M112" s="1180">
        <f t="shared" si="65"/>
        <v>0</v>
      </c>
      <c r="N112" s="1180">
        <f t="shared" si="65"/>
        <v>0</v>
      </c>
      <c r="O112" s="1181">
        <f t="shared" si="65"/>
        <v>0</v>
      </c>
      <c r="P112" s="251"/>
      <c r="R112" s="290"/>
      <c r="S112" s="435" t="s">
        <v>475</v>
      </c>
      <c r="T112" s="1150"/>
      <c r="U112" s="1150"/>
      <c r="V112" s="1150"/>
      <c r="W112" s="1150"/>
      <c r="X112" s="1179">
        <f>-X108*$G31</f>
        <v>0</v>
      </c>
      <c r="Y112" s="1180">
        <f>-Y108*$G31</f>
        <v>0</v>
      </c>
      <c r="Z112" s="1180">
        <f t="shared" ref="Z112:AE112" si="66">-Z108*$G31</f>
        <v>0</v>
      </c>
      <c r="AA112" s="1180">
        <f t="shared" si="66"/>
        <v>0</v>
      </c>
      <c r="AB112" s="1180">
        <f t="shared" si="66"/>
        <v>0</v>
      </c>
      <c r="AC112" s="1180">
        <f t="shared" si="66"/>
        <v>0</v>
      </c>
      <c r="AD112" s="1180">
        <f t="shared" si="66"/>
        <v>0</v>
      </c>
      <c r="AE112" s="1181">
        <f t="shared" si="66"/>
        <v>0</v>
      </c>
      <c r="AF112" s="843"/>
    </row>
    <row r="113" spans="2:32" ht="16.5" thickTop="1" thickBot="1" x14ac:dyDescent="0.3">
      <c r="B113" s="290"/>
      <c r="C113" s="436" t="s">
        <v>419</v>
      </c>
      <c r="D113" s="1038"/>
      <c r="E113" s="1038"/>
      <c r="F113" s="1038"/>
      <c r="G113" s="1038"/>
      <c r="H113" s="399">
        <f>H109+H111+H112</f>
        <v>1205820.6977023329</v>
      </c>
      <c r="I113" s="400">
        <f t="shared" ref="I113:N113" si="67">I109+I111+I112</f>
        <v>1235850.9789987125</v>
      </c>
      <c r="J113" s="401">
        <f t="shared" si="67"/>
        <v>1266629.7126045781</v>
      </c>
      <c r="K113" s="401">
        <f t="shared" si="67"/>
        <v>1298175.5637332082</v>
      </c>
      <c r="L113" s="401">
        <f t="shared" si="67"/>
        <v>1330507.6633063247</v>
      </c>
      <c r="M113" s="401">
        <f t="shared" si="67"/>
        <v>1363645.6195783648</v>
      </c>
      <c r="N113" s="401">
        <f t="shared" si="67"/>
        <v>1397609.5300509934</v>
      </c>
      <c r="O113" s="402">
        <f>O109+O111+O112</f>
        <v>1432419.9936851012</v>
      </c>
      <c r="P113" s="251"/>
      <c r="R113" s="290"/>
      <c r="S113" s="436" t="s">
        <v>419</v>
      </c>
      <c r="T113" s="1038"/>
      <c r="U113" s="1038"/>
      <c r="V113" s="1038"/>
      <c r="W113" s="1038"/>
      <c r="X113" s="399">
        <f>X109+X111+X112</f>
        <v>418383.53976891621</v>
      </c>
      <c r="Y113" s="400">
        <f t="shared" ref="Y113:AD113" si="68">Y109+Y111+Y112</f>
        <v>428780.27218340535</v>
      </c>
      <c r="Z113" s="401">
        <f t="shared" si="68"/>
        <v>439435.66578666202</v>
      </c>
      <c r="AA113" s="401">
        <f t="shared" si="68"/>
        <v>450356.16196597356</v>
      </c>
      <c r="AB113" s="401">
        <f t="shared" si="68"/>
        <v>461548.36264046084</v>
      </c>
      <c r="AC113" s="401">
        <f t="shared" si="68"/>
        <v>473019.03426431702</v>
      </c>
      <c r="AD113" s="401">
        <f t="shared" si="68"/>
        <v>484775.11192992644</v>
      </c>
      <c r="AE113" s="402">
        <f>AE109+AE111+AE112</f>
        <v>496823.70357335615</v>
      </c>
      <c r="AF113" s="843"/>
    </row>
    <row r="114" spans="2:32" ht="7.5" customHeight="1" x14ac:dyDescent="0.25">
      <c r="B114" s="290"/>
      <c r="C114" s="250"/>
      <c r="D114" s="250"/>
      <c r="E114" s="250"/>
      <c r="F114" s="250"/>
      <c r="G114" s="250"/>
      <c r="H114" s="250"/>
      <c r="I114" s="250"/>
      <c r="J114" s="250"/>
      <c r="K114" s="250"/>
      <c r="L114" s="250"/>
      <c r="M114" s="250"/>
      <c r="N114" s="250"/>
      <c r="O114" s="250"/>
      <c r="P114" s="251"/>
      <c r="R114" s="290"/>
      <c r="S114" s="841"/>
      <c r="T114" s="841"/>
      <c r="U114" s="841"/>
      <c r="V114" s="841"/>
      <c r="W114" s="841"/>
      <c r="X114" s="841"/>
      <c r="Y114" s="841"/>
      <c r="Z114" s="841"/>
      <c r="AA114" s="841"/>
      <c r="AB114" s="841"/>
      <c r="AC114" s="841"/>
      <c r="AD114" s="841"/>
      <c r="AE114" s="841"/>
      <c r="AF114" s="843"/>
    </row>
    <row r="115" spans="2:32" ht="15.75" thickBot="1" x14ac:dyDescent="0.3">
      <c r="B115" s="413"/>
      <c r="C115" s="359" t="s">
        <v>420</v>
      </c>
      <c r="D115" s="360"/>
      <c r="E115" s="360"/>
      <c r="F115" s="360"/>
      <c r="G115" s="360"/>
      <c r="H115" s="360"/>
      <c r="I115" s="360"/>
      <c r="J115" s="360"/>
      <c r="K115" s="360"/>
      <c r="L115" s="361"/>
      <c r="M115" s="360"/>
      <c r="N115" s="360"/>
      <c r="O115" s="360"/>
      <c r="P115" s="417"/>
      <c r="R115" s="413"/>
      <c r="S115" s="359" t="s">
        <v>420</v>
      </c>
      <c r="T115" s="360"/>
      <c r="U115" s="360"/>
      <c r="V115" s="360"/>
      <c r="W115" s="360"/>
      <c r="X115" s="360"/>
      <c r="Y115" s="360"/>
      <c r="Z115" s="360"/>
      <c r="AA115" s="360"/>
      <c r="AB115" s="361"/>
      <c r="AC115" s="360"/>
      <c r="AD115" s="360"/>
      <c r="AE115" s="360"/>
      <c r="AF115" s="417"/>
    </row>
    <row r="116" spans="2:32" ht="15.75" thickBot="1" x14ac:dyDescent="0.3">
      <c r="B116" s="413"/>
      <c r="C116" s="420" t="s">
        <v>421</v>
      </c>
      <c r="D116" s="411"/>
      <c r="E116" s="428"/>
      <c r="F116" s="250"/>
      <c r="G116" s="411"/>
      <c r="H116" s="342" t="s">
        <v>465</v>
      </c>
      <c r="I116" s="342" t="s">
        <v>466</v>
      </c>
      <c r="J116" s="342" t="s">
        <v>467</v>
      </c>
      <c r="K116" s="342" t="s">
        <v>468</v>
      </c>
      <c r="L116" s="342" t="s">
        <v>469</v>
      </c>
      <c r="M116" s="342" t="s">
        <v>470</v>
      </c>
      <c r="N116" s="342" t="s">
        <v>471</v>
      </c>
      <c r="O116" s="388" t="s">
        <v>472</v>
      </c>
      <c r="P116" s="412"/>
      <c r="R116" s="413"/>
      <c r="S116" s="420" t="s">
        <v>421</v>
      </c>
      <c r="T116" s="411"/>
      <c r="U116" s="428"/>
      <c r="V116" s="841"/>
      <c r="W116" s="411"/>
      <c r="X116" s="342" t="s">
        <v>465</v>
      </c>
      <c r="Y116" s="342" t="s">
        <v>466</v>
      </c>
      <c r="Z116" s="342" t="s">
        <v>467</v>
      </c>
      <c r="AA116" s="342" t="s">
        <v>468</v>
      </c>
      <c r="AB116" s="342" t="s">
        <v>469</v>
      </c>
      <c r="AC116" s="342" t="s">
        <v>470</v>
      </c>
      <c r="AD116" s="342" t="s">
        <v>471</v>
      </c>
      <c r="AE116" s="388" t="s">
        <v>472</v>
      </c>
      <c r="AF116" s="412"/>
    </row>
    <row r="117" spans="2:32" x14ac:dyDescent="0.25">
      <c r="B117" s="413"/>
      <c r="C117" s="439" t="s">
        <v>423</v>
      </c>
      <c r="D117" s="440"/>
      <c r="E117" s="441"/>
      <c r="F117" s="440"/>
      <c r="G117" s="441"/>
      <c r="H117" s="443">
        <f t="shared" ref="H117:H136" si="69">O36+($F36*O36)</f>
        <v>208386.62044853711</v>
      </c>
      <c r="I117" s="444">
        <f t="shared" ref="I117:O132" si="70">H117+(H117*$F36)</f>
        <v>215680.15216423591</v>
      </c>
      <c r="J117" s="444">
        <f t="shared" si="70"/>
        <v>223228.95748998417</v>
      </c>
      <c r="K117" s="444">
        <f t="shared" si="70"/>
        <v>231041.97100213362</v>
      </c>
      <c r="L117" s="444">
        <f t="shared" si="70"/>
        <v>239128.43998720829</v>
      </c>
      <c r="M117" s="444">
        <f t="shared" si="70"/>
        <v>247497.93538676057</v>
      </c>
      <c r="N117" s="444">
        <f t="shared" si="70"/>
        <v>256160.36312529718</v>
      </c>
      <c r="O117" s="445">
        <f t="shared" si="70"/>
        <v>265125.97583468258</v>
      </c>
      <c r="P117" s="412"/>
      <c r="R117" s="413"/>
      <c r="S117" s="439" t="s">
        <v>423</v>
      </c>
      <c r="T117" s="440"/>
      <c r="U117" s="441"/>
      <c r="V117" s="440"/>
      <c r="W117" s="441"/>
      <c r="X117" s="443">
        <f t="shared" ref="X117:X136" si="71">AE36+($F36*AE36)</f>
        <v>94721.191112971399</v>
      </c>
      <c r="Y117" s="444">
        <f t="shared" ref="Y117:Y136" si="72">X117+(X117*$F36)</f>
        <v>98036.432801925403</v>
      </c>
      <c r="Z117" s="444">
        <f t="shared" ref="Z117:Z136" si="73">Y117+(Y117*$F36)</f>
        <v>101467.70794999279</v>
      </c>
      <c r="AA117" s="444">
        <f t="shared" ref="AA117:AA136" si="74">Z117+(Z117*$F36)</f>
        <v>105019.07772824254</v>
      </c>
      <c r="AB117" s="444">
        <f t="shared" ref="AB117:AB136" si="75">AA117+(AA117*$F36)</f>
        <v>108694.74544873103</v>
      </c>
      <c r="AC117" s="444">
        <f t="shared" ref="AC117:AC136" si="76">AB117+(AB117*$F36)</f>
        <v>112499.06153943662</v>
      </c>
      <c r="AD117" s="444">
        <f t="shared" ref="AD117:AD136" si="77">AC117+(AC117*$F36)</f>
        <v>116436.5286933169</v>
      </c>
      <c r="AE117" s="445">
        <f t="shared" ref="AE117:AE136" si="78">AD117+(AD117*$F36)</f>
        <v>120511.807197583</v>
      </c>
      <c r="AF117" s="412"/>
    </row>
    <row r="118" spans="2:32" x14ac:dyDescent="0.25">
      <c r="B118" s="413"/>
      <c r="C118" s="447" t="s">
        <v>424</v>
      </c>
      <c r="D118" s="448"/>
      <c r="E118" s="449"/>
      <c r="F118" s="448"/>
      <c r="G118" s="449"/>
      <c r="H118" s="451">
        <f t="shared" si="69"/>
        <v>64489.291271112081</v>
      </c>
      <c r="I118" s="452">
        <f t="shared" si="70"/>
        <v>66746.416465601011</v>
      </c>
      <c r="J118" s="452">
        <f t="shared" si="70"/>
        <v>69082.541041897042</v>
      </c>
      <c r="K118" s="452">
        <f t="shared" si="70"/>
        <v>71500.429978363434</v>
      </c>
      <c r="L118" s="452">
        <f t="shared" si="70"/>
        <v>74002.945027606154</v>
      </c>
      <c r="M118" s="452">
        <f t="shared" si="70"/>
        <v>76593.048103572364</v>
      </c>
      <c r="N118" s="452">
        <f t="shared" si="70"/>
        <v>79273.804787197398</v>
      </c>
      <c r="O118" s="453">
        <f t="shared" si="70"/>
        <v>82048.387954749312</v>
      </c>
      <c r="P118" s="412"/>
      <c r="R118" s="413"/>
      <c r="S118" s="447" t="s">
        <v>424</v>
      </c>
      <c r="T118" s="448"/>
      <c r="U118" s="449"/>
      <c r="V118" s="448"/>
      <c r="W118" s="449"/>
      <c r="X118" s="451">
        <f t="shared" si="71"/>
        <v>50204.139708768991</v>
      </c>
      <c r="Y118" s="452">
        <f t="shared" si="72"/>
        <v>51961.284598575905</v>
      </c>
      <c r="Z118" s="452">
        <f t="shared" si="73"/>
        <v>53779.929559526063</v>
      </c>
      <c r="AA118" s="452">
        <f t="shared" si="74"/>
        <v>55662.227094109476</v>
      </c>
      <c r="AB118" s="452">
        <f t="shared" si="75"/>
        <v>57610.405042403305</v>
      </c>
      <c r="AC118" s="452">
        <f t="shared" si="76"/>
        <v>59626.769218887421</v>
      </c>
      <c r="AD118" s="452">
        <f t="shared" si="77"/>
        <v>61713.706141548479</v>
      </c>
      <c r="AE118" s="453">
        <f t="shared" si="78"/>
        <v>63873.685856502678</v>
      </c>
      <c r="AF118" s="412"/>
    </row>
    <row r="119" spans="2:32" x14ac:dyDescent="0.25">
      <c r="B119" s="413"/>
      <c r="C119" s="447" t="s">
        <v>425</v>
      </c>
      <c r="D119" s="448"/>
      <c r="E119" s="449"/>
      <c r="F119" s="448"/>
      <c r="G119" s="449"/>
      <c r="H119" s="451">
        <f t="shared" si="69"/>
        <v>14107.032465555769</v>
      </c>
      <c r="I119" s="452">
        <f t="shared" si="70"/>
        <v>14600.778601850221</v>
      </c>
      <c r="J119" s="452">
        <f t="shared" si="70"/>
        <v>15111.805852914978</v>
      </c>
      <c r="K119" s="452">
        <f t="shared" si="70"/>
        <v>15640.719057767003</v>
      </c>
      <c r="L119" s="452">
        <f t="shared" si="70"/>
        <v>16188.144224788848</v>
      </c>
      <c r="M119" s="452">
        <f t="shared" si="70"/>
        <v>16754.729272656459</v>
      </c>
      <c r="N119" s="452">
        <f t="shared" si="70"/>
        <v>17341.144797199435</v>
      </c>
      <c r="O119" s="453">
        <f t="shared" si="70"/>
        <v>17948.084865101417</v>
      </c>
      <c r="P119" s="412"/>
      <c r="R119" s="413"/>
      <c r="S119" s="447" t="s">
        <v>425</v>
      </c>
      <c r="T119" s="448"/>
      <c r="U119" s="449"/>
      <c r="V119" s="448"/>
      <c r="W119" s="449"/>
      <c r="X119" s="451">
        <f t="shared" si="71"/>
        <v>6412.2874843435302</v>
      </c>
      <c r="Y119" s="452">
        <f t="shared" si="72"/>
        <v>6636.7175462955538</v>
      </c>
      <c r="Z119" s="452">
        <f t="shared" si="73"/>
        <v>6869.0026604158984</v>
      </c>
      <c r="AA119" s="452">
        <f t="shared" si="74"/>
        <v>7109.4177535304552</v>
      </c>
      <c r="AB119" s="452">
        <f t="shared" si="75"/>
        <v>7358.2473749040209</v>
      </c>
      <c r="AC119" s="452">
        <f t="shared" si="76"/>
        <v>7615.7860330256617</v>
      </c>
      <c r="AD119" s="452">
        <f t="shared" si="77"/>
        <v>7882.3385441815599</v>
      </c>
      <c r="AE119" s="453">
        <f t="shared" si="78"/>
        <v>8158.2203932279144</v>
      </c>
      <c r="AF119" s="412"/>
    </row>
    <row r="120" spans="2:32" x14ac:dyDescent="0.25">
      <c r="B120" s="413"/>
      <c r="C120" s="447" t="s">
        <v>426</v>
      </c>
      <c r="D120" s="449"/>
      <c r="E120" s="448"/>
      <c r="F120" s="478"/>
      <c r="G120" s="449"/>
      <c r="H120" s="451">
        <f t="shared" si="69"/>
        <v>0</v>
      </c>
      <c r="I120" s="452">
        <f t="shared" si="70"/>
        <v>0</v>
      </c>
      <c r="J120" s="452">
        <f t="shared" si="70"/>
        <v>0</v>
      </c>
      <c r="K120" s="452">
        <f t="shared" si="70"/>
        <v>0</v>
      </c>
      <c r="L120" s="452">
        <f t="shared" si="70"/>
        <v>0</v>
      </c>
      <c r="M120" s="452">
        <f t="shared" si="70"/>
        <v>0</v>
      </c>
      <c r="N120" s="452">
        <f t="shared" si="70"/>
        <v>0</v>
      </c>
      <c r="O120" s="453">
        <f t="shared" si="70"/>
        <v>0</v>
      </c>
      <c r="P120" s="412"/>
      <c r="R120" s="413"/>
      <c r="S120" s="447" t="s">
        <v>426</v>
      </c>
      <c r="T120" s="449"/>
      <c r="U120" s="448"/>
      <c r="V120" s="478"/>
      <c r="W120" s="449"/>
      <c r="X120" s="451">
        <f t="shared" si="71"/>
        <v>7531.8932355781153</v>
      </c>
      <c r="Y120" s="452">
        <f t="shared" si="72"/>
        <v>7795.5094988233495</v>
      </c>
      <c r="Z120" s="452">
        <f t="shared" si="73"/>
        <v>8068.3523312821671</v>
      </c>
      <c r="AA120" s="452">
        <f t="shared" si="74"/>
        <v>8350.7446628770431</v>
      </c>
      <c r="AB120" s="452">
        <f t="shared" si="75"/>
        <v>8643.0207260777388</v>
      </c>
      <c r="AC120" s="452">
        <f t="shared" si="76"/>
        <v>8945.5264514904593</v>
      </c>
      <c r="AD120" s="452">
        <f t="shared" si="77"/>
        <v>9258.6198772926255</v>
      </c>
      <c r="AE120" s="453">
        <f t="shared" si="78"/>
        <v>9582.6715729978678</v>
      </c>
      <c r="AF120" s="412"/>
    </row>
    <row r="121" spans="2:32" x14ac:dyDescent="0.25">
      <c r="B121" s="413"/>
      <c r="C121" s="447" t="s">
        <v>427</v>
      </c>
      <c r="D121" s="448"/>
      <c r="E121" s="449"/>
      <c r="F121" s="448"/>
      <c r="G121" s="449"/>
      <c r="H121" s="451">
        <f t="shared" si="69"/>
        <v>58667.341364692256</v>
      </c>
      <c r="I121" s="452">
        <f t="shared" si="70"/>
        <v>60720.698312456487</v>
      </c>
      <c r="J121" s="452">
        <f t="shared" si="70"/>
        <v>62845.922753392464</v>
      </c>
      <c r="K121" s="452">
        <f t="shared" si="70"/>
        <v>65045.530049761204</v>
      </c>
      <c r="L121" s="452">
        <f t="shared" si="70"/>
        <v>67322.123601502841</v>
      </c>
      <c r="M121" s="452">
        <f t="shared" si="70"/>
        <v>69678.397927555445</v>
      </c>
      <c r="N121" s="452">
        <f t="shared" si="70"/>
        <v>72117.141855019887</v>
      </c>
      <c r="O121" s="453">
        <f t="shared" si="70"/>
        <v>74641.241819945586</v>
      </c>
      <c r="P121" s="412"/>
      <c r="R121" s="413"/>
      <c r="S121" s="447" t="s">
        <v>427</v>
      </c>
      <c r="T121" s="448"/>
      <c r="U121" s="449"/>
      <c r="V121" s="448"/>
      <c r="W121" s="449"/>
      <c r="X121" s="451">
        <f t="shared" si="71"/>
        <v>15613.411112671394</v>
      </c>
      <c r="Y121" s="452">
        <f t="shared" si="72"/>
        <v>16159.880501614893</v>
      </c>
      <c r="Z121" s="452">
        <f t="shared" si="73"/>
        <v>16725.476319171416</v>
      </c>
      <c r="AA121" s="452">
        <f t="shared" si="74"/>
        <v>17310.867990342416</v>
      </c>
      <c r="AB121" s="452">
        <f t="shared" si="75"/>
        <v>17916.748370004399</v>
      </c>
      <c r="AC121" s="452">
        <f t="shared" si="76"/>
        <v>18543.834562954555</v>
      </c>
      <c r="AD121" s="452">
        <f t="shared" si="77"/>
        <v>19192.868772657963</v>
      </c>
      <c r="AE121" s="453">
        <f t="shared" si="78"/>
        <v>19864.619179700992</v>
      </c>
      <c r="AF121" s="412"/>
    </row>
    <row r="122" spans="2:32" x14ac:dyDescent="0.25">
      <c r="B122" s="413"/>
      <c r="C122" s="447" t="s">
        <v>428</v>
      </c>
      <c r="D122" s="448"/>
      <c r="E122" s="449"/>
      <c r="F122" s="479"/>
      <c r="G122" s="449"/>
      <c r="H122" s="451">
        <f t="shared" si="69"/>
        <v>48814.810753827893</v>
      </c>
      <c r="I122" s="452">
        <f t="shared" si="70"/>
        <v>50523.329130211867</v>
      </c>
      <c r="J122" s="452">
        <f t="shared" si="70"/>
        <v>52291.645649769285</v>
      </c>
      <c r="K122" s="452">
        <f t="shared" si="70"/>
        <v>54121.853247511208</v>
      </c>
      <c r="L122" s="452">
        <f t="shared" si="70"/>
        <v>56016.118111174103</v>
      </c>
      <c r="M122" s="452">
        <f t="shared" si="70"/>
        <v>57976.682245065196</v>
      </c>
      <c r="N122" s="452">
        <f t="shared" si="70"/>
        <v>60005.866123642481</v>
      </c>
      <c r="O122" s="453">
        <f t="shared" si="70"/>
        <v>62106.071437969971</v>
      </c>
      <c r="P122" s="412"/>
      <c r="R122" s="413"/>
      <c r="S122" s="447" t="s">
        <v>428</v>
      </c>
      <c r="T122" s="448"/>
      <c r="U122" s="449"/>
      <c r="V122" s="479"/>
      <c r="W122" s="449"/>
      <c r="X122" s="451">
        <f t="shared" si="71"/>
        <v>12376.732668193228</v>
      </c>
      <c r="Y122" s="452">
        <f t="shared" si="72"/>
        <v>12809.918311579991</v>
      </c>
      <c r="Z122" s="452">
        <f t="shared" si="73"/>
        <v>13258.265452485291</v>
      </c>
      <c r="AA122" s="452">
        <f t="shared" si="74"/>
        <v>13722.304743322276</v>
      </c>
      <c r="AB122" s="452">
        <f t="shared" si="75"/>
        <v>14202.585409338557</v>
      </c>
      <c r="AC122" s="452">
        <f t="shared" si="76"/>
        <v>14699.675898665406</v>
      </c>
      <c r="AD122" s="452">
        <f t="shared" si="77"/>
        <v>15214.164555118696</v>
      </c>
      <c r="AE122" s="453">
        <f t="shared" si="78"/>
        <v>15746.660314547849</v>
      </c>
      <c r="AF122" s="412"/>
    </row>
    <row r="123" spans="2:32" x14ac:dyDescent="0.25">
      <c r="B123" s="413"/>
      <c r="C123" s="447" t="s">
        <v>429</v>
      </c>
      <c r="D123" s="448"/>
      <c r="E123" s="449"/>
      <c r="F123" s="448"/>
      <c r="G123" s="449"/>
      <c r="H123" s="451">
        <f t="shared" si="69"/>
        <v>1791.3692019753357</v>
      </c>
      <c r="I123" s="452">
        <f t="shared" si="70"/>
        <v>1854.0671240444724</v>
      </c>
      <c r="J123" s="452">
        <f t="shared" si="70"/>
        <v>1918.959473386029</v>
      </c>
      <c r="K123" s="452">
        <f t="shared" si="70"/>
        <v>1986.1230549545401</v>
      </c>
      <c r="L123" s="452">
        <f t="shared" si="70"/>
        <v>2055.6373618779489</v>
      </c>
      <c r="M123" s="452">
        <f t="shared" si="70"/>
        <v>2127.5846695436771</v>
      </c>
      <c r="N123" s="452">
        <f t="shared" si="70"/>
        <v>2202.0501329777057</v>
      </c>
      <c r="O123" s="453">
        <f t="shared" si="70"/>
        <v>2279.1218876319253</v>
      </c>
      <c r="P123" s="412"/>
      <c r="R123" s="413"/>
      <c r="S123" s="447" t="s">
        <v>429</v>
      </c>
      <c r="T123" s="448"/>
      <c r="U123" s="449"/>
      <c r="V123" s="448"/>
      <c r="W123" s="449"/>
      <c r="X123" s="451">
        <f t="shared" si="71"/>
        <v>814.25872817060713</v>
      </c>
      <c r="Y123" s="452">
        <f t="shared" si="72"/>
        <v>842.75778365657834</v>
      </c>
      <c r="Z123" s="452">
        <f t="shared" si="73"/>
        <v>872.25430608455861</v>
      </c>
      <c r="AA123" s="452">
        <f t="shared" si="74"/>
        <v>902.78320679751812</v>
      </c>
      <c r="AB123" s="452">
        <f t="shared" si="75"/>
        <v>934.38061903543121</v>
      </c>
      <c r="AC123" s="452">
        <f t="shared" si="76"/>
        <v>967.08394070167128</v>
      </c>
      <c r="AD123" s="452">
        <f t="shared" si="77"/>
        <v>1000.9318786262298</v>
      </c>
      <c r="AE123" s="453">
        <f t="shared" si="78"/>
        <v>1035.9644943781479</v>
      </c>
      <c r="AF123" s="412"/>
    </row>
    <row r="124" spans="2:32" x14ac:dyDescent="0.25">
      <c r="B124" s="413"/>
      <c r="C124" s="447" t="s">
        <v>430</v>
      </c>
      <c r="D124" s="449"/>
      <c r="E124" s="448"/>
      <c r="F124" s="478"/>
      <c r="G124" s="449"/>
      <c r="H124" s="451">
        <f t="shared" si="69"/>
        <v>0</v>
      </c>
      <c r="I124" s="452">
        <f t="shared" si="70"/>
        <v>0</v>
      </c>
      <c r="J124" s="452">
        <f t="shared" si="70"/>
        <v>0</v>
      </c>
      <c r="K124" s="452">
        <f t="shared" si="70"/>
        <v>0</v>
      </c>
      <c r="L124" s="452">
        <f t="shared" si="70"/>
        <v>0</v>
      </c>
      <c r="M124" s="452">
        <f t="shared" si="70"/>
        <v>0</v>
      </c>
      <c r="N124" s="452">
        <f t="shared" si="70"/>
        <v>0</v>
      </c>
      <c r="O124" s="453">
        <f t="shared" si="70"/>
        <v>0</v>
      </c>
      <c r="P124" s="412"/>
      <c r="R124" s="413"/>
      <c r="S124" s="447" t="s">
        <v>430</v>
      </c>
      <c r="T124" s="449"/>
      <c r="U124" s="448"/>
      <c r="V124" s="478"/>
      <c r="W124" s="449"/>
      <c r="X124" s="451">
        <f t="shared" si="71"/>
        <v>0</v>
      </c>
      <c r="Y124" s="452">
        <f t="shared" si="72"/>
        <v>0</v>
      </c>
      <c r="Z124" s="452">
        <f t="shared" si="73"/>
        <v>0</v>
      </c>
      <c r="AA124" s="452">
        <f t="shared" si="74"/>
        <v>0</v>
      </c>
      <c r="AB124" s="452">
        <f t="shared" si="75"/>
        <v>0</v>
      </c>
      <c r="AC124" s="452">
        <f t="shared" si="76"/>
        <v>0</v>
      </c>
      <c r="AD124" s="452">
        <f t="shared" si="77"/>
        <v>0</v>
      </c>
      <c r="AE124" s="453">
        <f t="shared" si="78"/>
        <v>0</v>
      </c>
      <c r="AF124" s="412"/>
    </row>
    <row r="125" spans="2:32" x14ac:dyDescent="0.25">
      <c r="B125" s="413"/>
      <c r="C125" s="447" t="s">
        <v>431</v>
      </c>
      <c r="D125" s="448"/>
      <c r="E125" s="449"/>
      <c r="F125" s="448"/>
      <c r="G125" s="449"/>
      <c r="H125" s="451">
        <f t="shared" si="69"/>
        <v>9796.5503233026193</v>
      </c>
      <c r="I125" s="452">
        <f t="shared" si="70"/>
        <v>10139.42958461821</v>
      </c>
      <c r="J125" s="452">
        <f t="shared" si="70"/>
        <v>10494.309620079848</v>
      </c>
      <c r="K125" s="452">
        <f t="shared" si="70"/>
        <v>10861.610456782642</v>
      </c>
      <c r="L125" s="452">
        <f t="shared" si="70"/>
        <v>11241.766822770034</v>
      </c>
      <c r="M125" s="452">
        <f t="shared" si="70"/>
        <v>11635.228661566985</v>
      </c>
      <c r="N125" s="452">
        <f t="shared" si="70"/>
        <v>12042.46166472183</v>
      </c>
      <c r="O125" s="453">
        <f t="shared" si="70"/>
        <v>12463.947822987095</v>
      </c>
      <c r="P125" s="412"/>
      <c r="R125" s="413"/>
      <c r="S125" s="447" t="s">
        <v>431</v>
      </c>
      <c r="T125" s="448"/>
      <c r="U125" s="449"/>
      <c r="V125" s="448"/>
      <c r="W125" s="449"/>
      <c r="X125" s="451">
        <f t="shared" si="71"/>
        <v>3816.837788299722</v>
      </c>
      <c r="Y125" s="452">
        <f t="shared" si="72"/>
        <v>3950.4271108902121</v>
      </c>
      <c r="Z125" s="452">
        <f t="shared" si="73"/>
        <v>4088.6920597713697</v>
      </c>
      <c r="AA125" s="452">
        <f t="shared" si="74"/>
        <v>4231.7962818633678</v>
      </c>
      <c r="AB125" s="452">
        <f t="shared" si="75"/>
        <v>4379.909151728586</v>
      </c>
      <c r="AC125" s="452">
        <f t="shared" si="76"/>
        <v>4533.2059720390862</v>
      </c>
      <c r="AD125" s="452">
        <f t="shared" si="77"/>
        <v>4691.8681810604539</v>
      </c>
      <c r="AE125" s="453">
        <f t="shared" si="78"/>
        <v>4856.0835673975698</v>
      </c>
      <c r="AF125" s="412"/>
    </row>
    <row r="126" spans="2:32" x14ac:dyDescent="0.25">
      <c r="B126" s="413"/>
      <c r="C126" s="447" t="s">
        <v>432</v>
      </c>
      <c r="D126" s="449"/>
      <c r="E126" s="449"/>
      <c r="F126" s="449"/>
      <c r="G126" s="449"/>
      <c r="H126" s="451">
        <f t="shared" si="69"/>
        <v>0</v>
      </c>
      <c r="I126" s="452">
        <f t="shared" si="70"/>
        <v>0</v>
      </c>
      <c r="J126" s="452">
        <f t="shared" si="70"/>
        <v>0</v>
      </c>
      <c r="K126" s="452">
        <f t="shared" si="70"/>
        <v>0</v>
      </c>
      <c r="L126" s="452">
        <f t="shared" si="70"/>
        <v>0</v>
      </c>
      <c r="M126" s="452">
        <f t="shared" si="70"/>
        <v>0</v>
      </c>
      <c r="N126" s="452">
        <f t="shared" si="70"/>
        <v>0</v>
      </c>
      <c r="O126" s="453">
        <f t="shared" si="70"/>
        <v>0</v>
      </c>
      <c r="P126" s="412"/>
      <c r="R126" s="413"/>
      <c r="S126" s="447" t="s">
        <v>432</v>
      </c>
      <c r="T126" s="449"/>
      <c r="U126" s="449"/>
      <c r="V126" s="449"/>
      <c r="W126" s="449"/>
      <c r="X126" s="451">
        <f t="shared" si="71"/>
        <v>0</v>
      </c>
      <c r="Y126" s="452">
        <f t="shared" si="72"/>
        <v>0</v>
      </c>
      <c r="Z126" s="452">
        <f t="shared" si="73"/>
        <v>0</v>
      </c>
      <c r="AA126" s="452">
        <f t="shared" si="74"/>
        <v>0</v>
      </c>
      <c r="AB126" s="452">
        <f t="shared" si="75"/>
        <v>0</v>
      </c>
      <c r="AC126" s="452">
        <f t="shared" si="76"/>
        <v>0</v>
      </c>
      <c r="AD126" s="452">
        <f t="shared" si="77"/>
        <v>0</v>
      </c>
      <c r="AE126" s="453">
        <f t="shared" si="78"/>
        <v>0</v>
      </c>
      <c r="AF126" s="412"/>
    </row>
    <row r="127" spans="2:32" x14ac:dyDescent="0.25">
      <c r="B127" s="413"/>
      <c r="C127" s="447" t="s">
        <v>433</v>
      </c>
      <c r="D127" s="448"/>
      <c r="E127" s="449"/>
      <c r="F127" s="448"/>
      <c r="G127" s="449"/>
      <c r="H127" s="451">
        <f t="shared" si="69"/>
        <v>9796.5503233026193</v>
      </c>
      <c r="I127" s="452">
        <f t="shared" si="70"/>
        <v>10139.42958461821</v>
      </c>
      <c r="J127" s="452">
        <f t="shared" si="70"/>
        <v>10494.309620079848</v>
      </c>
      <c r="K127" s="452">
        <f t="shared" si="70"/>
        <v>10861.610456782642</v>
      </c>
      <c r="L127" s="452">
        <f t="shared" si="70"/>
        <v>11241.766822770034</v>
      </c>
      <c r="M127" s="452">
        <f t="shared" si="70"/>
        <v>11635.228661566985</v>
      </c>
      <c r="N127" s="452">
        <f t="shared" si="70"/>
        <v>12042.46166472183</v>
      </c>
      <c r="O127" s="453">
        <f t="shared" si="70"/>
        <v>12463.947822987095</v>
      </c>
      <c r="P127" s="412"/>
      <c r="R127" s="413"/>
      <c r="S127" s="447" t="s">
        <v>433</v>
      </c>
      <c r="T127" s="448"/>
      <c r="U127" s="449"/>
      <c r="V127" s="448"/>
      <c r="W127" s="449"/>
      <c r="X127" s="451">
        <f t="shared" si="71"/>
        <v>3816.837788299722</v>
      </c>
      <c r="Y127" s="452">
        <f t="shared" si="72"/>
        <v>3950.4271108902121</v>
      </c>
      <c r="Z127" s="452">
        <f t="shared" si="73"/>
        <v>4088.6920597713697</v>
      </c>
      <c r="AA127" s="452">
        <f t="shared" si="74"/>
        <v>4231.7962818633678</v>
      </c>
      <c r="AB127" s="452">
        <f t="shared" si="75"/>
        <v>4379.909151728586</v>
      </c>
      <c r="AC127" s="452">
        <f t="shared" si="76"/>
        <v>4533.2059720390862</v>
      </c>
      <c r="AD127" s="452">
        <f t="shared" si="77"/>
        <v>4691.8681810604539</v>
      </c>
      <c r="AE127" s="453">
        <f t="shared" si="78"/>
        <v>4856.0835673975698</v>
      </c>
      <c r="AF127" s="412"/>
    </row>
    <row r="128" spans="2:32" x14ac:dyDescent="0.25">
      <c r="B128" s="413"/>
      <c r="C128" s="447" t="s">
        <v>434</v>
      </c>
      <c r="D128" s="449"/>
      <c r="E128" s="449"/>
      <c r="F128" s="449"/>
      <c r="G128" s="449"/>
      <c r="H128" s="451">
        <f t="shared" si="69"/>
        <v>16412.4024896888</v>
      </c>
      <c r="I128" s="452">
        <f t="shared" si="70"/>
        <v>16986.836576827907</v>
      </c>
      <c r="J128" s="452">
        <f t="shared" si="70"/>
        <v>17581.375857016883</v>
      </c>
      <c r="K128" s="452">
        <f t="shared" si="70"/>
        <v>18196.724012012473</v>
      </c>
      <c r="L128" s="452">
        <f t="shared" si="70"/>
        <v>18833.609352432912</v>
      </c>
      <c r="M128" s="452">
        <f t="shared" si="70"/>
        <v>19492.785679768065</v>
      </c>
      <c r="N128" s="452">
        <f t="shared" si="70"/>
        <v>20175.033178559948</v>
      </c>
      <c r="O128" s="453">
        <f t="shared" si="70"/>
        <v>20881.159339809547</v>
      </c>
      <c r="P128" s="412"/>
      <c r="R128" s="413"/>
      <c r="S128" s="447" t="s">
        <v>434</v>
      </c>
      <c r="T128" s="449"/>
      <c r="U128" s="449"/>
      <c r="V128" s="449"/>
      <c r="W128" s="449"/>
      <c r="X128" s="451">
        <f t="shared" si="71"/>
        <v>7099.3182862374815</v>
      </c>
      <c r="Y128" s="452">
        <f t="shared" si="72"/>
        <v>7347.794426255793</v>
      </c>
      <c r="Z128" s="452">
        <f t="shared" si="73"/>
        <v>7604.9672311747454</v>
      </c>
      <c r="AA128" s="452">
        <f t="shared" si="74"/>
        <v>7871.1410842658615</v>
      </c>
      <c r="AB128" s="452">
        <f t="shared" si="75"/>
        <v>8146.6310222151669</v>
      </c>
      <c r="AC128" s="452">
        <f t="shared" si="76"/>
        <v>8431.7631079926978</v>
      </c>
      <c r="AD128" s="452">
        <f t="shared" si="77"/>
        <v>8726.8748167724425</v>
      </c>
      <c r="AE128" s="453">
        <f t="shared" si="78"/>
        <v>9032.3154353594782</v>
      </c>
      <c r="AF128" s="412"/>
    </row>
    <row r="129" spans="2:32" x14ac:dyDescent="0.25">
      <c r="B129" s="413"/>
      <c r="C129" s="447" t="s">
        <v>435</v>
      </c>
      <c r="D129" s="449"/>
      <c r="E129" s="449"/>
      <c r="F129" s="449"/>
      <c r="G129" s="449"/>
      <c r="H129" s="451">
        <f t="shared" si="69"/>
        <v>0</v>
      </c>
      <c r="I129" s="452">
        <f t="shared" si="70"/>
        <v>0</v>
      </c>
      <c r="J129" s="452">
        <f t="shared" si="70"/>
        <v>0</v>
      </c>
      <c r="K129" s="452">
        <f t="shared" si="70"/>
        <v>0</v>
      </c>
      <c r="L129" s="452">
        <f t="shared" si="70"/>
        <v>0</v>
      </c>
      <c r="M129" s="452">
        <f t="shared" si="70"/>
        <v>0</v>
      </c>
      <c r="N129" s="452">
        <f t="shared" si="70"/>
        <v>0</v>
      </c>
      <c r="O129" s="453">
        <f t="shared" si="70"/>
        <v>0</v>
      </c>
      <c r="P129" s="412"/>
      <c r="R129" s="413"/>
      <c r="S129" s="447" t="s">
        <v>435</v>
      </c>
      <c r="T129" s="449"/>
      <c r="U129" s="449"/>
      <c r="V129" s="449"/>
      <c r="W129" s="449"/>
      <c r="X129" s="451">
        <f t="shared" si="71"/>
        <v>0</v>
      </c>
      <c r="Y129" s="452">
        <f t="shared" si="72"/>
        <v>0</v>
      </c>
      <c r="Z129" s="452">
        <f t="shared" si="73"/>
        <v>0</v>
      </c>
      <c r="AA129" s="452">
        <f t="shared" si="74"/>
        <v>0</v>
      </c>
      <c r="AB129" s="452">
        <f t="shared" si="75"/>
        <v>0</v>
      </c>
      <c r="AC129" s="452">
        <f t="shared" si="76"/>
        <v>0</v>
      </c>
      <c r="AD129" s="452">
        <f t="shared" si="77"/>
        <v>0</v>
      </c>
      <c r="AE129" s="453">
        <f t="shared" si="78"/>
        <v>0</v>
      </c>
      <c r="AF129" s="412"/>
    </row>
    <row r="130" spans="2:32" x14ac:dyDescent="0.25">
      <c r="B130" s="413"/>
      <c r="C130" s="447" t="s">
        <v>436</v>
      </c>
      <c r="D130" s="449"/>
      <c r="E130" s="449"/>
      <c r="F130" s="449"/>
      <c r="G130" s="449"/>
      <c r="H130" s="451">
        <f t="shared" si="69"/>
        <v>0</v>
      </c>
      <c r="I130" s="452">
        <f t="shared" si="70"/>
        <v>0</v>
      </c>
      <c r="J130" s="452">
        <f t="shared" si="70"/>
        <v>0</v>
      </c>
      <c r="K130" s="452">
        <f t="shared" si="70"/>
        <v>0</v>
      </c>
      <c r="L130" s="452">
        <f t="shared" si="70"/>
        <v>0</v>
      </c>
      <c r="M130" s="452">
        <f t="shared" si="70"/>
        <v>0</v>
      </c>
      <c r="N130" s="452">
        <f t="shared" si="70"/>
        <v>0</v>
      </c>
      <c r="O130" s="453">
        <f t="shared" si="70"/>
        <v>0</v>
      </c>
      <c r="P130" s="412"/>
      <c r="R130" s="413"/>
      <c r="S130" s="447" t="s">
        <v>436</v>
      </c>
      <c r="T130" s="449"/>
      <c r="U130" s="449"/>
      <c r="V130" s="449"/>
      <c r="W130" s="449"/>
      <c r="X130" s="451">
        <f t="shared" si="71"/>
        <v>0</v>
      </c>
      <c r="Y130" s="452">
        <f t="shared" si="72"/>
        <v>0</v>
      </c>
      <c r="Z130" s="452">
        <f t="shared" si="73"/>
        <v>0</v>
      </c>
      <c r="AA130" s="452">
        <f t="shared" si="74"/>
        <v>0</v>
      </c>
      <c r="AB130" s="452">
        <f t="shared" si="75"/>
        <v>0</v>
      </c>
      <c r="AC130" s="452">
        <f t="shared" si="76"/>
        <v>0</v>
      </c>
      <c r="AD130" s="452">
        <f t="shared" si="77"/>
        <v>0</v>
      </c>
      <c r="AE130" s="453">
        <f t="shared" si="78"/>
        <v>0</v>
      </c>
      <c r="AF130" s="412"/>
    </row>
    <row r="131" spans="2:32" x14ac:dyDescent="0.25">
      <c r="B131" s="413"/>
      <c r="C131" s="447" t="s">
        <v>437</v>
      </c>
      <c r="D131" s="449"/>
      <c r="E131" s="449"/>
      <c r="F131" s="449"/>
      <c r="G131" s="449"/>
      <c r="H131" s="451">
        <f t="shared" si="69"/>
        <v>3180.6981569164341</v>
      </c>
      <c r="I131" s="452">
        <f t="shared" si="70"/>
        <v>3292.0225924085094</v>
      </c>
      <c r="J131" s="452">
        <f t="shared" si="70"/>
        <v>3407.243383142807</v>
      </c>
      <c r="K131" s="452">
        <f t="shared" si="70"/>
        <v>3526.4969015528054</v>
      </c>
      <c r="L131" s="452">
        <f t="shared" si="70"/>
        <v>3649.9242931071535</v>
      </c>
      <c r="M131" s="452">
        <f t="shared" si="70"/>
        <v>3777.6716433659039</v>
      </c>
      <c r="N131" s="452">
        <f t="shared" si="70"/>
        <v>3909.8901508837107</v>
      </c>
      <c r="O131" s="453">
        <f t="shared" si="70"/>
        <v>4046.7363061646406</v>
      </c>
      <c r="P131" s="412"/>
      <c r="R131" s="413"/>
      <c r="S131" s="447" t="s">
        <v>437</v>
      </c>
      <c r="T131" s="449"/>
      <c r="U131" s="449"/>
      <c r="V131" s="449"/>
      <c r="W131" s="449"/>
      <c r="X131" s="451">
        <f t="shared" si="71"/>
        <v>3180.6981569164341</v>
      </c>
      <c r="Y131" s="452">
        <f t="shared" si="72"/>
        <v>3292.0225924085094</v>
      </c>
      <c r="Z131" s="452">
        <f t="shared" si="73"/>
        <v>3407.243383142807</v>
      </c>
      <c r="AA131" s="452">
        <f t="shared" si="74"/>
        <v>3526.4969015528054</v>
      </c>
      <c r="AB131" s="452">
        <f t="shared" si="75"/>
        <v>3649.9242931071535</v>
      </c>
      <c r="AC131" s="452">
        <f t="shared" si="76"/>
        <v>3777.6716433659039</v>
      </c>
      <c r="AD131" s="452">
        <f t="shared" si="77"/>
        <v>3909.8901508837107</v>
      </c>
      <c r="AE131" s="453">
        <f t="shared" si="78"/>
        <v>4046.7363061646406</v>
      </c>
      <c r="AF131" s="412"/>
    </row>
    <row r="132" spans="2:32" x14ac:dyDescent="0.25">
      <c r="B132" s="413"/>
      <c r="C132" s="447" t="s">
        <v>438</v>
      </c>
      <c r="D132" s="448"/>
      <c r="E132" s="449"/>
      <c r="F132" s="448"/>
      <c r="G132" s="449"/>
      <c r="H132" s="451">
        <f t="shared" si="69"/>
        <v>107146.27039314977</v>
      </c>
      <c r="I132" s="452">
        <f t="shared" si="70"/>
        <v>110896.38985691001</v>
      </c>
      <c r="J132" s="452">
        <f t="shared" si="70"/>
        <v>114777.76350190186</v>
      </c>
      <c r="K132" s="452">
        <f t="shared" si="70"/>
        <v>118794.98522446843</v>
      </c>
      <c r="L132" s="452">
        <f t="shared" si="70"/>
        <v>122952.80970732482</v>
      </c>
      <c r="M132" s="452">
        <f t="shared" si="70"/>
        <v>127256.15804708119</v>
      </c>
      <c r="N132" s="452">
        <f t="shared" si="70"/>
        <v>131710.12357872902</v>
      </c>
      <c r="O132" s="453">
        <f t="shared" si="70"/>
        <v>136319.97790398455</v>
      </c>
      <c r="P132" s="412"/>
      <c r="R132" s="413"/>
      <c r="S132" s="447" t="s">
        <v>438</v>
      </c>
      <c r="T132" s="448"/>
      <c r="U132" s="449"/>
      <c r="V132" s="448"/>
      <c r="W132" s="449"/>
      <c r="X132" s="451">
        <f t="shared" si="71"/>
        <v>55980.287561729252</v>
      </c>
      <c r="Y132" s="452">
        <f t="shared" si="72"/>
        <v>57939.597626389776</v>
      </c>
      <c r="Z132" s="452">
        <f t="shared" si="73"/>
        <v>59967.483543313421</v>
      </c>
      <c r="AA132" s="452">
        <f t="shared" si="74"/>
        <v>62066.345467329389</v>
      </c>
      <c r="AB132" s="452">
        <f t="shared" si="75"/>
        <v>64238.66755868592</v>
      </c>
      <c r="AC132" s="452">
        <f t="shared" si="76"/>
        <v>66487.020923239921</v>
      </c>
      <c r="AD132" s="452">
        <f t="shared" si="77"/>
        <v>68814.066655553324</v>
      </c>
      <c r="AE132" s="453">
        <f t="shared" si="78"/>
        <v>71222.558988497694</v>
      </c>
      <c r="AF132" s="412"/>
    </row>
    <row r="133" spans="2:32" x14ac:dyDescent="0.25">
      <c r="B133" s="413"/>
      <c r="C133" s="447" t="s">
        <v>439</v>
      </c>
      <c r="D133" s="448"/>
      <c r="E133" s="449"/>
      <c r="F133" s="448"/>
      <c r="G133" s="449"/>
      <c r="H133" s="451">
        <f t="shared" si="69"/>
        <v>22392.115024691695</v>
      </c>
      <c r="I133" s="452">
        <f t="shared" ref="I133:O136" si="79">H133+(H133*$F52)</f>
        <v>23175.839050555904</v>
      </c>
      <c r="J133" s="452">
        <f t="shared" si="79"/>
        <v>23986.99341732536</v>
      </c>
      <c r="K133" s="452">
        <f t="shared" si="79"/>
        <v>24826.53818693175</v>
      </c>
      <c r="L133" s="452">
        <f t="shared" si="79"/>
        <v>25695.467023474361</v>
      </c>
      <c r="M133" s="452">
        <f t="shared" si="79"/>
        <v>26594.808369295963</v>
      </c>
      <c r="N133" s="452">
        <f t="shared" si="79"/>
        <v>27525.626662221322</v>
      </c>
      <c r="O133" s="453">
        <f t="shared" si="79"/>
        <v>28489.02359539907</v>
      </c>
      <c r="P133" s="412"/>
      <c r="R133" s="413"/>
      <c r="S133" s="447" t="s">
        <v>439</v>
      </c>
      <c r="T133" s="448"/>
      <c r="U133" s="449"/>
      <c r="V133" s="448"/>
      <c r="W133" s="449"/>
      <c r="X133" s="451">
        <f t="shared" si="71"/>
        <v>16030.718710858826</v>
      </c>
      <c r="Y133" s="452">
        <f t="shared" si="72"/>
        <v>16591.793865738884</v>
      </c>
      <c r="Z133" s="452">
        <f t="shared" si="73"/>
        <v>17172.506651039745</v>
      </c>
      <c r="AA133" s="452">
        <f t="shared" si="74"/>
        <v>17773.544383826134</v>
      </c>
      <c r="AB133" s="452">
        <f t="shared" si="75"/>
        <v>18395.618437260047</v>
      </c>
      <c r="AC133" s="452">
        <f t="shared" si="76"/>
        <v>19039.465082564147</v>
      </c>
      <c r="AD133" s="452">
        <f t="shared" si="77"/>
        <v>19705.846360453892</v>
      </c>
      <c r="AE133" s="453">
        <f t="shared" si="78"/>
        <v>20395.550983069777</v>
      </c>
      <c r="AF133" s="412"/>
    </row>
    <row r="134" spans="2:32" x14ac:dyDescent="0.25">
      <c r="B134" s="413"/>
      <c r="C134" s="447" t="s">
        <v>440</v>
      </c>
      <c r="D134" s="448"/>
      <c r="E134" s="449"/>
      <c r="F134" s="448"/>
      <c r="G134" s="449"/>
      <c r="H134" s="451">
        <f t="shared" si="69"/>
        <v>22392.115024691695</v>
      </c>
      <c r="I134" s="452">
        <f t="shared" si="79"/>
        <v>23175.839050555904</v>
      </c>
      <c r="J134" s="452">
        <f t="shared" si="79"/>
        <v>23986.99341732536</v>
      </c>
      <c r="K134" s="452">
        <f t="shared" si="79"/>
        <v>24826.53818693175</v>
      </c>
      <c r="L134" s="452">
        <f t="shared" si="79"/>
        <v>25695.467023474361</v>
      </c>
      <c r="M134" s="452">
        <f t="shared" si="79"/>
        <v>26594.808369295963</v>
      </c>
      <c r="N134" s="452">
        <f t="shared" si="79"/>
        <v>27525.626662221322</v>
      </c>
      <c r="O134" s="453">
        <f t="shared" si="79"/>
        <v>28489.02359539907</v>
      </c>
      <c r="P134" s="412"/>
      <c r="R134" s="413"/>
      <c r="S134" s="447" t="s">
        <v>440</v>
      </c>
      <c r="T134" s="448"/>
      <c r="U134" s="449"/>
      <c r="V134" s="448"/>
      <c r="W134" s="449"/>
      <c r="X134" s="451">
        <f t="shared" si="71"/>
        <v>13995.071890432313</v>
      </c>
      <c r="Y134" s="452">
        <f t="shared" si="72"/>
        <v>14484.899406597444</v>
      </c>
      <c r="Z134" s="452">
        <f t="shared" si="73"/>
        <v>14991.870885828355</v>
      </c>
      <c r="AA134" s="452">
        <f t="shared" si="74"/>
        <v>15516.586366832347</v>
      </c>
      <c r="AB134" s="452">
        <f t="shared" si="75"/>
        <v>16059.66688967148</v>
      </c>
      <c r="AC134" s="452">
        <f t="shared" si="76"/>
        <v>16621.75523080998</v>
      </c>
      <c r="AD134" s="452">
        <f t="shared" si="77"/>
        <v>17203.516663888331</v>
      </c>
      <c r="AE134" s="453">
        <f t="shared" si="78"/>
        <v>17805.639747124424</v>
      </c>
      <c r="AF134" s="412"/>
    </row>
    <row r="135" spans="2:32" x14ac:dyDescent="0.25">
      <c r="B135" s="413"/>
      <c r="C135" s="447" t="s">
        <v>441</v>
      </c>
      <c r="D135" s="449"/>
      <c r="E135" s="449"/>
      <c r="F135" s="449"/>
      <c r="G135" s="449"/>
      <c r="H135" s="451">
        <f t="shared" si="69"/>
        <v>17913.692019753358</v>
      </c>
      <c r="I135" s="452">
        <f t="shared" si="79"/>
        <v>18540.671240444724</v>
      </c>
      <c r="J135" s="452">
        <f t="shared" si="79"/>
        <v>19189.594733860289</v>
      </c>
      <c r="K135" s="452">
        <f t="shared" si="79"/>
        <v>19861.230549545398</v>
      </c>
      <c r="L135" s="452">
        <f t="shared" si="79"/>
        <v>20556.373618779486</v>
      </c>
      <c r="M135" s="452">
        <f t="shared" si="79"/>
        <v>21275.846695436769</v>
      </c>
      <c r="N135" s="452">
        <f t="shared" si="79"/>
        <v>22020.501329777057</v>
      </c>
      <c r="O135" s="453">
        <f t="shared" si="79"/>
        <v>22791.218876319253</v>
      </c>
      <c r="P135" s="412"/>
      <c r="R135" s="413"/>
      <c r="S135" s="447" t="s">
        <v>441</v>
      </c>
      <c r="T135" s="449"/>
      <c r="U135" s="449"/>
      <c r="V135" s="449"/>
      <c r="W135" s="449"/>
      <c r="X135" s="451">
        <f t="shared" si="71"/>
        <v>10178.234102132588</v>
      </c>
      <c r="Y135" s="452">
        <f t="shared" si="72"/>
        <v>10534.472295707228</v>
      </c>
      <c r="Z135" s="452">
        <f t="shared" si="73"/>
        <v>10903.178826056981</v>
      </c>
      <c r="AA135" s="452">
        <f t="shared" si="74"/>
        <v>11284.790084968976</v>
      </c>
      <c r="AB135" s="452">
        <f t="shared" si="75"/>
        <v>11679.757737942889</v>
      </c>
      <c r="AC135" s="452">
        <f t="shared" si="76"/>
        <v>12088.54925877089</v>
      </c>
      <c r="AD135" s="452">
        <f t="shared" si="77"/>
        <v>12511.648482827872</v>
      </c>
      <c r="AE135" s="453">
        <f t="shared" si="78"/>
        <v>12949.556179726847</v>
      </c>
      <c r="AF135" s="412"/>
    </row>
    <row r="136" spans="2:32" x14ac:dyDescent="0.25">
      <c r="B136" s="413"/>
      <c r="C136" s="447" t="s">
        <v>442</v>
      </c>
      <c r="D136" s="449"/>
      <c r="E136" s="449"/>
      <c r="F136" s="449"/>
      <c r="G136" s="449"/>
      <c r="H136" s="451">
        <f t="shared" si="69"/>
        <v>11196.057512345847</v>
      </c>
      <c r="I136" s="452">
        <f t="shared" si="79"/>
        <v>11587.919525277952</v>
      </c>
      <c r="J136" s="452">
        <f t="shared" si="79"/>
        <v>11993.49670866268</v>
      </c>
      <c r="K136" s="452">
        <f t="shared" si="79"/>
        <v>12413.269093465875</v>
      </c>
      <c r="L136" s="452">
        <f t="shared" si="79"/>
        <v>12847.73351173718</v>
      </c>
      <c r="M136" s="452">
        <f t="shared" si="79"/>
        <v>13297.404184647981</v>
      </c>
      <c r="N136" s="452">
        <f t="shared" si="79"/>
        <v>13762.813331110661</v>
      </c>
      <c r="O136" s="453">
        <f t="shared" si="79"/>
        <v>14244.511797699535</v>
      </c>
      <c r="P136" s="412"/>
      <c r="R136" s="413"/>
      <c r="S136" s="447" t="s">
        <v>442</v>
      </c>
      <c r="T136" s="449"/>
      <c r="U136" s="449"/>
      <c r="V136" s="449"/>
      <c r="W136" s="449"/>
      <c r="X136" s="451">
        <f t="shared" si="71"/>
        <v>5089.1170510662942</v>
      </c>
      <c r="Y136" s="452">
        <f t="shared" si="72"/>
        <v>5267.2361478536141</v>
      </c>
      <c r="Z136" s="452">
        <f t="shared" si="73"/>
        <v>5451.5894130284905</v>
      </c>
      <c r="AA136" s="452">
        <f t="shared" si="74"/>
        <v>5642.3950424844879</v>
      </c>
      <c r="AB136" s="452">
        <f t="shared" si="75"/>
        <v>5839.8788689714447</v>
      </c>
      <c r="AC136" s="452">
        <f t="shared" si="76"/>
        <v>6044.2746293854452</v>
      </c>
      <c r="AD136" s="452">
        <f t="shared" si="77"/>
        <v>6255.8242414139359</v>
      </c>
      <c r="AE136" s="453">
        <f t="shared" si="78"/>
        <v>6474.7780898634237</v>
      </c>
      <c r="AF136" s="412"/>
    </row>
    <row r="137" spans="2:32" x14ac:dyDescent="0.25">
      <c r="B137" s="413"/>
      <c r="C137" s="456" t="s">
        <v>240</v>
      </c>
      <c r="D137" s="457"/>
      <c r="E137" s="458"/>
      <c r="F137" s="480"/>
      <c r="G137" s="458"/>
      <c r="H137" s="459">
        <f>'8E'!H147</f>
        <v>23471</v>
      </c>
      <c r="I137" s="460">
        <f>'8E'!I147</f>
        <v>23471</v>
      </c>
      <c r="J137" s="460">
        <f>'8E'!J147</f>
        <v>23471</v>
      </c>
      <c r="K137" s="460">
        <f>'8E'!K147</f>
        <v>23471</v>
      </c>
      <c r="L137" s="460">
        <f>'8E'!L147</f>
        <v>23471</v>
      </c>
      <c r="M137" s="460">
        <f>'8E'!M147</f>
        <v>23471</v>
      </c>
      <c r="N137" s="460">
        <f>'8E'!N147</f>
        <v>23471</v>
      </c>
      <c r="O137" s="461">
        <f>'8E'!O147</f>
        <v>23471</v>
      </c>
      <c r="P137" s="412"/>
      <c r="R137" s="413"/>
      <c r="S137" s="456" t="s">
        <v>240</v>
      </c>
      <c r="T137" s="457"/>
      <c r="U137" s="458"/>
      <c r="V137" s="480"/>
      <c r="W137" s="458"/>
      <c r="X137" s="459">
        <f>'8E'!Y147</f>
        <v>1800</v>
      </c>
      <c r="Y137" s="460">
        <f>'8E'!Z147</f>
        <v>1800</v>
      </c>
      <c r="Z137" s="460">
        <f>'8E'!AA147</f>
        <v>1800</v>
      </c>
      <c r="AA137" s="460">
        <f>'8E'!AB147</f>
        <v>1800</v>
      </c>
      <c r="AB137" s="460">
        <f>'8E'!AC147</f>
        <v>1800</v>
      </c>
      <c r="AC137" s="460">
        <f>'8E'!AD147</f>
        <v>1800</v>
      </c>
      <c r="AD137" s="460">
        <f>'8E'!AE147</f>
        <v>1800</v>
      </c>
      <c r="AE137" s="461">
        <f>'8E'!AF147</f>
        <v>1800</v>
      </c>
      <c r="AF137" s="412"/>
    </row>
    <row r="138" spans="2:32" x14ac:dyDescent="0.25">
      <c r="B138" s="413"/>
      <c r="C138" s="370" t="s">
        <v>443</v>
      </c>
      <c r="D138" s="428"/>
      <c r="E138" s="411"/>
      <c r="F138" s="429"/>
      <c r="G138" s="411"/>
      <c r="H138" s="364">
        <f>SUM(H117:H137)</f>
        <v>639953.91677354334</v>
      </c>
      <c r="I138" s="365">
        <f t="shared" ref="I138:N138" si="80">SUM(I117:I137)</f>
        <v>661530.81886061735</v>
      </c>
      <c r="J138" s="365">
        <f t="shared" si="80"/>
        <v>683862.91252073902</v>
      </c>
      <c r="K138" s="365">
        <f t="shared" si="80"/>
        <v>706976.62945896469</v>
      </c>
      <c r="L138" s="365">
        <f t="shared" si="80"/>
        <v>730899.32649002853</v>
      </c>
      <c r="M138" s="365">
        <f t="shared" si="80"/>
        <v>755659.31791717932</v>
      </c>
      <c r="N138" s="365">
        <f t="shared" si="80"/>
        <v>781285.90904428065</v>
      </c>
      <c r="O138" s="403">
        <f>SUM(O117:O137)</f>
        <v>807809.43086083059</v>
      </c>
      <c r="P138" s="412"/>
      <c r="R138" s="413"/>
      <c r="S138" s="370" t="s">
        <v>443</v>
      </c>
      <c r="T138" s="428"/>
      <c r="U138" s="411"/>
      <c r="V138" s="429"/>
      <c r="W138" s="411"/>
      <c r="X138" s="364">
        <f>SUM(X117:X137)</f>
        <v>308661.03538666992</v>
      </c>
      <c r="Y138" s="365">
        <f t="shared" ref="Y138:AD138" si="81">SUM(Y117:Y137)</f>
        <v>319401.17162520334</v>
      </c>
      <c r="Z138" s="365">
        <f t="shared" si="81"/>
        <v>330517.21263208549</v>
      </c>
      <c r="AA138" s="365">
        <f t="shared" si="81"/>
        <v>342022.31507420848</v>
      </c>
      <c r="AB138" s="365">
        <f t="shared" si="81"/>
        <v>353930.09610180574</v>
      </c>
      <c r="AC138" s="365">
        <f t="shared" si="81"/>
        <v>366254.64946536894</v>
      </c>
      <c r="AD138" s="365">
        <f t="shared" si="81"/>
        <v>379010.56219665683</v>
      </c>
      <c r="AE138" s="403">
        <f>SUM(AE117:AE137)</f>
        <v>392212.93187353987</v>
      </c>
      <c r="AF138" s="412"/>
    </row>
    <row r="139" spans="2:32" ht="7.5" customHeight="1" x14ac:dyDescent="0.25">
      <c r="B139" s="413"/>
      <c r="C139" s="370"/>
      <c r="D139" s="428"/>
      <c r="E139" s="411"/>
      <c r="F139" s="429"/>
      <c r="G139" s="411"/>
      <c r="H139" s="367"/>
      <c r="I139" s="368"/>
      <c r="J139" s="368"/>
      <c r="K139" s="368"/>
      <c r="L139" s="368"/>
      <c r="M139" s="368"/>
      <c r="N139" s="368"/>
      <c r="O139" s="369"/>
      <c r="P139" s="412"/>
      <c r="R139" s="413"/>
      <c r="S139" s="370"/>
      <c r="T139" s="428"/>
      <c r="U139" s="411"/>
      <c r="V139" s="429"/>
      <c r="W139" s="411"/>
      <c r="X139" s="367"/>
      <c r="Y139" s="368"/>
      <c r="Z139" s="368"/>
      <c r="AA139" s="368"/>
      <c r="AB139" s="368"/>
      <c r="AC139" s="368"/>
      <c r="AD139" s="368"/>
      <c r="AE139" s="369"/>
      <c r="AF139" s="412"/>
    </row>
    <row r="140" spans="2:32" x14ac:dyDescent="0.25">
      <c r="B140" s="413"/>
      <c r="C140" s="481" t="s">
        <v>444</v>
      </c>
      <c r="D140" s="428"/>
      <c r="E140" s="411"/>
      <c r="F140" s="428"/>
      <c r="G140" s="411"/>
      <c r="H140" s="451">
        <f>O59+($F59*O59)</f>
        <v>39186.201293210477</v>
      </c>
      <c r="I140" s="452">
        <f t="shared" ref="I140:O141" si="82">H140+(H140*$F59)</f>
        <v>40557.718338472841</v>
      </c>
      <c r="J140" s="452">
        <f t="shared" si="82"/>
        <v>41977.238480319393</v>
      </c>
      <c r="K140" s="452">
        <f t="shared" si="82"/>
        <v>43446.441827130569</v>
      </c>
      <c r="L140" s="452">
        <f t="shared" si="82"/>
        <v>44967.067291080137</v>
      </c>
      <c r="M140" s="452">
        <f t="shared" si="82"/>
        <v>46540.914646267942</v>
      </c>
      <c r="N140" s="452">
        <f t="shared" si="82"/>
        <v>48169.84665888732</v>
      </c>
      <c r="O140" s="453">
        <f t="shared" si="82"/>
        <v>49855.791291948379</v>
      </c>
      <c r="P140" s="412"/>
      <c r="R140" s="413"/>
      <c r="S140" s="481" t="s">
        <v>444</v>
      </c>
      <c r="T140" s="428"/>
      <c r="U140" s="411"/>
      <c r="V140" s="428"/>
      <c r="W140" s="411"/>
      <c r="X140" s="451">
        <f>AE59+($F59*AE59)</f>
        <v>17811.909678732034</v>
      </c>
      <c r="Y140" s="452">
        <f t="shared" ref="Y140:AE141" si="83">X140+(X140*$F59)</f>
        <v>18435.326517487654</v>
      </c>
      <c r="Z140" s="452">
        <f t="shared" si="83"/>
        <v>19080.562945599722</v>
      </c>
      <c r="AA140" s="452">
        <f t="shared" si="83"/>
        <v>19748.382648695711</v>
      </c>
      <c r="AB140" s="452">
        <f t="shared" si="83"/>
        <v>20439.576041400062</v>
      </c>
      <c r="AC140" s="452">
        <f t="shared" si="83"/>
        <v>21154.961202849063</v>
      </c>
      <c r="AD140" s="452">
        <f t="shared" si="83"/>
        <v>21895.384844948781</v>
      </c>
      <c r="AE140" s="453">
        <f t="shared" si="83"/>
        <v>22661.723314521987</v>
      </c>
      <c r="AF140" s="412"/>
    </row>
    <row r="141" spans="2:32" x14ac:dyDescent="0.25">
      <c r="B141" s="413"/>
      <c r="C141" s="465" t="s">
        <v>445</v>
      </c>
      <c r="D141" s="457"/>
      <c r="E141" s="458"/>
      <c r="F141" s="457"/>
      <c r="G141" s="458"/>
      <c r="H141" s="459">
        <f>O60+($F60*O60)</f>
        <v>0</v>
      </c>
      <c r="I141" s="460">
        <f t="shared" si="82"/>
        <v>0</v>
      </c>
      <c r="J141" s="460">
        <f t="shared" si="82"/>
        <v>0</v>
      </c>
      <c r="K141" s="460">
        <f t="shared" si="82"/>
        <v>0</v>
      </c>
      <c r="L141" s="460">
        <f t="shared" si="82"/>
        <v>0</v>
      </c>
      <c r="M141" s="460">
        <f t="shared" si="82"/>
        <v>0</v>
      </c>
      <c r="N141" s="460">
        <f t="shared" si="82"/>
        <v>0</v>
      </c>
      <c r="O141" s="461">
        <f t="shared" si="82"/>
        <v>0</v>
      </c>
      <c r="P141" s="412"/>
      <c r="R141" s="413"/>
      <c r="S141" s="465" t="s">
        <v>445</v>
      </c>
      <c r="T141" s="457"/>
      <c r="U141" s="458"/>
      <c r="V141" s="457"/>
      <c r="W141" s="458"/>
      <c r="X141" s="459">
        <f>AE60+($F60*AE60)</f>
        <v>0</v>
      </c>
      <c r="Y141" s="460">
        <f t="shared" si="83"/>
        <v>0</v>
      </c>
      <c r="Z141" s="460">
        <f t="shared" si="83"/>
        <v>0</v>
      </c>
      <c r="AA141" s="460">
        <f t="shared" si="83"/>
        <v>0</v>
      </c>
      <c r="AB141" s="460">
        <f t="shared" si="83"/>
        <v>0</v>
      </c>
      <c r="AC141" s="460">
        <f t="shared" si="83"/>
        <v>0</v>
      </c>
      <c r="AD141" s="460">
        <f t="shared" si="83"/>
        <v>0</v>
      </c>
      <c r="AE141" s="461">
        <f t="shared" si="83"/>
        <v>0</v>
      </c>
      <c r="AF141" s="412"/>
    </row>
    <row r="142" spans="2:32" x14ac:dyDescent="0.25">
      <c r="B142" s="413"/>
      <c r="C142" s="370" t="s">
        <v>446</v>
      </c>
      <c r="D142" s="428"/>
      <c r="E142" s="428"/>
      <c r="F142" s="428"/>
      <c r="G142" s="411"/>
      <c r="H142" s="364">
        <f>SUM(H140:H141)</f>
        <v>39186.201293210477</v>
      </c>
      <c r="I142" s="365">
        <f t="shared" ref="I142:O142" si="84">SUM(I140:I141)</f>
        <v>40557.718338472841</v>
      </c>
      <c r="J142" s="365">
        <f t="shared" si="84"/>
        <v>41977.238480319393</v>
      </c>
      <c r="K142" s="365">
        <f t="shared" si="84"/>
        <v>43446.441827130569</v>
      </c>
      <c r="L142" s="365">
        <f t="shared" si="84"/>
        <v>44967.067291080137</v>
      </c>
      <c r="M142" s="365">
        <f t="shared" si="84"/>
        <v>46540.914646267942</v>
      </c>
      <c r="N142" s="365">
        <f t="shared" si="84"/>
        <v>48169.84665888732</v>
      </c>
      <c r="O142" s="366">
        <f t="shared" si="84"/>
        <v>49855.791291948379</v>
      </c>
      <c r="P142" s="412"/>
      <c r="R142" s="413"/>
      <c r="S142" s="370" t="s">
        <v>446</v>
      </c>
      <c r="T142" s="428"/>
      <c r="U142" s="428"/>
      <c r="V142" s="428"/>
      <c r="W142" s="411"/>
      <c r="X142" s="364">
        <f>SUM(X140:X141)</f>
        <v>17811.909678732034</v>
      </c>
      <c r="Y142" s="365">
        <f t="shared" ref="Y142:AE142" si="85">SUM(Y140:Y141)</f>
        <v>18435.326517487654</v>
      </c>
      <c r="Z142" s="365">
        <f t="shared" si="85"/>
        <v>19080.562945599722</v>
      </c>
      <c r="AA142" s="365">
        <f t="shared" si="85"/>
        <v>19748.382648695711</v>
      </c>
      <c r="AB142" s="365">
        <f t="shared" si="85"/>
        <v>20439.576041400062</v>
      </c>
      <c r="AC142" s="365">
        <f t="shared" si="85"/>
        <v>21154.961202849063</v>
      </c>
      <c r="AD142" s="365">
        <f t="shared" si="85"/>
        <v>21895.384844948781</v>
      </c>
      <c r="AE142" s="366">
        <f t="shared" si="85"/>
        <v>22661.723314521987</v>
      </c>
      <c r="AF142" s="412"/>
    </row>
    <row r="143" spans="2:32" ht="7.5" customHeight="1" x14ac:dyDescent="0.25">
      <c r="B143" s="413"/>
      <c r="C143" s="370"/>
      <c r="D143" s="428"/>
      <c r="E143" s="428"/>
      <c r="F143" s="428"/>
      <c r="G143" s="411"/>
      <c r="H143" s="367"/>
      <c r="I143" s="368"/>
      <c r="J143" s="368"/>
      <c r="K143" s="368"/>
      <c r="L143" s="368"/>
      <c r="M143" s="368"/>
      <c r="N143" s="368"/>
      <c r="O143" s="369"/>
      <c r="P143" s="412"/>
      <c r="R143" s="413"/>
      <c r="S143" s="370"/>
      <c r="T143" s="428"/>
      <c r="U143" s="428"/>
      <c r="V143" s="428"/>
      <c r="W143" s="411"/>
      <c r="X143" s="367"/>
      <c r="Y143" s="368"/>
      <c r="Z143" s="368"/>
      <c r="AA143" s="368"/>
      <c r="AB143" s="368"/>
      <c r="AC143" s="368"/>
      <c r="AD143" s="368"/>
      <c r="AE143" s="369"/>
      <c r="AF143" s="412"/>
    </row>
    <row r="144" spans="2:32" x14ac:dyDescent="0.25">
      <c r="B144" s="413"/>
      <c r="C144" s="370" t="s">
        <v>447</v>
      </c>
      <c r="D144" s="428"/>
      <c r="E144" s="239"/>
      <c r="F144" s="428"/>
      <c r="G144" s="411"/>
      <c r="H144" s="482">
        <f>O63+($F63*O63)</f>
        <v>82565.835036499557</v>
      </c>
      <c r="I144" s="483">
        <f t="shared" ref="I144:O144" si="86">H144+(H144*$F63)</f>
        <v>85455.63926277704</v>
      </c>
      <c r="J144" s="483">
        <f t="shared" si="86"/>
        <v>88446.586636974243</v>
      </c>
      <c r="K144" s="483">
        <f t="shared" si="86"/>
        <v>91542.217169268348</v>
      </c>
      <c r="L144" s="483">
        <f t="shared" si="86"/>
        <v>94746.194770192742</v>
      </c>
      <c r="M144" s="483">
        <f t="shared" si="86"/>
        <v>98062.311587149481</v>
      </c>
      <c r="N144" s="483">
        <f t="shared" si="86"/>
        <v>101494.49249269972</v>
      </c>
      <c r="O144" s="484">
        <f t="shared" si="86"/>
        <v>105046.79972994421</v>
      </c>
      <c r="P144" s="412"/>
      <c r="R144" s="413"/>
      <c r="S144" s="370" t="s">
        <v>447</v>
      </c>
      <c r="T144" s="428"/>
      <c r="U144" s="239"/>
      <c r="V144" s="428"/>
      <c r="W144" s="411"/>
      <c r="X144" s="482">
        <f>AE63+($F63*AE63)</f>
        <v>0</v>
      </c>
      <c r="Y144" s="483">
        <f t="shared" ref="Y144:Z144" si="87">X144+(X144*$F63)</f>
        <v>0</v>
      </c>
      <c r="Z144" s="483">
        <f t="shared" si="87"/>
        <v>0</v>
      </c>
      <c r="AA144" s="483">
        <f>+'8E'!AB154</f>
        <v>22908</v>
      </c>
      <c r="AB144" s="483">
        <f>+'8E'!AC154</f>
        <v>30000</v>
      </c>
      <c r="AC144" s="483">
        <f>+'8E'!AD154</f>
        <v>31050</v>
      </c>
      <c r="AD144" s="483">
        <f>+'8E'!AE154</f>
        <v>32136.75</v>
      </c>
      <c r="AE144" s="484">
        <f>+'8E'!AF154</f>
        <v>33261.536249999997</v>
      </c>
      <c r="AF144" s="412"/>
    </row>
    <row r="145" spans="2:32" ht="7.5" customHeight="1" x14ac:dyDescent="0.25">
      <c r="B145" s="413"/>
      <c r="C145" s="370"/>
      <c r="D145" s="428"/>
      <c r="E145" s="239"/>
      <c r="F145" s="428"/>
      <c r="G145" s="411"/>
      <c r="H145" s="367"/>
      <c r="I145" s="368"/>
      <c r="J145" s="368"/>
      <c r="K145" s="368"/>
      <c r="L145" s="368"/>
      <c r="M145" s="368"/>
      <c r="N145" s="368"/>
      <c r="O145" s="369"/>
      <c r="P145" s="412"/>
      <c r="R145" s="413"/>
      <c r="S145" s="370"/>
      <c r="T145" s="428"/>
      <c r="U145" s="239"/>
      <c r="V145" s="428"/>
      <c r="W145" s="411"/>
      <c r="X145" s="367"/>
      <c r="Y145" s="368"/>
      <c r="Z145" s="368"/>
      <c r="AA145" s="368"/>
      <c r="AB145" s="368"/>
      <c r="AC145" s="368"/>
      <c r="AD145" s="368"/>
      <c r="AE145" s="369"/>
      <c r="AF145" s="412"/>
    </row>
    <row r="146" spans="2:32" ht="15.75" thickBot="1" x14ac:dyDescent="0.3">
      <c r="B146" s="413"/>
      <c r="C146" s="469" t="s">
        <v>448</v>
      </c>
      <c r="D146" s="431"/>
      <c r="E146" s="431"/>
      <c r="F146" s="431"/>
      <c r="G146" s="431"/>
      <c r="H146" s="1454">
        <f>O65+($F65*O65)</f>
        <v>0</v>
      </c>
      <c r="I146" s="1455">
        <f t="shared" ref="I146:O146" si="88">H146+(H146*$F65)</f>
        <v>0</v>
      </c>
      <c r="J146" s="1455">
        <f t="shared" si="88"/>
        <v>0</v>
      </c>
      <c r="K146" s="1455">
        <f t="shared" si="88"/>
        <v>0</v>
      </c>
      <c r="L146" s="1455">
        <f t="shared" si="88"/>
        <v>0</v>
      </c>
      <c r="M146" s="1455">
        <f t="shared" si="88"/>
        <v>0</v>
      </c>
      <c r="N146" s="1455">
        <f t="shared" si="88"/>
        <v>0</v>
      </c>
      <c r="O146" s="1456">
        <f t="shared" si="88"/>
        <v>0</v>
      </c>
      <c r="P146" s="412"/>
      <c r="R146" s="413"/>
      <c r="S146" s="469" t="s">
        <v>448</v>
      </c>
      <c r="T146" s="431"/>
      <c r="U146" s="431"/>
      <c r="V146" s="431"/>
      <c r="W146" s="431"/>
      <c r="X146" s="1454">
        <f>AE65+($F65*AE65)</f>
        <v>0</v>
      </c>
      <c r="Y146" s="1455">
        <f t="shared" ref="Y146:AE146" si="89">X146+(X146*$F65)</f>
        <v>0</v>
      </c>
      <c r="Z146" s="1455">
        <f t="shared" si="89"/>
        <v>0</v>
      </c>
      <c r="AA146" s="1455">
        <f t="shared" si="89"/>
        <v>0</v>
      </c>
      <c r="AB146" s="1455">
        <f t="shared" si="89"/>
        <v>0</v>
      </c>
      <c r="AC146" s="1455">
        <f t="shared" si="89"/>
        <v>0</v>
      </c>
      <c r="AD146" s="1455">
        <f t="shared" si="89"/>
        <v>0</v>
      </c>
      <c r="AE146" s="1456">
        <f t="shared" si="89"/>
        <v>0</v>
      </c>
      <c r="AF146" s="412"/>
    </row>
    <row r="147" spans="2:32" ht="16.5" thickTop="1" thickBot="1" x14ac:dyDescent="0.3">
      <c r="B147" s="413"/>
      <c r="C147" s="436" t="s">
        <v>449</v>
      </c>
      <c r="D147" s="428"/>
      <c r="E147" s="411"/>
      <c r="F147" s="428"/>
      <c r="G147" s="471"/>
      <c r="H147" s="372">
        <f>H138+H142+H144+H146</f>
        <v>761705.95310325339</v>
      </c>
      <c r="I147" s="373">
        <f t="shared" ref="I147:O147" si="90">I138+I142+I144+I146</f>
        <v>787544.17646186729</v>
      </c>
      <c r="J147" s="373">
        <f t="shared" si="90"/>
        <v>814286.73763803265</v>
      </c>
      <c r="K147" s="373">
        <f t="shared" si="90"/>
        <v>841965.2884553636</v>
      </c>
      <c r="L147" s="373">
        <f t="shared" si="90"/>
        <v>870612.58855130139</v>
      </c>
      <c r="M147" s="373">
        <f t="shared" si="90"/>
        <v>900262.54415059672</v>
      </c>
      <c r="N147" s="373">
        <f t="shared" si="90"/>
        <v>930950.24819586775</v>
      </c>
      <c r="O147" s="374">
        <f t="shared" si="90"/>
        <v>962712.0218827232</v>
      </c>
      <c r="P147" s="412"/>
      <c r="R147" s="413"/>
      <c r="S147" s="436" t="s">
        <v>449</v>
      </c>
      <c r="T147" s="428"/>
      <c r="U147" s="411"/>
      <c r="V147" s="428"/>
      <c r="W147" s="471"/>
      <c r="X147" s="372">
        <f>X138+X142+X144+X146</f>
        <v>326472.94506540196</v>
      </c>
      <c r="Y147" s="373">
        <f t="shared" ref="Y147:AE147" si="91">Y138+Y142+Y144+Y146</f>
        <v>337836.49814269098</v>
      </c>
      <c r="Z147" s="373">
        <f t="shared" si="91"/>
        <v>349597.77557768521</v>
      </c>
      <c r="AA147" s="373">
        <f t="shared" si="91"/>
        <v>384678.69772290421</v>
      </c>
      <c r="AB147" s="373">
        <f t="shared" si="91"/>
        <v>404369.67214320583</v>
      </c>
      <c r="AC147" s="373">
        <f t="shared" si="91"/>
        <v>418459.610668218</v>
      </c>
      <c r="AD147" s="373">
        <f t="shared" si="91"/>
        <v>433042.6970416056</v>
      </c>
      <c r="AE147" s="374">
        <f t="shared" si="91"/>
        <v>448136.19143806188</v>
      </c>
      <c r="AF147" s="412"/>
    </row>
    <row r="148" spans="2:32" ht="7.5" customHeight="1" thickBot="1" x14ac:dyDescent="0.3">
      <c r="B148" s="413"/>
      <c r="C148" s="428"/>
      <c r="D148" s="428"/>
      <c r="E148" s="428"/>
      <c r="F148" s="428"/>
      <c r="G148" s="428"/>
      <c r="H148" s="472"/>
      <c r="I148" s="472"/>
      <c r="J148" s="472"/>
      <c r="K148" s="472"/>
      <c r="L148" s="472"/>
      <c r="M148" s="472"/>
      <c r="N148" s="472"/>
      <c r="O148" s="472"/>
      <c r="P148" s="412"/>
      <c r="R148" s="413"/>
      <c r="S148" s="428"/>
      <c r="T148" s="428"/>
      <c r="U148" s="428"/>
      <c r="V148" s="428"/>
      <c r="W148" s="428"/>
      <c r="X148" s="472"/>
      <c r="Y148" s="472"/>
      <c r="Z148" s="472"/>
      <c r="AA148" s="472"/>
      <c r="AB148" s="472"/>
      <c r="AC148" s="472"/>
      <c r="AD148" s="472"/>
      <c r="AE148" s="472"/>
      <c r="AF148" s="412"/>
    </row>
    <row r="149" spans="2:32" ht="15.75" thickBot="1" x14ac:dyDescent="0.3">
      <c r="B149" s="413"/>
      <c r="C149" s="436" t="s">
        <v>450</v>
      </c>
      <c r="D149" s="428"/>
      <c r="E149" s="428"/>
      <c r="F149" s="428"/>
      <c r="G149" s="428"/>
      <c r="H149" s="375">
        <f>H113-H147</f>
        <v>444114.74459907948</v>
      </c>
      <c r="I149" s="376">
        <f>I113-I147</f>
        <v>448306.80253684521</v>
      </c>
      <c r="J149" s="376">
        <f t="shared" ref="J149:O149" si="92">J113-J147</f>
        <v>452342.97496654547</v>
      </c>
      <c r="K149" s="376">
        <f t="shared" si="92"/>
        <v>456210.27527784463</v>
      </c>
      <c r="L149" s="376">
        <f t="shared" si="92"/>
        <v>459895.07475502335</v>
      </c>
      <c r="M149" s="376">
        <f t="shared" si="92"/>
        <v>463383.07542776805</v>
      </c>
      <c r="N149" s="376">
        <f t="shared" si="92"/>
        <v>466659.28185512568</v>
      </c>
      <c r="O149" s="377">
        <f t="shared" si="92"/>
        <v>469707.97180237796</v>
      </c>
      <c r="P149" s="412"/>
      <c r="R149" s="413"/>
      <c r="S149" s="436" t="s">
        <v>450</v>
      </c>
      <c r="T149" s="428"/>
      <c r="U149" s="428"/>
      <c r="V149" s="428"/>
      <c r="W149" s="428"/>
      <c r="X149" s="375">
        <f>X113-X147</f>
        <v>91910.594703514245</v>
      </c>
      <c r="Y149" s="376">
        <f>Y113-Y147</f>
        <v>90943.774040714372</v>
      </c>
      <c r="Z149" s="376">
        <f t="shared" ref="Z149:AE149" si="93">Z113-Z147</f>
        <v>89837.890208976809</v>
      </c>
      <c r="AA149" s="376">
        <f t="shared" si="93"/>
        <v>65677.464243069349</v>
      </c>
      <c r="AB149" s="376">
        <f t="shared" si="93"/>
        <v>57178.690497255011</v>
      </c>
      <c r="AC149" s="376">
        <f t="shared" si="93"/>
        <v>54559.423596099019</v>
      </c>
      <c r="AD149" s="376">
        <f t="shared" si="93"/>
        <v>51732.41488832084</v>
      </c>
      <c r="AE149" s="377">
        <f t="shared" si="93"/>
        <v>48687.512135294266</v>
      </c>
      <c r="AF149" s="412"/>
    </row>
    <row r="150" spans="2:32" x14ac:dyDescent="0.25">
      <c r="B150" s="290"/>
      <c r="C150" s="250"/>
      <c r="D150" s="250"/>
      <c r="E150" s="250"/>
      <c r="F150" s="250"/>
      <c r="G150" s="250"/>
      <c r="H150" s="250"/>
      <c r="I150" s="250"/>
      <c r="J150" s="250"/>
      <c r="K150" s="250"/>
      <c r="L150" s="250"/>
      <c r="M150" s="250"/>
      <c r="N150" s="250"/>
      <c r="O150" s="250"/>
      <c r="P150" s="251"/>
      <c r="R150" s="290"/>
      <c r="S150" s="841"/>
      <c r="T150" s="841"/>
      <c r="U150" s="841"/>
      <c r="V150" s="841"/>
      <c r="W150" s="841"/>
      <c r="X150" s="841"/>
      <c r="Y150" s="841"/>
      <c r="Z150" s="841"/>
      <c r="AA150" s="841"/>
      <c r="AB150" s="841"/>
      <c r="AC150" s="841"/>
      <c r="AD150" s="841"/>
      <c r="AE150" s="841"/>
      <c r="AF150" s="843"/>
    </row>
    <row r="151" spans="2:32" ht="15.75" thickBot="1" x14ac:dyDescent="0.3">
      <c r="B151" s="290"/>
      <c r="C151" s="2562" t="s">
        <v>451</v>
      </c>
      <c r="D151" s="2562"/>
      <c r="E151" s="2562"/>
      <c r="F151" s="378"/>
      <c r="G151" s="378"/>
      <c r="H151" s="378"/>
      <c r="I151" s="378"/>
      <c r="J151" s="378"/>
      <c r="K151" s="378"/>
      <c r="L151" s="1167"/>
      <c r="M151" s="1167"/>
      <c r="N151" s="1167"/>
      <c r="O151" s="1167"/>
      <c r="P151" s="251"/>
      <c r="R151" s="290"/>
      <c r="S151" s="2562" t="s">
        <v>451</v>
      </c>
      <c r="T151" s="2562"/>
      <c r="U151" s="2562"/>
      <c r="V151" s="378"/>
      <c r="W151" s="378"/>
      <c r="X151" s="378"/>
      <c r="Y151" s="378"/>
      <c r="Z151" s="378"/>
      <c r="AA151" s="378"/>
      <c r="AB151" s="1167"/>
      <c r="AC151" s="1167"/>
      <c r="AD151" s="1167"/>
      <c r="AE151" s="1167"/>
      <c r="AF151" s="843"/>
    </row>
    <row r="152" spans="2:32" ht="15.75" thickBot="1" x14ac:dyDescent="0.3">
      <c r="B152" s="290"/>
      <c r="C152" s="485" t="s">
        <v>452</v>
      </c>
      <c r="D152" s="420"/>
      <c r="E152" s="1038"/>
      <c r="F152" s="1038"/>
      <c r="G152" s="1038"/>
      <c r="H152" s="342" t="s">
        <v>465</v>
      </c>
      <c r="I152" s="404" t="s">
        <v>466</v>
      </c>
      <c r="J152" s="405" t="s">
        <v>467</v>
      </c>
      <c r="K152" s="405" t="s">
        <v>468</v>
      </c>
      <c r="L152" s="405" t="s">
        <v>469</v>
      </c>
      <c r="M152" s="405" t="s">
        <v>470</v>
      </c>
      <c r="N152" s="405" t="s">
        <v>471</v>
      </c>
      <c r="O152" s="406" t="s">
        <v>472</v>
      </c>
      <c r="P152" s="251"/>
      <c r="R152" s="290"/>
      <c r="S152" s="485" t="s">
        <v>452</v>
      </c>
      <c r="T152" s="420"/>
      <c r="U152" s="1038"/>
      <c r="V152" s="1038"/>
      <c r="W152" s="1038"/>
      <c r="X152" s="342" t="s">
        <v>465</v>
      </c>
      <c r="Y152" s="404" t="s">
        <v>466</v>
      </c>
      <c r="Z152" s="405" t="s">
        <v>467</v>
      </c>
      <c r="AA152" s="405" t="s">
        <v>468</v>
      </c>
      <c r="AB152" s="405" t="s">
        <v>469</v>
      </c>
      <c r="AC152" s="405" t="s">
        <v>470</v>
      </c>
      <c r="AD152" s="405" t="s">
        <v>471</v>
      </c>
      <c r="AE152" s="406" t="s">
        <v>472</v>
      </c>
      <c r="AF152" s="843"/>
    </row>
    <row r="153" spans="2:32" x14ac:dyDescent="0.25">
      <c r="B153" s="290"/>
      <c r="C153" s="2563" t="str">
        <f>IF(C72="Lender 1","",C72)</f>
        <v>Permanent Tax-Exempt Debt</v>
      </c>
      <c r="D153" s="2564"/>
      <c r="E153" s="2564"/>
      <c r="F153" s="2564"/>
      <c r="G153" s="2565"/>
      <c r="H153" s="1457">
        <f>+'8E'!H163</f>
        <v>399707</v>
      </c>
      <c r="I153" s="1478">
        <f>+'8E'!I163</f>
        <v>399707</v>
      </c>
      <c r="J153" s="1478">
        <f>+'8E'!J163</f>
        <v>399707</v>
      </c>
      <c r="K153" s="1478">
        <f>+'8E'!K163</f>
        <v>399707</v>
      </c>
      <c r="L153" s="1478">
        <f>+'8E'!L163</f>
        <v>399707</v>
      </c>
      <c r="M153" s="1478">
        <f>+'8E'!M163</f>
        <v>399707</v>
      </c>
      <c r="N153" s="1478">
        <f>+'8E'!N163</f>
        <v>399707</v>
      </c>
      <c r="O153" s="1479">
        <f>+'8E'!O163</f>
        <v>399707</v>
      </c>
      <c r="P153" s="251"/>
      <c r="R153" s="290"/>
      <c r="S153" s="2563" t="str">
        <f>IF(S72="Lender 1","",S72)</f>
        <v/>
      </c>
      <c r="T153" s="2564"/>
      <c r="U153" s="2564"/>
      <c r="V153" s="2564"/>
      <c r="W153" s="2565"/>
      <c r="X153" s="1457">
        <v>0</v>
      </c>
      <c r="Y153" s="1478">
        <v>0</v>
      </c>
      <c r="Z153" s="1478">
        <v>0</v>
      </c>
      <c r="AA153" s="1478">
        <v>0</v>
      </c>
      <c r="AB153" s="1478">
        <v>0</v>
      </c>
      <c r="AC153" s="1478">
        <v>0</v>
      </c>
      <c r="AD153" s="1478">
        <v>0</v>
      </c>
      <c r="AE153" s="1479">
        <v>0</v>
      </c>
      <c r="AF153" s="843"/>
    </row>
    <row r="154" spans="2:32" x14ac:dyDescent="0.25">
      <c r="B154" s="290"/>
      <c r="C154" s="2559" t="str">
        <f>IF(C73="Lender 2","",C73)</f>
        <v/>
      </c>
      <c r="D154" s="2560"/>
      <c r="E154" s="2560"/>
      <c r="F154" s="2560"/>
      <c r="G154" s="2561"/>
      <c r="H154" s="1460">
        <v>0</v>
      </c>
      <c r="I154" s="1480">
        <v>0</v>
      </c>
      <c r="J154" s="1480">
        <v>0</v>
      </c>
      <c r="K154" s="1480">
        <v>0</v>
      </c>
      <c r="L154" s="1480">
        <v>0</v>
      </c>
      <c r="M154" s="1480">
        <v>0</v>
      </c>
      <c r="N154" s="1480">
        <v>0</v>
      </c>
      <c r="O154" s="1481">
        <v>0</v>
      </c>
      <c r="P154" s="251"/>
      <c r="R154" s="290"/>
      <c r="S154" s="2559" t="str">
        <f>IF(S73="Lender 2","",S73)</f>
        <v/>
      </c>
      <c r="T154" s="2560"/>
      <c r="U154" s="2560"/>
      <c r="V154" s="2560"/>
      <c r="W154" s="2561"/>
      <c r="X154" s="1460">
        <v>0</v>
      </c>
      <c r="Y154" s="1480">
        <v>0</v>
      </c>
      <c r="Z154" s="1480">
        <v>0</v>
      </c>
      <c r="AA154" s="1480">
        <v>0</v>
      </c>
      <c r="AB154" s="1480">
        <v>0</v>
      </c>
      <c r="AC154" s="1480">
        <v>0</v>
      </c>
      <c r="AD154" s="1480">
        <v>0</v>
      </c>
      <c r="AE154" s="1481">
        <v>0</v>
      </c>
      <c r="AF154" s="843"/>
    </row>
    <row r="155" spans="2:32" ht="15.75" thickBot="1" x14ac:dyDescent="0.3">
      <c r="B155" s="290"/>
      <c r="C155" s="2556" t="s">
        <v>456</v>
      </c>
      <c r="D155" s="2557"/>
      <c r="E155" s="2557"/>
      <c r="F155" s="2557"/>
      <c r="G155" s="2558"/>
      <c r="H155" s="1463">
        <v>0</v>
      </c>
      <c r="I155" s="1482">
        <v>0</v>
      </c>
      <c r="J155" s="1482">
        <v>0</v>
      </c>
      <c r="K155" s="1482">
        <v>0</v>
      </c>
      <c r="L155" s="1482">
        <v>0</v>
      </c>
      <c r="M155" s="1482">
        <v>0</v>
      </c>
      <c r="N155" s="1482">
        <v>0</v>
      </c>
      <c r="O155" s="1483">
        <v>0</v>
      </c>
      <c r="P155" s="251"/>
      <c r="R155" s="290"/>
      <c r="S155" s="2556" t="s">
        <v>456</v>
      </c>
      <c r="T155" s="2557"/>
      <c r="U155" s="2557"/>
      <c r="V155" s="2557"/>
      <c r="W155" s="2558"/>
      <c r="X155" s="1463">
        <v>0</v>
      </c>
      <c r="Y155" s="1482">
        <v>0</v>
      </c>
      <c r="Z155" s="1482">
        <v>0</v>
      </c>
      <c r="AA155" s="1482">
        <v>0</v>
      </c>
      <c r="AB155" s="1482">
        <v>0</v>
      </c>
      <c r="AC155" s="1482">
        <v>0</v>
      </c>
      <c r="AD155" s="1482">
        <v>0</v>
      </c>
      <c r="AE155" s="1483">
        <v>0</v>
      </c>
      <c r="AF155" s="843"/>
    </row>
    <row r="156" spans="2:32" ht="15.75" thickTop="1" x14ac:dyDescent="0.25">
      <c r="B156" s="290"/>
      <c r="C156" s="1038"/>
      <c r="D156" s="1038"/>
      <c r="E156" s="1168"/>
      <c r="F156" s="1169"/>
      <c r="G156" s="1170" t="s">
        <v>457</v>
      </c>
      <c r="H156" s="379">
        <f>SUM(H153:H155)</f>
        <v>399707</v>
      </c>
      <c r="I156" s="380">
        <f t="shared" ref="I156:O156" si="94">SUM(I153:I155)</f>
        <v>399707</v>
      </c>
      <c r="J156" s="380">
        <f t="shared" si="94"/>
        <v>399707</v>
      </c>
      <c r="K156" s="380">
        <f t="shared" si="94"/>
        <v>399707</v>
      </c>
      <c r="L156" s="380">
        <f t="shared" si="94"/>
        <v>399707</v>
      </c>
      <c r="M156" s="380">
        <f t="shared" si="94"/>
        <v>399707</v>
      </c>
      <c r="N156" s="380">
        <f t="shared" si="94"/>
        <v>399707</v>
      </c>
      <c r="O156" s="381">
        <f t="shared" si="94"/>
        <v>399707</v>
      </c>
      <c r="P156" s="251"/>
      <c r="R156" s="290"/>
      <c r="S156" s="1038"/>
      <c r="T156" s="1038"/>
      <c r="U156" s="1168"/>
      <c r="V156" s="1169"/>
      <c r="W156" s="1170" t="s">
        <v>457</v>
      </c>
      <c r="X156" s="379">
        <f>SUM(X153:X155)</f>
        <v>0</v>
      </c>
      <c r="Y156" s="380">
        <f t="shared" ref="Y156:AE156" si="95">SUM(Y153:Y155)</f>
        <v>0</v>
      </c>
      <c r="Z156" s="380">
        <f t="shared" si="95"/>
        <v>0</v>
      </c>
      <c r="AA156" s="380">
        <f t="shared" si="95"/>
        <v>0</v>
      </c>
      <c r="AB156" s="380">
        <f t="shared" si="95"/>
        <v>0</v>
      </c>
      <c r="AC156" s="380">
        <f t="shared" si="95"/>
        <v>0</v>
      </c>
      <c r="AD156" s="380">
        <f t="shared" si="95"/>
        <v>0</v>
      </c>
      <c r="AE156" s="381">
        <f t="shared" si="95"/>
        <v>0</v>
      </c>
      <c r="AF156" s="843"/>
    </row>
    <row r="157" spans="2:32" x14ac:dyDescent="0.25">
      <c r="B157" s="290"/>
      <c r="C157" s="1038"/>
      <c r="D157" s="1038"/>
      <c r="E157" s="1038"/>
      <c r="F157" s="687"/>
      <c r="G157" s="687" t="s">
        <v>458</v>
      </c>
      <c r="H157" s="1726">
        <f>IFERROR(H149/H156,"$0 ")</f>
        <v>1.1111007427917936</v>
      </c>
      <c r="I157" s="1727">
        <f t="shared" ref="I157:N157" si="96">IFERROR(I149/I156,"$0 ")</f>
        <v>1.1215885699696158</v>
      </c>
      <c r="J157" s="1727">
        <f t="shared" si="96"/>
        <v>1.131686397702681</v>
      </c>
      <c r="K157" s="1727">
        <f t="shared" si="96"/>
        <v>1.1413617356659869</v>
      </c>
      <c r="L157" s="1727">
        <f t="shared" si="96"/>
        <v>1.150580487094355</v>
      </c>
      <c r="M157" s="1727">
        <f t="shared" si="96"/>
        <v>1.1593068808596498</v>
      </c>
      <c r="N157" s="1727">
        <f t="shared" si="96"/>
        <v>1.167503400878958</v>
      </c>
      <c r="O157" s="1728">
        <f>IFERROR(O149/O156,"$0 ")</f>
        <v>1.1751307127530366</v>
      </c>
      <c r="P157" s="251"/>
      <c r="R157" s="290"/>
      <c r="S157" s="1038"/>
      <c r="T157" s="1038"/>
      <c r="U157" s="1038"/>
      <c r="V157" s="1709"/>
      <c r="W157" s="1709" t="s">
        <v>458</v>
      </c>
      <c r="X157" s="625" t="str">
        <f>IFERROR(X149/X156,"$0 ")</f>
        <v xml:space="preserve">$0 </v>
      </c>
      <c r="Y157" s="620" t="str">
        <f t="shared" ref="Y157:AD157" si="97">IFERROR(Y149/Y156,"$0 ")</f>
        <v xml:space="preserve">$0 </v>
      </c>
      <c r="Z157" s="620" t="str">
        <f t="shared" si="97"/>
        <v xml:space="preserve">$0 </v>
      </c>
      <c r="AA157" s="620" t="str">
        <f t="shared" si="97"/>
        <v xml:space="preserve">$0 </v>
      </c>
      <c r="AB157" s="620" t="str">
        <f t="shared" si="97"/>
        <v xml:space="preserve">$0 </v>
      </c>
      <c r="AC157" s="620" t="str">
        <f t="shared" si="97"/>
        <v xml:space="preserve">$0 </v>
      </c>
      <c r="AD157" s="620" t="str">
        <f t="shared" si="97"/>
        <v xml:space="preserve">$0 </v>
      </c>
      <c r="AE157" s="621" t="str">
        <f>IFERROR(AE149/AE156,"$0 ")</f>
        <v xml:space="preserve">$0 </v>
      </c>
      <c r="AF157" s="843"/>
    </row>
    <row r="158" spans="2:32" ht="15.75" thickBot="1" x14ac:dyDescent="0.3">
      <c r="B158" s="290"/>
      <c r="C158" s="1038"/>
      <c r="D158" s="1038"/>
      <c r="E158" s="2547" t="s">
        <v>459</v>
      </c>
      <c r="F158" s="2547"/>
      <c r="G158" s="2552"/>
      <c r="H158" s="382">
        <f>H149-H156</f>
        <v>44407.74459907948</v>
      </c>
      <c r="I158" s="383">
        <f t="shared" ref="I158:O158" si="98">I149-I156</f>
        <v>48599.802536845207</v>
      </c>
      <c r="J158" s="383">
        <f t="shared" si="98"/>
        <v>52635.974966545473</v>
      </c>
      <c r="K158" s="383">
        <f t="shared" si="98"/>
        <v>56503.27527784463</v>
      </c>
      <c r="L158" s="383">
        <f t="shared" si="98"/>
        <v>60188.07475502335</v>
      </c>
      <c r="M158" s="383">
        <f t="shared" si="98"/>
        <v>63676.075427768053</v>
      </c>
      <c r="N158" s="383">
        <f t="shared" si="98"/>
        <v>66952.281855125679</v>
      </c>
      <c r="O158" s="384">
        <f t="shared" si="98"/>
        <v>70000.971802377957</v>
      </c>
      <c r="P158" s="251"/>
      <c r="R158" s="290"/>
      <c r="S158" s="1038"/>
      <c r="T158" s="1038"/>
      <c r="U158" s="2547" t="s">
        <v>459</v>
      </c>
      <c r="V158" s="2547"/>
      <c r="W158" s="2552"/>
      <c r="X158" s="382">
        <f>X149-X156</f>
        <v>91910.594703514245</v>
      </c>
      <c r="Y158" s="383">
        <f t="shared" ref="Y158:AE158" si="99">Y149-Y156</f>
        <v>90943.774040714372</v>
      </c>
      <c r="Z158" s="383">
        <f t="shared" si="99"/>
        <v>89837.890208976809</v>
      </c>
      <c r="AA158" s="383">
        <f t="shared" si="99"/>
        <v>65677.464243069349</v>
      </c>
      <c r="AB158" s="383">
        <f t="shared" si="99"/>
        <v>57178.690497255011</v>
      </c>
      <c r="AC158" s="383">
        <f t="shared" si="99"/>
        <v>54559.423596099019</v>
      </c>
      <c r="AD158" s="383">
        <f t="shared" si="99"/>
        <v>51732.41488832084</v>
      </c>
      <c r="AE158" s="384">
        <f t="shared" si="99"/>
        <v>48687.512135294266</v>
      </c>
      <c r="AF158" s="843"/>
    </row>
    <row r="159" spans="2:32" ht="15.75" thickBot="1" x14ac:dyDescent="0.3">
      <c r="B159" s="290"/>
      <c r="C159" s="1038"/>
      <c r="D159" s="1038"/>
      <c r="E159" s="1038"/>
      <c r="F159" s="1038"/>
      <c r="G159" s="1038"/>
      <c r="H159" s="1038"/>
      <c r="I159" s="1038"/>
      <c r="J159" s="1038"/>
      <c r="K159" s="1038"/>
      <c r="L159" s="1038"/>
      <c r="M159" s="1038"/>
      <c r="N159" s="1038"/>
      <c r="O159" s="1038"/>
      <c r="P159" s="251"/>
      <c r="R159" s="290"/>
      <c r="S159" s="1038"/>
      <c r="T159" s="1038"/>
      <c r="U159" s="1038"/>
      <c r="V159" s="1038"/>
      <c r="W159" s="1038"/>
      <c r="X159" s="1038"/>
      <c r="Y159" s="1038"/>
      <c r="Z159" s="1038"/>
      <c r="AA159" s="1038"/>
      <c r="AB159" s="1038"/>
      <c r="AC159" s="1038"/>
      <c r="AD159" s="1038"/>
      <c r="AE159" s="1038"/>
      <c r="AF159" s="843"/>
    </row>
    <row r="160" spans="2:32" ht="15.75" thickBot="1" x14ac:dyDescent="0.3">
      <c r="B160" s="290"/>
      <c r="C160" s="485" t="s">
        <v>460</v>
      </c>
      <c r="D160" s="1038"/>
      <c r="E160" s="1038"/>
      <c r="F160" s="1038"/>
      <c r="G160" s="1038"/>
      <c r="H160" s="342" t="s">
        <v>465</v>
      </c>
      <c r="I160" s="404" t="s">
        <v>466</v>
      </c>
      <c r="J160" s="405" t="s">
        <v>467</v>
      </c>
      <c r="K160" s="405" t="s">
        <v>468</v>
      </c>
      <c r="L160" s="405" t="s">
        <v>469</v>
      </c>
      <c r="M160" s="405" t="s">
        <v>470</v>
      </c>
      <c r="N160" s="405" t="s">
        <v>471</v>
      </c>
      <c r="O160" s="406" t="s">
        <v>472</v>
      </c>
      <c r="P160" s="251"/>
      <c r="R160" s="290"/>
      <c r="S160" s="485" t="s">
        <v>460</v>
      </c>
      <c r="T160" s="1038"/>
      <c r="U160" s="1038"/>
      <c r="V160" s="1038"/>
      <c r="W160" s="1038"/>
      <c r="X160" s="342" t="s">
        <v>465</v>
      </c>
      <c r="Y160" s="404" t="s">
        <v>466</v>
      </c>
      <c r="Z160" s="405" t="s">
        <v>467</v>
      </c>
      <c r="AA160" s="405" t="s">
        <v>468</v>
      </c>
      <c r="AB160" s="405" t="s">
        <v>469</v>
      </c>
      <c r="AC160" s="405" t="s">
        <v>470</v>
      </c>
      <c r="AD160" s="405" t="s">
        <v>471</v>
      </c>
      <c r="AE160" s="406" t="s">
        <v>472</v>
      </c>
      <c r="AF160" s="843"/>
    </row>
    <row r="161" spans="2:32" x14ac:dyDescent="0.25">
      <c r="B161" s="290"/>
      <c r="C161" s="2568" t="str">
        <f>IF(C80="Lender 4","",C80)</f>
        <v>Deferred Developer Fee</v>
      </c>
      <c r="D161" s="2569"/>
      <c r="E161" s="2569"/>
      <c r="F161" s="2569"/>
      <c r="G161" s="2570"/>
      <c r="H161" s="1484">
        <f>'8E'!H171</f>
        <v>34865.650128330184</v>
      </c>
      <c r="I161" s="1485">
        <f>'8E'!I171</f>
        <v>38723.734759619685</v>
      </c>
      <c r="J161" s="1485">
        <f>'8E'!J171</f>
        <v>42414.244817117062</v>
      </c>
      <c r="K161" s="1485">
        <f>'8E'!K171</f>
        <v>45923.784573186225</v>
      </c>
      <c r="L161" s="1485">
        <f>'8E'!L171</f>
        <v>49238.301875701902</v>
      </c>
      <c r="M161" s="1485">
        <f>'8E'!M171</f>
        <v>14343.728367074393</v>
      </c>
      <c r="N161" s="1485">
        <v>0</v>
      </c>
      <c r="O161" s="1486">
        <v>0</v>
      </c>
      <c r="P161" s="251"/>
      <c r="R161" s="290"/>
      <c r="S161" s="2609" t="str">
        <f>'8E'!S171</f>
        <v>Deferred Developer Fee</v>
      </c>
      <c r="T161" s="2569">
        <f>'8E'!T171</f>
        <v>0</v>
      </c>
      <c r="U161" s="2569">
        <f>'8E'!U171</f>
        <v>0</v>
      </c>
      <c r="V161" s="2569">
        <f>'8E'!V171</f>
        <v>0</v>
      </c>
      <c r="W161" s="2570">
        <f>'8E'!X171</f>
        <v>0</v>
      </c>
      <c r="X161" s="1484">
        <f>'8E'!Y171</f>
        <v>82368.500232764956</v>
      </c>
      <c r="Y161" s="1485">
        <f>'8E'!Z171</f>
        <v>81067.706263488857</v>
      </c>
      <c r="Z161" s="1485">
        <f>'8E'!AA171</f>
        <v>79616.160059548391</v>
      </c>
      <c r="AA161" s="1485">
        <f>'8E'!AB171</f>
        <v>55097.973538410944</v>
      </c>
      <c r="AB161" s="1485">
        <f>'8E'!AC171</f>
        <v>0.46785735164303333</v>
      </c>
      <c r="AC161" s="1485">
        <f>'8E'!AD171</f>
        <v>0</v>
      </c>
      <c r="AD161" s="1485">
        <f>'8E'!AE171</f>
        <v>0</v>
      </c>
      <c r="AE161" s="1486">
        <f>'8E'!AF171</f>
        <v>0</v>
      </c>
      <c r="AF161" s="843"/>
    </row>
    <row r="162" spans="2:32" x14ac:dyDescent="0.25">
      <c r="B162" s="290"/>
      <c r="C162" s="2553" t="str">
        <f>IF(C81="Lender 5","",C81)</f>
        <v>LP Asset Mangement Fee</v>
      </c>
      <c r="D162" s="2554"/>
      <c r="E162" s="2554"/>
      <c r="F162" s="2554"/>
      <c r="G162" s="2555"/>
      <c r="H162" s="1487">
        <f>+O81*1.035</f>
        <v>9542.0944707492963</v>
      </c>
      <c r="I162" s="1488">
        <f>+H162*1.035</f>
        <v>9876.0677772255203</v>
      </c>
      <c r="J162" s="1488">
        <f t="shared" ref="J162:O162" si="100">+I162*1.035</f>
        <v>10221.730149428413</v>
      </c>
      <c r="K162" s="1488">
        <f t="shared" si="100"/>
        <v>10579.490704658407</v>
      </c>
      <c r="L162" s="1488">
        <f t="shared" si="100"/>
        <v>10949.77287932145</v>
      </c>
      <c r="M162" s="1488">
        <f t="shared" si="100"/>
        <v>11333.014930097699</v>
      </c>
      <c r="N162" s="1488">
        <f t="shared" si="100"/>
        <v>11729.670452651118</v>
      </c>
      <c r="O162" s="1489">
        <f t="shared" si="100"/>
        <v>12140.208918493907</v>
      </c>
      <c r="P162" s="251"/>
      <c r="R162" s="290"/>
      <c r="S162" s="2553" t="str">
        <f>'8E'!S172</f>
        <v>LP Asset Management Fee</v>
      </c>
      <c r="T162" s="2554">
        <f>'8E'!T172</f>
        <v>0</v>
      </c>
      <c r="U162" s="2554">
        <f>'8E'!U172</f>
        <v>0</v>
      </c>
      <c r="V162" s="2554">
        <f>'8E'!V172</f>
        <v>0</v>
      </c>
      <c r="W162" s="2555">
        <f>'8E'!X172</f>
        <v>0</v>
      </c>
      <c r="X162" s="1487">
        <f>'8E'!Y172</f>
        <v>9542.0944707492963</v>
      </c>
      <c r="Y162" s="1488">
        <f>'8E'!Z172</f>
        <v>9876.0677772255203</v>
      </c>
      <c r="Z162" s="1488">
        <f>'8E'!AA172</f>
        <v>10221.730149428413</v>
      </c>
      <c r="AA162" s="1488">
        <f>'8E'!AB172</f>
        <v>10579.490704658407</v>
      </c>
      <c r="AB162" s="1488">
        <f>'8E'!AC172</f>
        <v>10949.77287932145</v>
      </c>
      <c r="AC162" s="1488">
        <f>'8E'!AD172</f>
        <v>11333.014930097699</v>
      </c>
      <c r="AD162" s="1488">
        <f>'8E'!AE172</f>
        <v>11729.670452651118</v>
      </c>
      <c r="AE162" s="1489">
        <f>'8E'!AF172</f>
        <v>12140.208918493907</v>
      </c>
      <c r="AF162" s="843"/>
    </row>
    <row r="163" spans="2:32" x14ac:dyDescent="0.25">
      <c r="B163" s="290"/>
      <c r="C163" s="2553" t="str">
        <f>IF(C82="Lender 6","",C82)</f>
        <v>GP Asset Management Fee (Accrued)</v>
      </c>
      <c r="D163" s="2554"/>
      <c r="E163" s="2554"/>
      <c r="F163" s="2554"/>
      <c r="G163" s="2555"/>
      <c r="H163" s="1487">
        <v>0</v>
      </c>
      <c r="I163" s="1488">
        <v>0</v>
      </c>
      <c r="J163" s="1488">
        <v>0</v>
      </c>
      <c r="K163" s="1488">
        <v>0</v>
      </c>
      <c r="L163" s="1488">
        <v>0</v>
      </c>
      <c r="M163" s="1488">
        <f t="shared" ref="M163:O163" si="101">IF((M158-(M161+M162))&gt;0,(M158-(M161+M162)),0)</f>
        <v>37999.332130595962</v>
      </c>
      <c r="N163" s="1488">
        <f t="shared" si="101"/>
        <v>55222.611402474562</v>
      </c>
      <c r="O163" s="1489">
        <f t="shared" si="101"/>
        <v>57860.762883884046</v>
      </c>
      <c r="P163" s="251"/>
      <c r="R163" s="290"/>
      <c r="S163" s="2553" t="s">
        <v>1615</v>
      </c>
      <c r="T163" s="2554">
        <f>'8E'!U173</f>
        <v>0</v>
      </c>
      <c r="U163" s="2554">
        <f>'8E'!V173</f>
        <v>0</v>
      </c>
      <c r="V163" s="2554">
        <f>'8E'!W173</f>
        <v>0</v>
      </c>
      <c r="W163" s="2555">
        <f>'8E'!X173</f>
        <v>0</v>
      </c>
      <c r="X163" s="1487">
        <f>'8E'!Y173</f>
        <v>0</v>
      </c>
      <c r="Y163" s="1488">
        <f>'8E'!Z173</f>
        <v>0</v>
      </c>
      <c r="Z163" s="1488">
        <f>'8E'!AA173</f>
        <v>0</v>
      </c>
      <c r="AA163" s="1488">
        <f>'8E'!AB173</f>
        <v>0</v>
      </c>
      <c r="AB163" s="1488">
        <f>'8E'!AC173</f>
        <v>46228.917617933563</v>
      </c>
      <c r="AC163" s="1488">
        <f>'8E'!AD173</f>
        <v>43226.40866600132</v>
      </c>
      <c r="AD163" s="1488">
        <f>'8E'!AE173</f>
        <v>40002.744435669723</v>
      </c>
      <c r="AE163" s="1489">
        <f>'8E'!AF173</f>
        <v>36547.303216800356</v>
      </c>
      <c r="AF163" s="843"/>
    </row>
    <row r="164" spans="2:32" ht="15.75" thickBot="1" x14ac:dyDescent="0.3">
      <c r="B164" s="290"/>
      <c r="C164" s="2556" t="s">
        <v>456</v>
      </c>
      <c r="D164" s="2557"/>
      <c r="E164" s="2557"/>
      <c r="F164" s="2557"/>
      <c r="G164" s="2558"/>
      <c r="H164" s="1490">
        <v>0</v>
      </c>
      <c r="I164" s="1491">
        <v>0</v>
      </c>
      <c r="J164" s="1491">
        <v>0</v>
      </c>
      <c r="K164" s="1491">
        <v>0</v>
      </c>
      <c r="L164" s="1491">
        <v>0</v>
      </c>
      <c r="M164" s="1491">
        <v>0</v>
      </c>
      <c r="N164" s="1491">
        <v>0</v>
      </c>
      <c r="O164" s="1492">
        <v>0</v>
      </c>
      <c r="P164" s="251"/>
      <c r="R164" s="290"/>
      <c r="S164" s="2556" t="s">
        <v>456</v>
      </c>
      <c r="T164" s="2557"/>
      <c r="U164" s="2557"/>
      <c r="V164" s="2557"/>
      <c r="W164" s="2558"/>
      <c r="X164" s="1490">
        <v>0</v>
      </c>
      <c r="Y164" s="1491">
        <v>0</v>
      </c>
      <c r="Z164" s="1491">
        <v>0</v>
      </c>
      <c r="AA164" s="1491">
        <v>0</v>
      </c>
      <c r="AB164" s="1491">
        <v>0</v>
      </c>
      <c r="AC164" s="1491">
        <v>0</v>
      </c>
      <c r="AD164" s="1491">
        <v>0</v>
      </c>
      <c r="AE164" s="1492">
        <v>0</v>
      </c>
      <c r="AF164" s="843"/>
    </row>
    <row r="165" spans="2:32" ht="16.5" thickTop="1" thickBot="1" x14ac:dyDescent="0.3">
      <c r="B165" s="290"/>
      <c r="C165" s="1182"/>
      <c r="D165" s="486"/>
      <c r="E165" s="2547" t="s">
        <v>462</v>
      </c>
      <c r="F165" s="2550"/>
      <c r="G165" s="2551"/>
      <c r="H165" s="385">
        <f>SUM(H161:H164)</f>
        <v>44407.74459907948</v>
      </c>
      <c r="I165" s="386">
        <f t="shared" ref="I165:O165" si="102">SUM(I161:I164)</f>
        <v>48599.802536845207</v>
      </c>
      <c r="J165" s="386">
        <f t="shared" si="102"/>
        <v>52635.974966545473</v>
      </c>
      <c r="K165" s="386">
        <f t="shared" si="102"/>
        <v>56503.27527784463</v>
      </c>
      <c r="L165" s="386">
        <f t="shared" si="102"/>
        <v>60188.07475502335</v>
      </c>
      <c r="M165" s="386">
        <f t="shared" si="102"/>
        <v>63676.075427768053</v>
      </c>
      <c r="N165" s="386">
        <f t="shared" si="102"/>
        <v>66952.281855125679</v>
      </c>
      <c r="O165" s="387">
        <f t="shared" si="102"/>
        <v>70000.971802377957</v>
      </c>
      <c r="P165" s="251"/>
      <c r="R165" s="290"/>
      <c r="S165" s="1182"/>
      <c r="T165" s="486"/>
      <c r="U165" s="2547" t="s">
        <v>462</v>
      </c>
      <c r="V165" s="2550"/>
      <c r="W165" s="2551"/>
      <c r="X165" s="385">
        <f>SUM(X161:X164)</f>
        <v>91910.594703514245</v>
      </c>
      <c r="Y165" s="386">
        <f t="shared" ref="Y165:AE165" si="103">SUM(Y161:Y164)</f>
        <v>90943.774040714372</v>
      </c>
      <c r="Z165" s="386">
        <f t="shared" si="103"/>
        <v>89837.890208976809</v>
      </c>
      <c r="AA165" s="386">
        <f t="shared" si="103"/>
        <v>65677.464243069349</v>
      </c>
      <c r="AB165" s="386">
        <f t="shared" si="103"/>
        <v>57179.158354606654</v>
      </c>
      <c r="AC165" s="386">
        <f t="shared" si="103"/>
        <v>54559.423596099019</v>
      </c>
      <c r="AD165" s="386">
        <f t="shared" si="103"/>
        <v>51732.41488832084</v>
      </c>
      <c r="AE165" s="387">
        <f t="shared" si="103"/>
        <v>48687.512135294266</v>
      </c>
      <c r="AF165" s="843"/>
    </row>
    <row r="166" spans="2:32" ht="7.5" customHeight="1" thickBot="1" x14ac:dyDescent="0.3">
      <c r="B166" s="290"/>
      <c r="C166" s="250"/>
      <c r="D166" s="687"/>
      <c r="E166" s="1038"/>
      <c r="F166" s="1038"/>
      <c r="G166" s="1038"/>
      <c r="H166" s="1038"/>
      <c r="I166" s="1038"/>
      <c r="J166" s="1038"/>
      <c r="K166" s="1038"/>
      <c r="L166" s="1038"/>
      <c r="M166" s="1038"/>
      <c r="N166" s="1038"/>
      <c r="O166" s="1038"/>
      <c r="P166" s="251"/>
      <c r="R166" s="290"/>
      <c r="S166" s="841"/>
      <c r="T166" s="1709"/>
      <c r="U166" s="1038"/>
      <c r="V166" s="1038"/>
      <c r="W166" s="1038"/>
      <c r="X166" s="1038"/>
      <c r="Y166" s="1038"/>
      <c r="Z166" s="1038"/>
      <c r="AA166" s="1038"/>
      <c r="AB166" s="1038"/>
      <c r="AC166" s="1038"/>
      <c r="AD166" s="1038"/>
      <c r="AE166" s="1038"/>
      <c r="AF166" s="843"/>
    </row>
    <row r="167" spans="2:32" x14ac:dyDescent="0.25">
      <c r="B167" s="290"/>
      <c r="C167" s="250"/>
      <c r="D167" s="687"/>
      <c r="E167" s="2547" t="s">
        <v>463</v>
      </c>
      <c r="F167" s="2547"/>
      <c r="G167" s="2552"/>
      <c r="H167" s="1734">
        <f>IFERROR(H149/(H156+H165),"$0 ")</f>
        <v>1</v>
      </c>
      <c r="I167" s="1735">
        <f t="shared" ref="I167:O167" si="104">IFERROR(I149/(I156+I165),"$0 ")</f>
        <v>1</v>
      </c>
      <c r="J167" s="1735">
        <f t="shared" si="104"/>
        <v>1</v>
      </c>
      <c r="K167" s="1735">
        <f t="shared" si="104"/>
        <v>1</v>
      </c>
      <c r="L167" s="1735">
        <f t="shared" si="104"/>
        <v>1</v>
      </c>
      <c r="M167" s="1735">
        <f t="shared" si="104"/>
        <v>1</v>
      </c>
      <c r="N167" s="1735">
        <f t="shared" si="104"/>
        <v>1</v>
      </c>
      <c r="O167" s="1736">
        <f t="shared" si="104"/>
        <v>1</v>
      </c>
      <c r="P167" s="251"/>
      <c r="R167" s="290"/>
      <c r="S167" s="841"/>
      <c r="T167" s="1709"/>
      <c r="U167" s="2547" t="s">
        <v>463</v>
      </c>
      <c r="V167" s="2547"/>
      <c r="W167" s="2552"/>
      <c r="X167" s="1734">
        <f>IFERROR(X149/(X156+X165),"$0 ")</f>
        <v>1</v>
      </c>
      <c r="Y167" s="1735">
        <f t="shared" ref="Y167:AE167" si="105">IFERROR(Y149/(Y156+Y165),"$0 ")</f>
        <v>1</v>
      </c>
      <c r="Z167" s="1735">
        <f t="shared" si="105"/>
        <v>1</v>
      </c>
      <c r="AA167" s="1735">
        <f t="shared" si="105"/>
        <v>1</v>
      </c>
      <c r="AB167" s="1735">
        <f t="shared" si="105"/>
        <v>0.99999181769432943</v>
      </c>
      <c r="AC167" s="1735">
        <f t="shared" si="105"/>
        <v>1</v>
      </c>
      <c r="AD167" s="1735">
        <f t="shared" si="105"/>
        <v>1</v>
      </c>
      <c r="AE167" s="1736">
        <f t="shared" si="105"/>
        <v>1</v>
      </c>
      <c r="AF167" s="843"/>
    </row>
    <row r="168" spans="2:32" ht="15.75" thickBot="1" x14ac:dyDescent="0.3">
      <c r="B168" s="290"/>
      <c r="C168" s="705"/>
      <c r="D168" s="687"/>
      <c r="E168" s="2547" t="s">
        <v>464</v>
      </c>
      <c r="F168" s="2548"/>
      <c r="G168" s="2549"/>
      <c r="H168" s="1172">
        <f>H158-H165</f>
        <v>0</v>
      </c>
      <c r="I168" s="1174">
        <f t="shared" ref="I168:N168" si="106">I158-I165</f>
        <v>0</v>
      </c>
      <c r="J168" s="1174">
        <f t="shared" si="106"/>
        <v>0</v>
      </c>
      <c r="K168" s="1174">
        <f t="shared" si="106"/>
        <v>0</v>
      </c>
      <c r="L168" s="1174">
        <f t="shared" si="106"/>
        <v>0</v>
      </c>
      <c r="M168" s="1174">
        <f t="shared" si="106"/>
        <v>0</v>
      </c>
      <c r="N168" s="1174">
        <f t="shared" si="106"/>
        <v>0</v>
      </c>
      <c r="O168" s="1175">
        <f>O158-O165</f>
        <v>0</v>
      </c>
      <c r="P168" s="251"/>
      <c r="R168" s="290"/>
      <c r="S168" s="705"/>
      <c r="T168" s="1709"/>
      <c r="U168" s="2547" t="s">
        <v>464</v>
      </c>
      <c r="V168" s="2548"/>
      <c r="W168" s="2549"/>
      <c r="X168" s="1172">
        <f>X158-X165</f>
        <v>0</v>
      </c>
      <c r="Y168" s="1174">
        <f t="shared" ref="Y168:AD168" si="107">Y158-Y165</f>
        <v>0</v>
      </c>
      <c r="Z168" s="1174">
        <f t="shared" si="107"/>
        <v>0</v>
      </c>
      <c r="AA168" s="1174">
        <f t="shared" si="107"/>
        <v>0</v>
      </c>
      <c r="AB168" s="1174">
        <f t="shared" si="107"/>
        <v>-0.46785735164303333</v>
      </c>
      <c r="AC168" s="1174">
        <f t="shared" si="107"/>
        <v>0</v>
      </c>
      <c r="AD168" s="1174">
        <f t="shared" si="107"/>
        <v>0</v>
      </c>
      <c r="AE168" s="1175">
        <f>AE158-AE165</f>
        <v>0</v>
      </c>
      <c r="AF168" s="843"/>
    </row>
    <row r="169" spans="2:32" ht="9" customHeight="1" thickBot="1" x14ac:dyDescent="0.3">
      <c r="B169" s="1183"/>
      <c r="C169" s="598"/>
      <c r="D169" s="598"/>
      <c r="E169" s="598"/>
      <c r="F169" s="598"/>
      <c r="G169" s="598"/>
      <c r="H169" s="598"/>
      <c r="I169" s="598"/>
      <c r="J169" s="598"/>
      <c r="K169" s="598"/>
      <c r="L169" s="598"/>
      <c r="M169" s="598"/>
      <c r="N169" s="598"/>
      <c r="O169" s="598"/>
      <c r="P169" s="1184"/>
      <c r="R169" s="1183"/>
      <c r="S169" s="598"/>
      <c r="T169" s="598"/>
      <c r="U169" s="598"/>
      <c r="V169" s="598"/>
      <c r="W169" s="598"/>
      <c r="X169" s="598"/>
      <c r="Y169" s="598"/>
      <c r="Z169" s="598"/>
      <c r="AA169" s="598"/>
      <c r="AB169" s="598"/>
      <c r="AC169" s="598"/>
      <c r="AD169" s="598"/>
      <c r="AE169" s="598"/>
      <c r="AF169" s="1184"/>
    </row>
  </sheetData>
  <sheetProtection algorithmName="SHA-512" hashValue="p13l2wDbfOAyvD0odqxvPRfMB16iFkoXyAgBECESZSccWtViEkVWGDxeU1ZlHJxfWRKn70Cz8mbEcTudtrO1wQ==" saltValue="HxlhHuhFZk1qSX3tv0JQRA==" spinCount="100000" sheet="1" objects="1" scenarios="1" formatCells="0" formatColumns="0" formatRows="0"/>
  <mergeCells count="78">
    <mergeCell ref="T21:V21"/>
    <mergeCell ref="S9:AE9"/>
    <mergeCell ref="W72:X72"/>
    <mergeCell ref="S72:V72"/>
    <mergeCell ref="W71:X71"/>
    <mergeCell ref="S70:U70"/>
    <mergeCell ref="T22:V22"/>
    <mergeCell ref="W79:X79"/>
    <mergeCell ref="V77:X77"/>
    <mergeCell ref="W74:X74"/>
    <mergeCell ref="S74:V74"/>
    <mergeCell ref="W73:X73"/>
    <mergeCell ref="S73:V73"/>
    <mergeCell ref="W82:X82"/>
    <mergeCell ref="S82:V82"/>
    <mergeCell ref="W81:X81"/>
    <mergeCell ref="S81:V81"/>
    <mergeCell ref="W80:X80"/>
    <mergeCell ref="S80:V80"/>
    <mergeCell ref="V87:X87"/>
    <mergeCell ref="V86:X86"/>
    <mergeCell ref="V84:X84"/>
    <mergeCell ref="W83:X83"/>
    <mergeCell ref="S83:V83"/>
    <mergeCell ref="S153:W153"/>
    <mergeCell ref="S151:U151"/>
    <mergeCell ref="T103:V103"/>
    <mergeCell ref="T102:V102"/>
    <mergeCell ref="S90:AE90"/>
    <mergeCell ref="S162:W162"/>
    <mergeCell ref="S161:W161"/>
    <mergeCell ref="U158:W158"/>
    <mergeCell ref="S155:W155"/>
    <mergeCell ref="S154:W154"/>
    <mergeCell ref="U168:W168"/>
    <mergeCell ref="U167:W167"/>
    <mergeCell ref="U165:W165"/>
    <mergeCell ref="S164:W164"/>
    <mergeCell ref="S163:W163"/>
    <mergeCell ref="E165:G165"/>
    <mergeCell ref="C81:F81"/>
    <mergeCell ref="G81:H81"/>
    <mergeCell ref="C82:F82"/>
    <mergeCell ref="G82:H82"/>
    <mergeCell ref="C83:F83"/>
    <mergeCell ref="G83:H83"/>
    <mergeCell ref="E167:G167"/>
    <mergeCell ref="E168:G168"/>
    <mergeCell ref="C162:G162"/>
    <mergeCell ref="F84:H84"/>
    <mergeCell ref="F86:H86"/>
    <mergeCell ref="F87:H87"/>
    <mergeCell ref="D102:F102"/>
    <mergeCell ref="D103:F103"/>
    <mergeCell ref="C151:E151"/>
    <mergeCell ref="C153:G153"/>
    <mergeCell ref="C154:G154"/>
    <mergeCell ref="C155:G155"/>
    <mergeCell ref="E158:G158"/>
    <mergeCell ref="C161:G161"/>
    <mergeCell ref="C163:G163"/>
    <mergeCell ref="C164:G164"/>
    <mergeCell ref="C9:O9"/>
    <mergeCell ref="C90:O90"/>
    <mergeCell ref="G80:H80"/>
    <mergeCell ref="C70:E70"/>
    <mergeCell ref="G71:H71"/>
    <mergeCell ref="C72:F72"/>
    <mergeCell ref="G72:H72"/>
    <mergeCell ref="C73:F73"/>
    <mergeCell ref="G73:H73"/>
    <mergeCell ref="D21:F21"/>
    <mergeCell ref="D22:F22"/>
    <mergeCell ref="C74:F74"/>
    <mergeCell ref="G74:H74"/>
    <mergeCell ref="F77:H77"/>
    <mergeCell ref="G79:H79"/>
    <mergeCell ref="C80:F80"/>
  </mergeCells>
  <pageMargins left="0.7" right="0.7" top="0.75" bottom="0.75" header="0.3" footer="0.3"/>
  <pageSetup scale="52" fitToHeight="2" orientation="portrait" r:id="rId1"/>
  <headerFooter>
    <oddFooter>&amp;LForm 8E(2)
Operating Pro Forma (Alternate without Subsidy)&amp;CCFA Forms&amp;REdition: 2015
Version: 1.0</oddFooter>
  </headerFooter>
  <rowBreaks count="2" manualBreakCount="2">
    <brk id="88" min="1" max="16" man="1"/>
    <brk id="88" min="17" max="32"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51"/>
  <sheetViews>
    <sheetView showGridLines="0" zoomScaleNormal="100" workbookViewId="0">
      <selection activeCell="E43" sqref="E43:E44"/>
    </sheetView>
  </sheetViews>
  <sheetFormatPr defaultColWidth="9.140625" defaultRowHeight="15" x14ac:dyDescent="0.25"/>
  <cols>
    <col min="1" max="2" width="1.7109375" style="740" customWidth="1"/>
    <col min="3" max="3" width="14.28515625" style="740" customWidth="1"/>
    <col min="4" max="4" width="10" style="740" customWidth="1"/>
    <col min="5" max="5" width="82.42578125" style="740" customWidth="1"/>
    <col min="6" max="6" width="1.7109375" style="740" customWidth="1"/>
    <col min="7" max="16384" width="9.140625" style="740"/>
  </cols>
  <sheetData>
    <row r="6" spans="2:6" ht="15.75" thickBot="1" x14ac:dyDescent="0.3"/>
    <row r="7" spans="2:6" ht="9" customHeight="1" x14ac:dyDescent="0.25">
      <c r="B7" s="1194"/>
      <c r="C7" s="1195"/>
      <c r="D7" s="1195"/>
      <c r="E7" s="1196"/>
      <c r="F7" s="1197"/>
    </row>
    <row r="8" spans="2:6" ht="18.75" x14ac:dyDescent="0.3">
      <c r="B8" s="1198"/>
      <c r="C8" s="2323" t="s">
        <v>1262</v>
      </c>
      <c r="D8" s="2323"/>
      <c r="E8" s="2323"/>
      <c r="F8" s="1199"/>
    </row>
    <row r="9" spans="2:6" x14ac:dyDescent="0.25">
      <c r="B9" s="1198"/>
      <c r="C9" s="297"/>
      <c r="D9" s="297"/>
      <c r="E9" s="329"/>
      <c r="F9" s="1199"/>
    </row>
    <row r="10" spans="2:6" x14ac:dyDescent="0.25">
      <c r="B10" s="1198"/>
      <c r="C10" s="1200" t="s">
        <v>1</v>
      </c>
      <c r="D10" s="2394" t="str">
        <f>IF('1A'!G5="","Enter Project Name on Form 1A",'1A'!G5)</f>
        <v xml:space="preserve">Building 9 </v>
      </c>
      <c r="E10" s="2394"/>
      <c r="F10" s="1199"/>
    </row>
    <row r="11" spans="2:6" ht="22.7" customHeight="1" x14ac:dyDescent="0.25">
      <c r="B11" s="1198"/>
      <c r="C11" s="481"/>
      <c r="D11" s="481"/>
      <c r="E11" s="250"/>
      <c r="F11" s="1199"/>
    </row>
    <row r="12" spans="2:6" x14ac:dyDescent="0.25">
      <c r="B12" s="1198"/>
      <c r="C12" s="1201" t="s">
        <v>476</v>
      </c>
      <c r="D12" s="1201"/>
      <c r="E12" s="329"/>
      <c r="F12" s="1199"/>
    </row>
    <row r="13" spans="2:6" ht="15.75" thickBot="1" x14ac:dyDescent="0.3">
      <c r="B13" s="1198"/>
      <c r="C13" s="146" t="s">
        <v>477</v>
      </c>
      <c r="D13" s="146"/>
      <c r="E13" s="1202"/>
      <c r="F13" s="1199"/>
    </row>
    <row r="14" spans="2:6" x14ac:dyDescent="0.25">
      <c r="B14" s="1198"/>
      <c r="C14" s="2614" t="s">
        <v>1618</v>
      </c>
      <c r="D14" s="2615"/>
      <c r="E14" s="2616"/>
      <c r="F14" s="1199"/>
    </row>
    <row r="15" spans="2:6" x14ac:dyDescent="0.25">
      <c r="B15" s="1198"/>
      <c r="C15" s="2617"/>
      <c r="D15" s="2618"/>
      <c r="E15" s="2619"/>
      <c r="F15" s="1199"/>
    </row>
    <row r="16" spans="2:6" x14ac:dyDescent="0.25">
      <c r="B16" s="1198"/>
      <c r="C16" s="2617"/>
      <c r="D16" s="2618"/>
      <c r="E16" s="2619"/>
      <c r="F16" s="1199"/>
    </row>
    <row r="17" spans="1:11" ht="15.75" thickBot="1" x14ac:dyDescent="0.3">
      <c r="B17" s="1198"/>
      <c r="C17" s="2620"/>
      <c r="D17" s="2621"/>
      <c r="E17" s="2622"/>
      <c r="F17" s="1199"/>
    </row>
    <row r="18" spans="1:11" x14ac:dyDescent="0.25">
      <c r="B18" s="1198"/>
      <c r="C18" s="151"/>
      <c r="D18" s="151"/>
      <c r="E18" s="1202"/>
      <c r="F18" s="1199"/>
    </row>
    <row r="19" spans="1:11" x14ac:dyDescent="0.25">
      <c r="A19" s="735"/>
      <c r="B19" s="1198"/>
      <c r="C19" s="1201" t="s">
        <v>478</v>
      </c>
      <c r="D19" s="1201"/>
      <c r="E19" s="599"/>
      <c r="F19" s="1203"/>
      <c r="G19" s="735"/>
      <c r="H19" s="735"/>
      <c r="I19" s="735"/>
      <c r="J19" s="735"/>
      <c r="K19" s="735"/>
    </row>
    <row r="20" spans="1:11" ht="7.5" customHeight="1" x14ac:dyDescent="0.25">
      <c r="A20" s="735"/>
      <c r="B20" s="1198"/>
      <c r="C20" s="1204"/>
      <c r="D20" s="1204"/>
      <c r="E20" s="599"/>
      <c r="F20" s="1203"/>
      <c r="G20" s="735"/>
      <c r="H20" s="735"/>
      <c r="I20" s="735"/>
      <c r="J20" s="735"/>
      <c r="K20" s="735"/>
    </row>
    <row r="21" spans="1:11" ht="15.75" thickBot="1" x14ac:dyDescent="0.3">
      <c r="A21" s="735"/>
      <c r="B21" s="1198"/>
      <c r="C21" s="420" t="s">
        <v>421</v>
      </c>
      <c r="D21" s="420"/>
      <c r="E21" s="1038"/>
      <c r="F21" s="1203"/>
      <c r="G21" s="735"/>
      <c r="H21" s="735"/>
      <c r="I21" s="735"/>
      <c r="J21" s="735"/>
      <c r="K21" s="735"/>
    </row>
    <row r="22" spans="1:11" x14ac:dyDescent="0.25">
      <c r="A22" s="735"/>
      <c r="B22" s="1198"/>
      <c r="C22" s="474" t="s">
        <v>423</v>
      </c>
      <c r="D22" s="474"/>
      <c r="E22" s="494" t="s">
        <v>1597</v>
      </c>
      <c r="F22" s="1203"/>
      <c r="G22" s="735"/>
      <c r="H22" s="735"/>
      <c r="I22" s="735"/>
      <c r="J22" s="735"/>
      <c r="K22" s="735"/>
    </row>
    <row r="23" spans="1:11" x14ac:dyDescent="0.25">
      <c r="A23" s="735"/>
      <c r="B23" s="1198"/>
      <c r="C23" s="474" t="s">
        <v>424</v>
      </c>
      <c r="D23" s="474"/>
      <c r="E23" s="495" t="s">
        <v>1598</v>
      </c>
      <c r="F23" s="1203"/>
      <c r="G23" s="735"/>
      <c r="H23" s="735"/>
      <c r="I23" s="735"/>
      <c r="J23" s="735"/>
      <c r="K23" s="735"/>
    </row>
    <row r="24" spans="1:11" x14ac:dyDescent="0.25">
      <c r="A24" s="735"/>
      <c r="B24" s="1198"/>
      <c r="C24" s="474" t="s">
        <v>425</v>
      </c>
      <c r="D24" s="474"/>
      <c r="E24" s="495" t="s">
        <v>1599</v>
      </c>
      <c r="F24" s="1203"/>
      <c r="G24" s="735"/>
      <c r="H24" s="735"/>
      <c r="I24" s="735"/>
      <c r="J24" s="735"/>
      <c r="K24" s="735"/>
    </row>
    <row r="25" spans="1:11" x14ac:dyDescent="0.25">
      <c r="A25" s="735"/>
      <c r="B25" s="1198"/>
      <c r="C25" s="474" t="s">
        <v>426</v>
      </c>
      <c r="D25" s="474"/>
      <c r="E25" s="495" t="s">
        <v>1600</v>
      </c>
      <c r="F25" s="1203"/>
      <c r="G25" s="735"/>
      <c r="H25" s="735"/>
      <c r="I25" s="735"/>
      <c r="J25" s="735"/>
      <c r="K25" s="735"/>
    </row>
    <row r="26" spans="1:11" x14ac:dyDescent="0.25">
      <c r="A26" s="735"/>
      <c r="B26" s="1198"/>
      <c r="C26" s="474" t="s">
        <v>427</v>
      </c>
      <c r="D26" s="474"/>
      <c r="E26" s="495" t="s">
        <v>1601</v>
      </c>
      <c r="F26" s="1203"/>
      <c r="G26" s="735"/>
      <c r="H26" s="735"/>
      <c r="I26" s="735"/>
      <c r="J26" s="735"/>
      <c r="K26" s="735"/>
    </row>
    <row r="27" spans="1:11" x14ac:dyDescent="0.25">
      <c r="A27" s="735"/>
      <c r="B27" s="1198"/>
      <c r="C27" s="474" t="s">
        <v>428</v>
      </c>
      <c r="D27" s="474"/>
      <c r="E27" s="495" t="s">
        <v>1602</v>
      </c>
      <c r="F27" s="1203"/>
      <c r="G27" s="735"/>
      <c r="H27" s="735"/>
      <c r="I27" s="735"/>
      <c r="J27" s="735"/>
      <c r="K27" s="735"/>
    </row>
    <row r="28" spans="1:11" x14ac:dyDescent="0.25">
      <c r="A28" s="735"/>
      <c r="B28" s="1198"/>
      <c r="C28" s="474" t="s">
        <v>429</v>
      </c>
      <c r="D28" s="474"/>
      <c r="E28" s="495" t="s">
        <v>1603</v>
      </c>
      <c r="F28" s="1203"/>
      <c r="G28" s="735"/>
      <c r="H28" s="735"/>
      <c r="I28" s="735"/>
      <c r="J28" s="735"/>
      <c r="K28" s="735"/>
    </row>
    <row r="29" spans="1:11" x14ac:dyDescent="0.25">
      <c r="A29" s="735"/>
      <c r="B29" s="1198"/>
      <c r="C29" s="474" t="s">
        <v>430</v>
      </c>
      <c r="D29" s="474"/>
      <c r="E29" s="495" t="s">
        <v>1603</v>
      </c>
      <c r="F29" s="1203"/>
      <c r="G29" s="735"/>
      <c r="H29" s="735"/>
      <c r="I29" s="735"/>
      <c r="J29" s="735"/>
      <c r="K29" s="735"/>
    </row>
    <row r="30" spans="1:11" x14ac:dyDescent="0.25">
      <c r="A30" s="735"/>
      <c r="B30" s="1198"/>
      <c r="C30" s="474" t="s">
        <v>431</v>
      </c>
      <c r="D30" s="474"/>
      <c r="E30" s="495" t="s">
        <v>1604</v>
      </c>
      <c r="F30" s="1203"/>
      <c r="G30" s="735"/>
      <c r="H30" s="735"/>
      <c r="I30" s="735"/>
      <c r="J30" s="735"/>
      <c r="K30" s="735"/>
    </row>
    <row r="31" spans="1:11" x14ac:dyDescent="0.25">
      <c r="A31" s="735"/>
      <c r="B31" s="1198"/>
      <c r="C31" s="474" t="s">
        <v>432</v>
      </c>
      <c r="D31" s="474"/>
      <c r="E31" s="495" t="s">
        <v>1359</v>
      </c>
      <c r="F31" s="1203"/>
      <c r="G31" s="735"/>
      <c r="H31" s="735"/>
      <c r="I31" s="735"/>
      <c r="J31" s="735"/>
      <c r="K31" s="735"/>
    </row>
    <row r="32" spans="1:11" x14ac:dyDescent="0.25">
      <c r="A32" s="735"/>
      <c r="B32" s="1198"/>
      <c r="C32" s="474" t="s">
        <v>433</v>
      </c>
      <c r="D32" s="474"/>
      <c r="E32" s="495" t="s">
        <v>1605</v>
      </c>
      <c r="F32" s="1203"/>
      <c r="G32" s="735"/>
      <c r="H32" s="735"/>
      <c r="I32" s="735"/>
      <c r="J32" s="735"/>
      <c r="K32" s="735"/>
    </row>
    <row r="33" spans="1:11" x14ac:dyDescent="0.25">
      <c r="A33" s="735"/>
      <c r="B33" s="1198"/>
      <c r="C33" s="474" t="s">
        <v>434</v>
      </c>
      <c r="D33" s="474"/>
      <c r="E33" s="495" t="s">
        <v>1605</v>
      </c>
      <c r="F33" s="1203"/>
      <c r="G33" s="735"/>
      <c r="H33" s="735"/>
      <c r="I33" s="735"/>
      <c r="J33" s="735"/>
      <c r="K33" s="735"/>
    </row>
    <row r="34" spans="1:11" x14ac:dyDescent="0.25">
      <c r="A34" s="735"/>
      <c r="B34" s="1198"/>
      <c r="C34" s="474" t="s">
        <v>435</v>
      </c>
      <c r="D34" s="474"/>
      <c r="E34" s="495" t="s">
        <v>1605</v>
      </c>
      <c r="F34" s="1203"/>
      <c r="G34" s="735"/>
      <c r="H34" s="735"/>
      <c r="I34" s="735"/>
      <c r="J34" s="735"/>
      <c r="K34" s="735"/>
    </row>
    <row r="35" spans="1:11" x14ac:dyDescent="0.25">
      <c r="A35" s="735"/>
      <c r="B35" s="1198"/>
      <c r="C35" s="474" t="s">
        <v>436</v>
      </c>
      <c r="D35" s="474"/>
      <c r="E35" s="495" t="s">
        <v>1605</v>
      </c>
      <c r="F35" s="1203"/>
      <c r="G35" s="735"/>
      <c r="H35" s="735"/>
      <c r="I35" s="735"/>
      <c r="J35" s="735"/>
      <c r="K35" s="735"/>
    </row>
    <row r="36" spans="1:11" x14ac:dyDescent="0.25">
      <c r="A36" s="735"/>
      <c r="B36" s="1198"/>
      <c r="C36" s="474" t="s">
        <v>437</v>
      </c>
      <c r="D36" s="474"/>
      <c r="E36" s="495" t="s">
        <v>1605</v>
      </c>
      <c r="F36" s="1203"/>
      <c r="G36" s="735"/>
      <c r="H36" s="735"/>
      <c r="I36" s="735"/>
      <c r="J36" s="735"/>
      <c r="K36" s="735"/>
    </row>
    <row r="37" spans="1:11" x14ac:dyDescent="0.25">
      <c r="A37" s="735"/>
      <c r="B37" s="1198"/>
      <c r="C37" s="474" t="s">
        <v>438</v>
      </c>
      <c r="D37" s="474"/>
      <c r="E37" s="495" t="s">
        <v>1605</v>
      </c>
      <c r="F37" s="1203"/>
      <c r="G37" s="735"/>
      <c r="H37" s="735"/>
      <c r="I37" s="735"/>
      <c r="J37" s="735"/>
      <c r="K37" s="735"/>
    </row>
    <row r="38" spans="1:11" x14ac:dyDescent="0.25">
      <c r="A38" s="735"/>
      <c r="B38" s="1198"/>
      <c r="C38" s="474" t="s">
        <v>439</v>
      </c>
      <c r="D38" s="474"/>
      <c r="E38" s="495" t="s">
        <v>1605</v>
      </c>
      <c r="F38" s="1203"/>
      <c r="G38" s="735"/>
      <c r="H38" s="735"/>
      <c r="I38" s="735"/>
      <c r="J38" s="735"/>
      <c r="K38" s="735"/>
    </row>
    <row r="39" spans="1:11" x14ac:dyDescent="0.25">
      <c r="A39" s="735"/>
      <c r="B39" s="1198"/>
      <c r="C39" s="474" t="s">
        <v>440</v>
      </c>
      <c r="D39" s="474"/>
      <c r="E39" s="495" t="s">
        <v>1605</v>
      </c>
      <c r="F39" s="1203"/>
      <c r="G39" s="735"/>
      <c r="H39" s="735"/>
      <c r="I39" s="735"/>
      <c r="J39" s="735"/>
      <c r="K39" s="735"/>
    </row>
    <row r="40" spans="1:11" x14ac:dyDescent="0.25">
      <c r="A40" s="735"/>
      <c r="B40" s="1198"/>
      <c r="C40" s="474" t="s">
        <v>441</v>
      </c>
      <c r="D40" s="474"/>
      <c r="E40" s="495" t="s">
        <v>1605</v>
      </c>
      <c r="F40" s="1203"/>
      <c r="G40" s="735"/>
      <c r="H40" s="735"/>
      <c r="I40" s="735"/>
      <c r="J40" s="735"/>
      <c r="K40" s="735"/>
    </row>
    <row r="41" spans="1:11" x14ac:dyDescent="0.25">
      <c r="A41" s="735"/>
      <c r="B41" s="1198"/>
      <c r="C41" s="474" t="s">
        <v>442</v>
      </c>
      <c r="D41" s="474"/>
      <c r="E41" s="495" t="s">
        <v>1605</v>
      </c>
      <c r="F41" s="1203"/>
      <c r="G41" s="735"/>
      <c r="H41" s="735"/>
      <c r="I41" s="735"/>
      <c r="J41" s="735"/>
      <c r="K41" s="735"/>
    </row>
    <row r="42" spans="1:11" x14ac:dyDescent="0.25">
      <c r="A42" s="735"/>
      <c r="B42" s="1198"/>
      <c r="C42" s="474" t="s">
        <v>479</v>
      </c>
      <c r="D42" s="474"/>
      <c r="E42" s="495" t="s">
        <v>1605</v>
      </c>
      <c r="F42" s="1203"/>
      <c r="G42" s="735"/>
      <c r="H42" s="735"/>
      <c r="I42" s="735"/>
      <c r="J42" s="735"/>
      <c r="K42" s="735"/>
    </row>
    <row r="43" spans="1:11" ht="30" customHeight="1" x14ac:dyDescent="0.25">
      <c r="A43" s="735"/>
      <c r="B43" s="1198"/>
      <c r="C43" s="2610" t="s">
        <v>659</v>
      </c>
      <c r="D43" s="2611"/>
      <c r="E43" s="2612" t="s">
        <v>1607</v>
      </c>
      <c r="F43" s="1203"/>
      <c r="G43" s="735"/>
      <c r="H43" s="735"/>
      <c r="I43" s="735"/>
      <c r="J43" s="735"/>
      <c r="K43" s="735"/>
    </row>
    <row r="44" spans="1:11" ht="15.75" thickBot="1" x14ac:dyDescent="0.3">
      <c r="A44" s="735"/>
      <c r="B44" s="1198"/>
      <c r="C44" s="496"/>
      <c r="D44" s="497"/>
      <c r="E44" s="2613"/>
      <c r="F44" s="1203"/>
      <c r="G44" s="735"/>
      <c r="H44" s="735"/>
      <c r="I44" s="735"/>
      <c r="J44" s="735"/>
      <c r="K44" s="735"/>
    </row>
    <row r="45" spans="1:11" ht="15.75" thickBot="1" x14ac:dyDescent="0.3">
      <c r="A45" s="735"/>
      <c r="B45" s="1198"/>
      <c r="C45" s="420" t="s">
        <v>480</v>
      </c>
      <c r="D45" s="420"/>
      <c r="E45" s="498"/>
      <c r="F45" s="1203"/>
      <c r="G45" s="735"/>
      <c r="H45" s="735"/>
      <c r="I45" s="735"/>
      <c r="J45" s="735"/>
      <c r="K45" s="735"/>
    </row>
    <row r="46" spans="1:11" x14ac:dyDescent="0.25">
      <c r="A46" s="735"/>
      <c r="B46" s="1198"/>
      <c r="C46" s="493" t="s">
        <v>444</v>
      </c>
      <c r="D46" s="493"/>
      <c r="E46" s="494" t="s">
        <v>1617</v>
      </c>
      <c r="F46" s="1203"/>
      <c r="G46" s="735"/>
      <c r="H46" s="735"/>
      <c r="I46" s="735"/>
      <c r="J46" s="735"/>
      <c r="K46" s="735"/>
    </row>
    <row r="47" spans="1:11" ht="15.75" thickBot="1" x14ac:dyDescent="0.3">
      <c r="A47" s="735"/>
      <c r="B47" s="1198"/>
      <c r="C47" s="493" t="s">
        <v>445</v>
      </c>
      <c r="D47" s="493"/>
      <c r="E47" s="499" t="s">
        <v>1606</v>
      </c>
      <c r="F47" s="1203"/>
      <c r="G47" s="735"/>
      <c r="H47" s="735"/>
      <c r="I47" s="735"/>
      <c r="J47" s="735"/>
      <c r="K47" s="735"/>
    </row>
    <row r="48" spans="1:11" ht="15.75" thickBot="1" x14ac:dyDescent="0.3">
      <c r="A48" s="735"/>
      <c r="B48" s="1205"/>
      <c r="C48" s="1206"/>
      <c r="D48" s="1206"/>
      <c r="E48" s="1207"/>
      <c r="F48" s="1208"/>
      <c r="G48" s="735"/>
      <c r="H48" s="735"/>
      <c r="I48" s="735"/>
      <c r="J48" s="735"/>
      <c r="K48" s="735"/>
    </row>
    <row r="49" spans="1:11" x14ac:dyDescent="0.25">
      <c r="A49" s="735"/>
      <c r="B49" s="735"/>
      <c r="C49" s="735"/>
      <c r="D49" s="735"/>
      <c r="E49" s="735"/>
      <c r="F49" s="735"/>
      <c r="G49" s="735"/>
      <c r="H49" s="735"/>
      <c r="I49" s="735"/>
      <c r="J49" s="735"/>
      <c r="K49" s="735"/>
    </row>
    <row r="50" spans="1:11" x14ac:dyDescent="0.25">
      <c r="A50" s="735"/>
      <c r="B50" s="735"/>
      <c r="C50" s="735"/>
      <c r="D50" s="735"/>
      <c r="E50" s="735"/>
      <c r="F50" s="735"/>
      <c r="G50" s="735"/>
      <c r="H50" s="735"/>
      <c r="I50" s="735"/>
      <c r="J50" s="735"/>
      <c r="K50" s="735"/>
    </row>
    <row r="51" spans="1:11" x14ac:dyDescent="0.25">
      <c r="A51" s="735"/>
      <c r="B51" s="735"/>
      <c r="C51" s="735"/>
      <c r="D51" s="735"/>
      <c r="E51" s="735"/>
      <c r="F51" s="735"/>
      <c r="G51" s="735"/>
      <c r="H51" s="735"/>
      <c r="I51" s="735"/>
      <c r="J51" s="735"/>
      <c r="K51" s="735"/>
    </row>
  </sheetData>
  <sheetProtection password="9F6B" sheet="1" objects="1" scenarios="1" formatCells="0" formatColumns="0" formatRows="0"/>
  <mergeCells count="5">
    <mergeCell ref="C43:D43"/>
    <mergeCell ref="D10:E10"/>
    <mergeCell ref="E43:E44"/>
    <mergeCell ref="C14:E17"/>
    <mergeCell ref="C8:E8"/>
  </mergeCells>
  <pageMargins left="0.7" right="0.7" top="0.75" bottom="0.75" header="0.3" footer="0.3"/>
  <pageSetup scale="82" orientation="portrait" r:id="rId1"/>
  <headerFooter>
    <oddFooter>&amp;LForm 8F
Operating Pro Forma Details&amp;CCFA Forms&amp;REdition: 2015
Version: 1.0</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1"/>
  <sheetViews>
    <sheetView showGridLines="0" topLeftCell="A4" zoomScaleNormal="100" workbookViewId="0">
      <selection activeCell="C27" sqref="C27"/>
    </sheetView>
  </sheetViews>
  <sheetFormatPr defaultColWidth="9.140625" defaultRowHeight="15" x14ac:dyDescent="0.25"/>
  <cols>
    <col min="1" max="2" width="1.7109375" style="740" customWidth="1"/>
    <col min="3" max="4" width="22.85546875" style="740" customWidth="1"/>
    <col min="5" max="6" width="5.7109375" style="740" customWidth="1"/>
    <col min="7" max="7" width="9.140625" style="740"/>
    <col min="8" max="8" width="22.85546875" style="740" customWidth="1"/>
    <col min="9" max="9" width="1.7109375" style="740" customWidth="1"/>
    <col min="10" max="16384" width="9.140625" style="740"/>
  </cols>
  <sheetData>
    <row r="1" spans="2:9" s="735" customFormat="1" ht="15.75" thickBot="1" x14ac:dyDescent="0.3"/>
    <row r="2" spans="2:9" s="735" customFormat="1" ht="9" customHeight="1" x14ac:dyDescent="0.25">
      <c r="B2" s="1209"/>
      <c r="C2" s="1210"/>
      <c r="D2" s="1210"/>
      <c r="E2" s="1210"/>
      <c r="F2" s="1210"/>
      <c r="G2" s="1210"/>
      <c r="H2" s="1210"/>
      <c r="I2" s="1211"/>
    </row>
    <row r="3" spans="2:9" s="735" customFormat="1" ht="18.75" x14ac:dyDescent="0.3">
      <c r="B3" s="1212"/>
      <c r="C3" s="2323" t="s">
        <v>481</v>
      </c>
      <c r="D3" s="2323"/>
      <c r="E3" s="2323"/>
      <c r="F3" s="2323"/>
      <c r="G3" s="2323"/>
      <c r="H3" s="2323"/>
      <c r="I3" s="1213"/>
    </row>
    <row r="4" spans="2:9" s="735" customFormat="1" ht="15" customHeight="1" x14ac:dyDescent="0.25">
      <c r="B4" s="1212"/>
      <c r="C4" s="979"/>
      <c r="D4" s="250"/>
      <c r="E4" s="250"/>
      <c r="F4" s="250"/>
      <c r="G4" s="250"/>
      <c r="H4" s="250"/>
      <c r="I4" s="1213"/>
    </row>
    <row r="5" spans="2:9" s="735" customFormat="1" x14ac:dyDescent="0.25">
      <c r="B5" s="1214"/>
      <c r="C5" s="714" t="s">
        <v>1</v>
      </c>
      <c r="D5" s="2394" t="str">
        <f>IF('1A'!G5="","Enter Project Name on Form 1A",'1A'!G5)</f>
        <v xml:space="preserve">Building 9 </v>
      </c>
      <c r="E5" s="2394"/>
      <c r="F5" s="2394"/>
      <c r="G5" s="2394"/>
      <c r="H5" s="2394"/>
      <c r="I5" s="1215"/>
    </row>
    <row r="6" spans="2:9" s="735" customFormat="1" ht="15" customHeight="1" thickBot="1" x14ac:dyDescent="0.3">
      <c r="B6" s="1212"/>
      <c r="C6" s="250"/>
      <c r="D6" s="250"/>
      <c r="E6" s="250"/>
      <c r="F6" s="250"/>
      <c r="G6" s="250"/>
      <c r="H6" s="250"/>
      <c r="I6" s="1213"/>
    </row>
    <row r="7" spans="2:9" s="735" customFormat="1" x14ac:dyDescent="0.25">
      <c r="B7" s="1212"/>
      <c r="C7" s="2627" t="s">
        <v>482</v>
      </c>
      <c r="D7" s="2628"/>
      <c r="E7" s="2628"/>
      <c r="F7" s="2628"/>
      <c r="G7" s="2628"/>
      <c r="H7" s="2629"/>
      <c r="I7" s="1213"/>
    </row>
    <row r="8" spans="2:9" s="735" customFormat="1" x14ac:dyDescent="0.25">
      <c r="B8" s="1212"/>
      <c r="C8" s="590" t="s">
        <v>483</v>
      </c>
      <c r="D8" s="2394" t="str">
        <f>IF('1A'!G12="","Enter Organization Name on Form 1A",'1A'!G12)</f>
        <v>Mercy Housing Northwest</v>
      </c>
      <c r="E8" s="2394"/>
      <c r="F8" s="2394"/>
      <c r="G8" s="2394"/>
      <c r="H8" s="2641"/>
      <c r="I8" s="1213"/>
    </row>
    <row r="9" spans="2:9" s="735" customFormat="1" x14ac:dyDescent="0.25">
      <c r="B9" s="1212"/>
      <c r="C9" s="590" t="s">
        <v>484</v>
      </c>
      <c r="D9" s="2623" t="s">
        <v>1425</v>
      </c>
      <c r="E9" s="2623"/>
      <c r="F9" s="2623"/>
      <c r="G9" s="2623"/>
      <c r="H9" s="2624"/>
      <c r="I9" s="1213"/>
    </row>
    <row r="10" spans="2:9" s="735" customFormat="1" x14ac:dyDescent="0.25">
      <c r="B10" s="1212"/>
      <c r="C10" s="590" t="s">
        <v>14</v>
      </c>
      <c r="D10" s="689" t="s">
        <v>1392</v>
      </c>
      <c r="E10" s="250" t="s">
        <v>485</v>
      </c>
      <c r="F10" s="690" t="s">
        <v>1426</v>
      </c>
      <c r="G10" s="250" t="s">
        <v>486</v>
      </c>
      <c r="H10" s="591">
        <v>98121</v>
      </c>
      <c r="I10" s="1213"/>
    </row>
    <row r="11" spans="2:9" s="735" customFormat="1" x14ac:dyDescent="0.25">
      <c r="B11" s="1212"/>
      <c r="C11" s="590" t="s">
        <v>487</v>
      </c>
      <c r="D11" s="2625" t="s">
        <v>1427</v>
      </c>
      <c r="E11" s="2625"/>
      <c r="F11" s="2625"/>
      <c r="G11" s="2625"/>
      <c r="H11" s="2626"/>
      <c r="I11" s="1213"/>
    </row>
    <row r="12" spans="2:9" s="735" customFormat="1" x14ac:dyDescent="0.25">
      <c r="B12" s="1212"/>
      <c r="C12" s="600" t="s">
        <v>488</v>
      </c>
      <c r="D12" s="2630" t="s">
        <v>1428</v>
      </c>
      <c r="E12" s="2630"/>
      <c r="F12" s="2630"/>
      <c r="G12" s="2630"/>
      <c r="H12" s="2631"/>
      <c r="I12" s="1213"/>
    </row>
    <row r="13" spans="2:9" x14ac:dyDescent="0.25">
      <c r="B13" s="1216"/>
      <c r="C13" s="500"/>
      <c r="D13" s="501"/>
      <c r="E13" s="502"/>
      <c r="F13" s="502"/>
      <c r="G13" s="502"/>
      <c r="H13" s="503"/>
      <c r="I13" s="1217"/>
    </row>
    <row r="14" spans="2:9" s="735" customFormat="1" ht="26.25" x14ac:dyDescent="0.25">
      <c r="B14" s="1212"/>
      <c r="C14" s="589" t="s">
        <v>489</v>
      </c>
      <c r="D14" s="2625" t="s">
        <v>1429</v>
      </c>
      <c r="E14" s="2625"/>
      <c r="F14" s="2625"/>
      <c r="G14" s="2625"/>
      <c r="H14" s="2626"/>
      <c r="I14" s="1213"/>
    </row>
    <row r="15" spans="2:9" s="735" customFormat="1" x14ac:dyDescent="0.25">
      <c r="B15" s="1212"/>
      <c r="C15" s="590" t="s">
        <v>5</v>
      </c>
      <c r="D15" s="2223" t="s">
        <v>1431</v>
      </c>
      <c r="E15" s="2223"/>
      <c r="F15" s="2223"/>
      <c r="G15" s="291" t="s">
        <v>490</v>
      </c>
      <c r="H15" s="591" t="s">
        <v>1432</v>
      </c>
      <c r="I15" s="1213"/>
    </row>
    <row r="16" spans="2:9" s="735" customFormat="1" x14ac:dyDescent="0.25">
      <c r="B16" s="1212"/>
      <c r="C16" s="590" t="s">
        <v>6</v>
      </c>
      <c r="D16" s="2625" t="s">
        <v>1430</v>
      </c>
      <c r="E16" s="2625"/>
      <c r="F16" s="2625"/>
      <c r="G16" s="2625"/>
      <c r="H16" s="2626"/>
      <c r="I16" s="1213"/>
    </row>
    <row r="17" spans="2:9" s="735" customFormat="1" x14ac:dyDescent="0.25">
      <c r="B17" s="1212"/>
      <c r="C17" s="592" t="s">
        <v>491</v>
      </c>
      <c r="D17" s="2636" t="str">
        <f>IF('1A'!G14="","Enter Contact Name on Form 1A",'1A'!G14)</f>
        <v>Alisa Luber</v>
      </c>
      <c r="E17" s="2636"/>
      <c r="F17" s="2636"/>
      <c r="G17" s="2636"/>
      <c r="H17" s="2637"/>
      <c r="I17" s="1213"/>
    </row>
    <row r="18" spans="2:9" s="735" customFormat="1" x14ac:dyDescent="0.25">
      <c r="B18" s="1212"/>
      <c r="C18" s="590" t="s">
        <v>5</v>
      </c>
      <c r="D18" s="2640" t="str">
        <f>IF('1A'!G16="","Enter Phone Number on Form 1A",'1A'!G16)</f>
        <v>206-602-3479</v>
      </c>
      <c r="E18" s="2640"/>
      <c r="F18" s="2640"/>
      <c r="G18" s="291" t="s">
        <v>490</v>
      </c>
      <c r="H18" s="1671" t="s">
        <v>1432</v>
      </c>
      <c r="I18" s="1213"/>
    </row>
    <row r="19" spans="2:9" s="735" customFormat="1" x14ac:dyDescent="0.25">
      <c r="B19" s="1212"/>
      <c r="C19" s="590" t="s">
        <v>6</v>
      </c>
      <c r="D19" s="2638" t="str">
        <f>IF('1A'!J16="","Enter Email on Form 1A",'1A'!J16)</f>
        <v>aluber@mercyhousing.org</v>
      </c>
      <c r="E19" s="2638"/>
      <c r="F19" s="2638"/>
      <c r="G19" s="2638"/>
      <c r="H19" s="2639"/>
      <c r="I19" s="1213"/>
    </row>
    <row r="20" spans="2:9" s="735" customFormat="1" ht="15.75" thickBot="1" x14ac:dyDescent="0.3">
      <c r="B20" s="1212"/>
      <c r="C20" s="593"/>
      <c r="D20" s="596"/>
      <c r="E20" s="596"/>
      <c r="F20" s="596"/>
      <c r="G20" s="596"/>
      <c r="H20" s="597"/>
      <c r="I20" s="1213"/>
    </row>
    <row r="21" spans="2:9" s="735" customFormat="1" ht="7.5" customHeight="1" thickBot="1" x14ac:dyDescent="0.3">
      <c r="B21" s="1212"/>
      <c r="C21" s="250"/>
      <c r="D21" s="250"/>
      <c r="E21" s="250"/>
      <c r="F21" s="250"/>
      <c r="G21" s="250"/>
      <c r="H21" s="250"/>
      <c r="I21" s="1213"/>
    </row>
    <row r="22" spans="2:9" s="735" customFormat="1" x14ac:dyDescent="0.25">
      <c r="B22" s="1212"/>
      <c r="C22" s="2627" t="s">
        <v>492</v>
      </c>
      <c r="D22" s="2628"/>
      <c r="E22" s="2628"/>
      <c r="F22" s="2628"/>
      <c r="G22" s="2628"/>
      <c r="H22" s="2629"/>
      <c r="I22" s="1213"/>
    </row>
    <row r="23" spans="2:9" s="735" customFormat="1" x14ac:dyDescent="0.25">
      <c r="B23" s="1212"/>
      <c r="C23" s="590" t="s">
        <v>483</v>
      </c>
      <c r="D23" s="2638" t="s">
        <v>1359</v>
      </c>
      <c r="E23" s="2638"/>
      <c r="F23" s="2638"/>
      <c r="G23" s="2638"/>
      <c r="H23" s="2639"/>
      <c r="I23" s="1213"/>
    </row>
    <row r="24" spans="2:9" s="735" customFormat="1" x14ac:dyDescent="0.25">
      <c r="B24" s="1212"/>
      <c r="C24" s="592" t="s">
        <v>491</v>
      </c>
      <c r="D24" s="2636" t="str">
        <f>IF('1A'!G21="","Enter Contact Name on Form 1A",'1A'!G21)</f>
        <v>Enter Contact Name on Form 1A</v>
      </c>
      <c r="E24" s="2636"/>
      <c r="F24" s="2636"/>
      <c r="G24" s="2636"/>
      <c r="H24" s="2637"/>
      <c r="I24" s="1213"/>
    </row>
    <row r="25" spans="2:9" s="735" customFormat="1" x14ac:dyDescent="0.25">
      <c r="B25" s="1212"/>
      <c r="C25" s="590" t="s">
        <v>484</v>
      </c>
      <c r="D25" s="2623"/>
      <c r="E25" s="2623"/>
      <c r="F25" s="2623"/>
      <c r="G25" s="2623"/>
      <c r="H25" s="2624"/>
      <c r="I25" s="1213"/>
    </row>
    <row r="26" spans="2:9" s="735" customFormat="1" x14ac:dyDescent="0.25">
      <c r="B26" s="1212"/>
      <c r="C26" s="590" t="s">
        <v>14</v>
      </c>
      <c r="D26" s="689"/>
      <c r="E26" s="250" t="s">
        <v>485</v>
      </c>
      <c r="F26" s="690"/>
      <c r="G26" s="250" t="s">
        <v>486</v>
      </c>
      <c r="H26" s="594"/>
      <c r="I26" s="1213"/>
    </row>
    <row r="27" spans="2:9" s="735" customFormat="1" x14ac:dyDescent="0.25">
      <c r="B27" s="1212"/>
      <c r="C27" s="590" t="s">
        <v>5</v>
      </c>
      <c r="D27" s="2638" t="str">
        <f>IF('1A'!G23="","Enter Phone Number on Form 1A",'1A'!G23)</f>
        <v>Enter Phone Number on Form 1A</v>
      </c>
      <c r="E27" s="2638"/>
      <c r="F27" s="291" t="s">
        <v>490</v>
      </c>
      <c r="G27" s="2223"/>
      <c r="H27" s="2635"/>
      <c r="I27" s="1213"/>
    </row>
    <row r="28" spans="2:9" s="735" customFormat="1" x14ac:dyDescent="0.25">
      <c r="B28" s="1212"/>
      <c r="C28" s="590" t="s">
        <v>6</v>
      </c>
      <c r="D28" s="2638" t="str">
        <f>IF('1A'!J23="","Enter Email on Form 1A",'1A'!J23)</f>
        <v>Enter Email on Form 1A</v>
      </c>
      <c r="E28" s="2638"/>
      <c r="F28" s="2638"/>
      <c r="G28" s="2638"/>
      <c r="H28" s="2639"/>
      <c r="I28" s="1213"/>
    </row>
    <row r="29" spans="2:9" s="735" customFormat="1" ht="15.75" thickBot="1" x14ac:dyDescent="0.3">
      <c r="B29" s="1212"/>
      <c r="C29" s="593"/>
      <c r="D29" s="596"/>
      <c r="E29" s="596"/>
      <c r="F29" s="596"/>
      <c r="G29" s="596"/>
      <c r="H29" s="597"/>
      <c r="I29" s="1213"/>
    </row>
    <row r="30" spans="2:9" s="735" customFormat="1" ht="7.5" customHeight="1" thickBot="1" x14ac:dyDescent="0.3">
      <c r="B30" s="1212"/>
      <c r="C30" s="595"/>
      <c r="D30" s="250"/>
      <c r="E30" s="250"/>
      <c r="F30" s="250"/>
      <c r="G30" s="250"/>
      <c r="H30" s="250"/>
      <c r="I30" s="1213"/>
    </row>
    <row r="31" spans="2:9" s="735" customFormat="1" x14ac:dyDescent="0.25">
      <c r="B31" s="1212"/>
      <c r="C31" s="2627" t="s">
        <v>187</v>
      </c>
      <c r="D31" s="2628"/>
      <c r="E31" s="2628"/>
      <c r="F31" s="2628"/>
      <c r="G31" s="2628"/>
      <c r="H31" s="2629"/>
      <c r="I31" s="1213"/>
    </row>
    <row r="32" spans="2:9" s="735" customFormat="1" x14ac:dyDescent="0.25">
      <c r="B32" s="1212"/>
      <c r="C32" s="590" t="s">
        <v>483</v>
      </c>
      <c r="D32" s="2625" t="s">
        <v>1421</v>
      </c>
      <c r="E32" s="2625"/>
      <c r="F32" s="2625"/>
      <c r="G32" s="2625"/>
      <c r="H32" s="2626"/>
      <c r="I32" s="1213"/>
    </row>
    <row r="33" spans="2:9" s="735" customFormat="1" x14ac:dyDescent="0.25">
      <c r="B33" s="1212"/>
      <c r="C33" s="592" t="s">
        <v>491</v>
      </c>
      <c r="D33" s="2623" t="s">
        <v>1424</v>
      </c>
      <c r="E33" s="2623"/>
      <c r="F33" s="2623"/>
      <c r="G33" s="2623"/>
      <c r="H33" s="2624"/>
      <c r="I33" s="1213"/>
    </row>
    <row r="34" spans="2:9" s="735" customFormat="1" x14ac:dyDescent="0.25">
      <c r="B34" s="1212"/>
      <c r="C34" s="590" t="s">
        <v>5</v>
      </c>
      <c r="D34" s="688" t="s">
        <v>1422</v>
      </c>
      <c r="E34" s="250" t="s">
        <v>6</v>
      </c>
      <c r="F34" s="2625" t="s">
        <v>1423</v>
      </c>
      <c r="G34" s="2625"/>
      <c r="H34" s="2626"/>
      <c r="I34" s="1213"/>
    </row>
    <row r="35" spans="2:9" s="735" customFormat="1" ht="15.75" thickBot="1" x14ac:dyDescent="0.3">
      <c r="B35" s="1212"/>
      <c r="C35" s="593"/>
      <c r="D35" s="596"/>
      <c r="E35" s="596"/>
      <c r="F35" s="596"/>
      <c r="G35" s="596"/>
      <c r="H35" s="597"/>
      <c r="I35" s="1213"/>
    </row>
    <row r="36" spans="2:9" s="735" customFormat="1" ht="7.5" customHeight="1" thickBot="1" x14ac:dyDescent="0.3">
      <c r="B36" s="1212"/>
      <c r="C36" s="250"/>
      <c r="D36" s="250"/>
      <c r="E36" s="250"/>
      <c r="F36" s="250"/>
      <c r="G36" s="250"/>
      <c r="H36" s="250"/>
      <c r="I36" s="1213"/>
    </row>
    <row r="37" spans="2:9" s="735" customFormat="1" x14ac:dyDescent="0.25">
      <c r="B37" s="1212"/>
      <c r="C37" s="2627" t="s">
        <v>493</v>
      </c>
      <c r="D37" s="2628"/>
      <c r="E37" s="2628"/>
      <c r="F37" s="2628"/>
      <c r="G37" s="2628"/>
      <c r="H37" s="2629"/>
      <c r="I37" s="1213"/>
    </row>
    <row r="38" spans="2:9" s="735" customFormat="1" x14ac:dyDescent="0.25">
      <c r="B38" s="1212"/>
      <c r="C38" s="590" t="s">
        <v>483</v>
      </c>
      <c r="D38" s="2625" t="s">
        <v>1438</v>
      </c>
      <c r="E38" s="2625"/>
      <c r="F38" s="2625"/>
      <c r="G38" s="2625"/>
      <c r="H38" s="2626"/>
      <c r="I38" s="1213"/>
    </row>
    <row r="39" spans="2:9" s="735" customFormat="1" x14ac:dyDescent="0.25">
      <c r="B39" s="1212"/>
      <c r="C39" s="592" t="s">
        <v>491</v>
      </c>
      <c r="D39" s="2623" t="s">
        <v>1439</v>
      </c>
      <c r="E39" s="2623"/>
      <c r="F39" s="2623"/>
      <c r="G39" s="2623"/>
      <c r="H39" s="2624"/>
      <c r="I39" s="1213"/>
    </row>
    <row r="40" spans="2:9" s="735" customFormat="1" x14ac:dyDescent="0.25">
      <c r="B40" s="1212"/>
      <c r="C40" s="590" t="s">
        <v>5</v>
      </c>
      <c r="D40" s="688" t="s">
        <v>1440</v>
      </c>
      <c r="E40" s="250" t="s">
        <v>6</v>
      </c>
      <c r="F40" s="2625" t="s">
        <v>1441</v>
      </c>
      <c r="G40" s="2625"/>
      <c r="H40" s="2626"/>
      <c r="I40" s="1213"/>
    </row>
    <row r="41" spans="2:9" s="735" customFormat="1" ht="15.75" thickBot="1" x14ac:dyDescent="0.3">
      <c r="B41" s="1212"/>
      <c r="C41" s="593"/>
      <c r="D41" s="596"/>
      <c r="E41" s="596"/>
      <c r="F41" s="596"/>
      <c r="G41" s="596"/>
      <c r="H41" s="597"/>
      <c r="I41" s="1213"/>
    </row>
    <row r="42" spans="2:9" s="735" customFormat="1" ht="9" customHeight="1" thickBot="1" x14ac:dyDescent="0.3">
      <c r="B42" s="1212"/>
      <c r="C42" s="598"/>
      <c r="D42" s="598"/>
      <c r="E42" s="598"/>
      <c r="F42" s="598"/>
      <c r="G42" s="598"/>
      <c r="H42" s="598"/>
      <c r="I42" s="1213"/>
    </row>
    <row r="43" spans="2:9" s="735" customFormat="1" x14ac:dyDescent="0.25">
      <c r="B43" s="1212"/>
      <c r="C43" s="2627" t="s">
        <v>494</v>
      </c>
      <c r="D43" s="2634"/>
      <c r="E43" s="2634"/>
      <c r="F43" s="2634"/>
      <c r="G43" s="2634"/>
      <c r="H43" s="2629"/>
      <c r="I43" s="1213"/>
    </row>
    <row r="44" spans="2:9" s="735" customFormat="1" x14ac:dyDescent="0.25">
      <c r="B44" s="1212"/>
      <c r="C44" s="590" t="s">
        <v>483</v>
      </c>
      <c r="D44" s="2625" t="s">
        <v>1433</v>
      </c>
      <c r="E44" s="2625"/>
      <c r="F44" s="2625"/>
      <c r="G44" s="2625"/>
      <c r="H44" s="2626"/>
      <c r="I44" s="1213"/>
    </row>
    <row r="45" spans="2:9" s="735" customFormat="1" x14ac:dyDescent="0.25">
      <c r="B45" s="1212"/>
      <c r="C45" s="592" t="s">
        <v>491</v>
      </c>
      <c r="D45" s="2632" t="s">
        <v>1442</v>
      </c>
      <c r="E45" s="2632"/>
      <c r="F45" s="2632"/>
      <c r="G45" s="2632"/>
      <c r="H45" s="2633"/>
      <c r="I45" s="1213"/>
    </row>
    <row r="46" spans="2:9" s="735" customFormat="1" x14ac:dyDescent="0.25">
      <c r="B46" s="1212"/>
      <c r="C46" s="590" t="s">
        <v>5</v>
      </c>
      <c r="D46" s="691" t="s">
        <v>1443</v>
      </c>
      <c r="E46" s="250" t="s">
        <v>6</v>
      </c>
      <c r="F46" s="2625" t="s">
        <v>1444</v>
      </c>
      <c r="G46" s="2625"/>
      <c r="H46" s="2626"/>
      <c r="I46" s="1213"/>
    </row>
    <row r="47" spans="2:9" s="735" customFormat="1" ht="15.75" thickBot="1" x14ac:dyDescent="0.3">
      <c r="B47" s="1212"/>
      <c r="C47" s="593"/>
      <c r="D47" s="650"/>
      <c r="E47" s="650"/>
      <c r="F47" s="650"/>
      <c r="G47" s="650"/>
      <c r="H47" s="651"/>
      <c r="I47" s="1213"/>
    </row>
    <row r="48" spans="2:9" s="735" customFormat="1" ht="7.5" customHeight="1" thickBot="1" x14ac:dyDescent="0.3">
      <c r="B48" s="1183"/>
      <c r="C48" s="598"/>
      <c r="D48" s="598"/>
      <c r="E48" s="598"/>
      <c r="F48" s="598"/>
      <c r="G48" s="598"/>
      <c r="H48" s="598"/>
      <c r="I48" s="1184"/>
    </row>
    <row r="49" spans="2:9" s="735" customFormat="1" ht="9" customHeight="1" x14ac:dyDescent="0.25">
      <c r="B49" s="1209"/>
      <c r="C49" s="1210"/>
      <c r="D49" s="1210"/>
      <c r="E49" s="1210"/>
      <c r="F49" s="1210"/>
      <c r="G49" s="1210"/>
      <c r="H49" s="1210"/>
      <c r="I49" s="1211"/>
    </row>
    <row r="50" spans="2:9" s="735" customFormat="1" ht="18.75" x14ac:dyDescent="0.3">
      <c r="B50" s="1212"/>
      <c r="C50" s="2323" t="s">
        <v>1067</v>
      </c>
      <c r="D50" s="2323"/>
      <c r="E50" s="2323"/>
      <c r="F50" s="2323"/>
      <c r="G50" s="2323"/>
      <c r="H50" s="2323"/>
      <c r="I50" s="1213"/>
    </row>
    <row r="51" spans="2:9" s="735" customFormat="1" ht="15" customHeight="1" x14ac:dyDescent="0.25">
      <c r="B51" s="1212"/>
      <c r="C51" s="979"/>
      <c r="D51" s="250"/>
      <c r="E51" s="250"/>
      <c r="F51" s="250"/>
      <c r="G51" s="250"/>
      <c r="H51" s="250"/>
      <c r="I51" s="1213"/>
    </row>
    <row r="52" spans="2:9" s="735" customFormat="1" x14ac:dyDescent="0.25">
      <c r="B52" s="1214"/>
      <c r="C52" s="714" t="s">
        <v>1</v>
      </c>
      <c r="D52" s="2394" t="str">
        <f>D5</f>
        <v xml:space="preserve">Building 9 </v>
      </c>
      <c r="E52" s="2394"/>
      <c r="F52" s="2394"/>
      <c r="G52" s="2394"/>
      <c r="H52" s="2394"/>
      <c r="I52" s="1215"/>
    </row>
    <row r="53" spans="2:9" s="735" customFormat="1" ht="15" customHeight="1" thickBot="1" x14ac:dyDescent="0.3">
      <c r="B53" s="1212"/>
      <c r="C53" s="250"/>
      <c r="D53" s="250"/>
      <c r="E53" s="250"/>
      <c r="F53" s="250"/>
      <c r="G53" s="250"/>
      <c r="H53" s="250"/>
      <c r="I53" s="1213"/>
    </row>
    <row r="54" spans="2:9" s="735" customFormat="1" x14ac:dyDescent="0.25">
      <c r="B54" s="1212"/>
      <c r="C54" s="2627" t="s">
        <v>495</v>
      </c>
      <c r="D54" s="2628"/>
      <c r="E54" s="2628"/>
      <c r="F54" s="2628"/>
      <c r="G54" s="2628"/>
      <c r="H54" s="2629"/>
      <c r="I54" s="1213"/>
    </row>
    <row r="55" spans="2:9" s="735" customFormat="1" x14ac:dyDescent="0.25">
      <c r="B55" s="1212"/>
      <c r="C55" s="590" t="s">
        <v>483</v>
      </c>
      <c r="D55" s="2625" t="s">
        <v>1445</v>
      </c>
      <c r="E55" s="2625"/>
      <c r="F55" s="2625"/>
      <c r="G55" s="2625"/>
      <c r="H55" s="2626"/>
      <c r="I55" s="1213"/>
    </row>
    <row r="56" spans="2:9" s="735" customFormat="1" x14ac:dyDescent="0.25">
      <c r="B56" s="1212"/>
      <c r="C56" s="592" t="s">
        <v>491</v>
      </c>
      <c r="D56" s="2623" t="s">
        <v>1446</v>
      </c>
      <c r="E56" s="2623"/>
      <c r="F56" s="2623"/>
      <c r="G56" s="2623"/>
      <c r="H56" s="2624"/>
      <c r="I56" s="1213"/>
    </row>
    <row r="57" spans="2:9" s="735" customFormat="1" x14ac:dyDescent="0.25">
      <c r="B57" s="1212"/>
      <c r="C57" s="590" t="s">
        <v>484</v>
      </c>
      <c r="D57" s="2623" t="s">
        <v>1447</v>
      </c>
      <c r="E57" s="2623"/>
      <c r="F57" s="2623"/>
      <c r="G57" s="2623"/>
      <c r="H57" s="2624"/>
      <c r="I57" s="1213"/>
    </row>
    <row r="58" spans="2:9" s="735" customFormat="1" x14ac:dyDescent="0.25">
      <c r="B58" s="1212"/>
      <c r="C58" s="590" t="s">
        <v>14</v>
      </c>
      <c r="D58" s="689" t="s">
        <v>1392</v>
      </c>
      <c r="E58" s="250" t="s">
        <v>485</v>
      </c>
      <c r="F58" s="690" t="s">
        <v>1426</v>
      </c>
      <c r="G58" s="250" t="s">
        <v>486</v>
      </c>
      <c r="H58" s="591">
        <v>98121</v>
      </c>
      <c r="I58" s="1213"/>
    </row>
    <row r="59" spans="2:9" s="735" customFormat="1" x14ac:dyDescent="0.25">
      <c r="B59" s="1212"/>
      <c r="C59" s="590" t="s">
        <v>5</v>
      </c>
      <c r="D59" s="688" t="s">
        <v>1448</v>
      </c>
      <c r="E59" s="250" t="s">
        <v>6</v>
      </c>
      <c r="F59" s="2625" t="s">
        <v>1449</v>
      </c>
      <c r="G59" s="2625"/>
      <c r="H59" s="2626"/>
      <c r="I59" s="1213"/>
    </row>
    <row r="60" spans="2:9" s="735" customFormat="1" ht="15.75" thickBot="1" x14ac:dyDescent="0.3">
      <c r="B60" s="1214"/>
      <c r="C60" s="593"/>
      <c r="D60" s="596"/>
      <c r="E60" s="596"/>
      <c r="F60" s="596"/>
      <c r="G60" s="596"/>
      <c r="H60" s="597"/>
      <c r="I60" s="1215"/>
    </row>
    <row r="61" spans="2:9" s="735" customFormat="1" ht="7.5" customHeight="1" thickBot="1" x14ac:dyDescent="0.3">
      <c r="B61" s="1212"/>
      <c r="C61" s="599"/>
      <c r="D61" s="297"/>
      <c r="E61" s="297"/>
      <c r="F61" s="297"/>
      <c r="G61" s="297"/>
      <c r="H61" s="599"/>
      <c r="I61" s="1213"/>
    </row>
    <row r="62" spans="2:9" s="735" customFormat="1" x14ac:dyDescent="0.25">
      <c r="B62" s="1212"/>
      <c r="C62" s="2627" t="s">
        <v>496</v>
      </c>
      <c r="D62" s="2628"/>
      <c r="E62" s="2628"/>
      <c r="F62" s="2628"/>
      <c r="G62" s="2628"/>
      <c r="H62" s="2629"/>
      <c r="I62" s="1213"/>
    </row>
    <row r="63" spans="2:9" s="735" customFormat="1" x14ac:dyDescent="0.25">
      <c r="B63" s="1212"/>
      <c r="C63" s="590" t="s">
        <v>483</v>
      </c>
      <c r="D63" s="2625" t="s">
        <v>1555</v>
      </c>
      <c r="E63" s="2625"/>
      <c r="F63" s="2625"/>
      <c r="G63" s="2625"/>
      <c r="H63" s="2626"/>
      <c r="I63" s="1213"/>
    </row>
    <row r="64" spans="2:9" s="735" customFormat="1" x14ac:dyDescent="0.25">
      <c r="B64" s="1212"/>
      <c r="C64" s="592" t="s">
        <v>491</v>
      </c>
      <c r="D64" s="2623" t="s">
        <v>1558</v>
      </c>
      <c r="E64" s="2623"/>
      <c r="F64" s="2623"/>
      <c r="G64" s="2623"/>
      <c r="H64" s="2624"/>
      <c r="I64" s="1213"/>
    </row>
    <row r="65" spans="2:9" s="735" customFormat="1" x14ac:dyDescent="0.25">
      <c r="B65" s="1212"/>
      <c r="C65" s="590" t="s">
        <v>5</v>
      </c>
      <c r="D65" s="688" t="s">
        <v>1559</v>
      </c>
      <c r="E65" s="250" t="s">
        <v>6</v>
      </c>
      <c r="F65" s="2625" t="s">
        <v>1560</v>
      </c>
      <c r="G65" s="2625"/>
      <c r="H65" s="2626"/>
      <c r="I65" s="1213"/>
    </row>
    <row r="66" spans="2:9" s="735" customFormat="1" ht="15.75" thickBot="1" x14ac:dyDescent="0.3">
      <c r="B66" s="1212"/>
      <c r="C66" s="593"/>
      <c r="D66" s="596"/>
      <c r="E66" s="596"/>
      <c r="F66" s="596"/>
      <c r="G66" s="596"/>
      <c r="H66" s="597"/>
      <c r="I66" s="1213"/>
    </row>
    <row r="67" spans="2:9" s="735" customFormat="1" ht="7.5" customHeight="1" thickBot="1" x14ac:dyDescent="0.3">
      <c r="B67" s="1212"/>
      <c r="C67" s="250"/>
      <c r="D67" s="250"/>
      <c r="E67" s="250"/>
      <c r="F67" s="250"/>
      <c r="G67" s="250"/>
      <c r="H67" s="250"/>
      <c r="I67" s="1213"/>
    </row>
    <row r="68" spans="2:9" s="735" customFormat="1" x14ac:dyDescent="0.25">
      <c r="B68" s="1212"/>
      <c r="C68" s="2627" t="s">
        <v>497</v>
      </c>
      <c r="D68" s="2628"/>
      <c r="E68" s="2628"/>
      <c r="F68" s="2628"/>
      <c r="G68" s="2628"/>
      <c r="H68" s="2629"/>
      <c r="I68" s="1213"/>
    </row>
    <row r="69" spans="2:9" s="735" customFormat="1" x14ac:dyDescent="0.25">
      <c r="B69" s="1212"/>
      <c r="C69" s="590" t="s">
        <v>483</v>
      </c>
      <c r="D69" s="2625" t="s">
        <v>1421</v>
      </c>
      <c r="E69" s="2625"/>
      <c r="F69" s="2625"/>
      <c r="G69" s="2625"/>
      <c r="H69" s="2626"/>
      <c r="I69" s="1213"/>
    </row>
    <row r="70" spans="2:9" s="735" customFormat="1" x14ac:dyDescent="0.25">
      <c r="B70" s="1212"/>
      <c r="C70" s="592" t="s">
        <v>491</v>
      </c>
      <c r="D70" s="2623" t="s">
        <v>1424</v>
      </c>
      <c r="E70" s="2623"/>
      <c r="F70" s="2623"/>
      <c r="G70" s="2623"/>
      <c r="H70" s="2624"/>
      <c r="I70" s="1213"/>
    </row>
    <row r="71" spans="2:9" s="735" customFormat="1" x14ac:dyDescent="0.25">
      <c r="B71" s="1212"/>
      <c r="C71" s="590" t="s">
        <v>5</v>
      </c>
      <c r="D71" s="688" t="s">
        <v>1422</v>
      </c>
      <c r="E71" s="250" t="s">
        <v>6</v>
      </c>
      <c r="F71" s="2625" t="s">
        <v>1423</v>
      </c>
      <c r="G71" s="2625"/>
      <c r="H71" s="2626"/>
      <c r="I71" s="1213"/>
    </row>
    <row r="72" spans="2:9" s="735" customFormat="1" ht="15.75" thickBot="1" x14ac:dyDescent="0.3">
      <c r="B72" s="1212"/>
      <c r="C72" s="593"/>
      <c r="D72" s="596"/>
      <c r="E72" s="596"/>
      <c r="F72" s="596"/>
      <c r="G72" s="596"/>
      <c r="H72" s="597"/>
      <c r="I72" s="1213"/>
    </row>
    <row r="73" spans="2:9" s="735" customFormat="1" ht="7.5" customHeight="1" thickBot="1" x14ac:dyDescent="0.3">
      <c r="B73" s="1212"/>
      <c r="C73" s="250"/>
      <c r="D73" s="250"/>
      <c r="E73" s="250"/>
      <c r="F73" s="250"/>
      <c r="G73" s="250"/>
      <c r="H73" s="250"/>
      <c r="I73" s="1213"/>
    </row>
    <row r="74" spans="2:9" s="735" customFormat="1" x14ac:dyDescent="0.25">
      <c r="B74" s="1212"/>
      <c r="C74" s="2627" t="s">
        <v>498</v>
      </c>
      <c r="D74" s="2628"/>
      <c r="E74" s="2628"/>
      <c r="F74" s="2628"/>
      <c r="G74" s="2628"/>
      <c r="H74" s="2629"/>
      <c r="I74" s="1213"/>
    </row>
    <row r="75" spans="2:9" s="735" customFormat="1" x14ac:dyDescent="0.25">
      <c r="B75" s="1212"/>
      <c r="C75" s="590" t="s">
        <v>483</v>
      </c>
      <c r="D75" s="2625" t="s">
        <v>1557</v>
      </c>
      <c r="E75" s="2625"/>
      <c r="F75" s="2625"/>
      <c r="G75" s="2625"/>
      <c r="H75" s="2626"/>
      <c r="I75" s="1213"/>
    </row>
    <row r="76" spans="2:9" s="735" customFormat="1" x14ac:dyDescent="0.25">
      <c r="B76" s="1212"/>
      <c r="C76" s="592" t="s">
        <v>491</v>
      </c>
      <c r="D76" s="2623" t="s">
        <v>1434</v>
      </c>
      <c r="E76" s="2623"/>
      <c r="F76" s="2623"/>
      <c r="G76" s="2623"/>
      <c r="H76" s="2624"/>
      <c r="I76" s="1213"/>
    </row>
    <row r="77" spans="2:9" s="735" customFormat="1" x14ac:dyDescent="0.25">
      <c r="B77" s="1212"/>
      <c r="C77" s="590" t="s">
        <v>484</v>
      </c>
      <c r="D77" s="2623" t="s">
        <v>1435</v>
      </c>
      <c r="E77" s="2623"/>
      <c r="F77" s="2623"/>
      <c r="G77" s="2623"/>
      <c r="H77" s="2624"/>
      <c r="I77" s="1213"/>
    </row>
    <row r="78" spans="2:9" s="735" customFormat="1" x14ac:dyDescent="0.25">
      <c r="B78" s="1212"/>
      <c r="C78" s="590" t="s">
        <v>14</v>
      </c>
      <c r="D78" s="689" t="s">
        <v>1033</v>
      </c>
      <c r="E78" s="250" t="s">
        <v>485</v>
      </c>
      <c r="F78" s="690" t="s">
        <v>1426</v>
      </c>
      <c r="G78" s="250" t="s">
        <v>486</v>
      </c>
      <c r="H78" s="591"/>
      <c r="I78" s="1213"/>
    </row>
    <row r="79" spans="2:9" s="735" customFormat="1" x14ac:dyDescent="0.25">
      <c r="B79" s="1212"/>
      <c r="C79" s="590" t="s">
        <v>5</v>
      </c>
      <c r="D79" s="688" t="s">
        <v>1436</v>
      </c>
      <c r="E79" s="250" t="s">
        <v>6</v>
      </c>
      <c r="F79" s="2625" t="s">
        <v>1437</v>
      </c>
      <c r="G79" s="2625"/>
      <c r="H79" s="2626"/>
      <c r="I79" s="1213"/>
    </row>
    <row r="80" spans="2:9" s="735" customFormat="1" ht="15.75" thickBot="1" x14ac:dyDescent="0.3">
      <c r="B80" s="1212"/>
      <c r="C80" s="593"/>
      <c r="D80" s="596"/>
      <c r="E80" s="596"/>
      <c r="F80" s="596"/>
      <c r="G80" s="596"/>
      <c r="H80" s="597"/>
      <c r="I80" s="1213"/>
    </row>
    <row r="81" spans="2:9" s="735" customFormat="1" ht="9" customHeight="1" thickBot="1" x14ac:dyDescent="0.3">
      <c r="B81" s="1183"/>
      <c r="C81" s="598"/>
      <c r="D81" s="598"/>
      <c r="E81" s="598"/>
      <c r="F81" s="598"/>
      <c r="G81" s="598"/>
      <c r="H81" s="598"/>
      <c r="I81" s="1184"/>
    </row>
  </sheetData>
  <sheetProtection algorithmName="SHA-512" hashValue="xeVU6GtzwQeWDYTEkHhS2vqQsNizFCHsTMsfZ3fPPJbY5WntjZt8X3Jc7M3dyxa8GGpL8PCFxIYwZVcb53LdBg==" saltValue="Y3m91TuS9KFgyf73IaYmDQ==" spinCount="100000" sheet="1" objects="1" scenarios="1" formatCells="0" formatColumns="0" formatRows="0"/>
  <mergeCells count="52">
    <mergeCell ref="D5:H5"/>
    <mergeCell ref="D17:H17"/>
    <mergeCell ref="D18:F18"/>
    <mergeCell ref="D19:H19"/>
    <mergeCell ref="D23:H23"/>
    <mergeCell ref="C7:H7"/>
    <mergeCell ref="D8:H8"/>
    <mergeCell ref="D9:H9"/>
    <mergeCell ref="D11:H11"/>
    <mergeCell ref="D14:H14"/>
    <mergeCell ref="F34:H34"/>
    <mergeCell ref="D32:H32"/>
    <mergeCell ref="D15:F15"/>
    <mergeCell ref="D16:H16"/>
    <mergeCell ref="C22:H22"/>
    <mergeCell ref="D33:H33"/>
    <mergeCell ref="G27:H27"/>
    <mergeCell ref="D24:H24"/>
    <mergeCell ref="D27:E27"/>
    <mergeCell ref="D28:H28"/>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s>
  <hyperlinks>
    <hyperlink ref="F65" r:id="rId1"/>
  </hyperlinks>
  <pageMargins left="0.7" right="0.7" top="0.75" bottom="0.75" header="0.3" footer="0.3"/>
  <pageSetup scale="93" fitToHeight="2" orientation="portrait" r:id="rId2"/>
  <headerFooter>
    <oddFooter>&amp;LForm 9A
Project Team&amp;CCFA Forms&amp;REdition: 2015
Version: 1.0</oddFooter>
  </headerFooter>
  <rowBreaks count="1" manualBreakCount="1">
    <brk id="48" min="1"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Y41"/>
  <sheetViews>
    <sheetView showGridLines="0" topLeftCell="C1" zoomScaleNormal="100" workbookViewId="0">
      <selection activeCell="E43" sqref="E43:E44"/>
    </sheetView>
  </sheetViews>
  <sheetFormatPr defaultColWidth="9.140625" defaultRowHeight="15" x14ac:dyDescent="0.25"/>
  <cols>
    <col min="1" max="1" width="1.7109375" style="740" customWidth="1"/>
    <col min="2" max="2" width="1.7109375" style="735" customWidth="1"/>
    <col min="3" max="3" width="14.28515625" style="740" customWidth="1"/>
    <col min="4" max="4" width="30" style="740" customWidth="1"/>
    <col min="5" max="24" width="3.5703125" style="740" customWidth="1"/>
    <col min="25" max="25" width="1.7109375" style="735" customWidth="1"/>
    <col min="26" max="16384" width="9.140625" style="740"/>
  </cols>
  <sheetData>
    <row r="6" spans="2:25" ht="15.75" thickBot="1" x14ac:dyDescent="0.3"/>
    <row r="7" spans="2:25" s="735" customFormat="1" ht="9" customHeight="1" x14ac:dyDescent="0.3">
      <c r="B7" s="282"/>
      <c r="C7" s="2642"/>
      <c r="D7" s="2642"/>
      <c r="E7" s="2643"/>
      <c r="F7" s="2643"/>
      <c r="G7" s="2643"/>
      <c r="H7" s="2643"/>
      <c r="I7" s="2643"/>
      <c r="J7" s="2643"/>
      <c r="K7" s="2643"/>
      <c r="L7" s="2643"/>
      <c r="M7" s="2643"/>
      <c r="N7" s="2643"/>
      <c r="O7" s="2643"/>
      <c r="P7" s="2643"/>
      <c r="Q7" s="2643"/>
      <c r="R7" s="2643"/>
      <c r="S7" s="2643"/>
      <c r="T7" s="2643"/>
      <c r="U7" s="2643"/>
      <c r="V7" s="2643"/>
      <c r="W7" s="2643"/>
      <c r="X7" s="2643"/>
      <c r="Y7" s="2644"/>
    </row>
    <row r="8" spans="2:25" s="735" customFormat="1" ht="18.75" x14ac:dyDescent="0.3">
      <c r="B8" s="290"/>
      <c r="C8" s="1428" t="s">
        <v>499</v>
      </c>
      <c r="D8" s="1506"/>
      <c r="E8" s="1507"/>
      <c r="F8" s="1507"/>
      <c r="G8" s="1507"/>
      <c r="H8" s="1507"/>
      <c r="I8" s="1507"/>
      <c r="J8" s="1507"/>
      <c r="K8" s="1507"/>
      <c r="L8" s="1507"/>
      <c r="M8" s="1507"/>
      <c r="N8" s="1507"/>
      <c r="O8" s="1507"/>
      <c r="P8" s="1507"/>
      <c r="Q8" s="1507"/>
      <c r="R8" s="1507"/>
      <c r="S8" s="1507"/>
      <c r="T8" s="1507"/>
      <c r="U8" s="1507"/>
      <c r="V8" s="1507"/>
      <c r="W8" s="1507"/>
      <c r="X8" s="1507"/>
      <c r="Y8" s="1218"/>
    </row>
    <row r="9" spans="2:25" s="735" customFormat="1" ht="18.75" x14ac:dyDescent="0.3">
      <c r="B9" s="290"/>
      <c r="C9" s="1219"/>
      <c r="D9" s="1219"/>
      <c r="E9" s="1220"/>
      <c r="F9" s="1220"/>
      <c r="G9" s="1220"/>
      <c r="H9" s="1220"/>
      <c r="I9" s="1220"/>
      <c r="J9" s="1220"/>
      <c r="K9" s="1220"/>
      <c r="L9" s="1220"/>
      <c r="M9" s="1220"/>
      <c r="N9" s="1220"/>
      <c r="O9" s="1220"/>
      <c r="P9" s="1220"/>
      <c r="Q9" s="1220"/>
      <c r="R9" s="1220"/>
      <c r="S9" s="1220"/>
      <c r="T9" s="1220"/>
      <c r="U9" s="1220"/>
      <c r="V9" s="1220"/>
      <c r="W9" s="1220"/>
      <c r="X9" s="1220"/>
      <c r="Y9" s="1218"/>
    </row>
    <row r="10" spans="2:25" s="735" customFormat="1" x14ac:dyDescent="0.25">
      <c r="B10" s="290"/>
      <c r="C10" s="979" t="s">
        <v>1</v>
      </c>
      <c r="D10" s="978" t="str">
        <f>IF('1A'!G5="","Enter Project Name on Form 1A",'1A'!G5)</f>
        <v xml:space="preserve">Building 9 </v>
      </c>
      <c r="E10" s="978"/>
      <c r="F10" s="978"/>
      <c r="G10" s="978"/>
      <c r="H10" s="978"/>
      <c r="I10" s="978"/>
      <c r="J10" s="978"/>
      <c r="K10" s="978"/>
      <c r="L10" s="978"/>
      <c r="M10" s="978"/>
      <c r="N10" s="978"/>
      <c r="O10" s="978"/>
      <c r="P10" s="250"/>
      <c r="Q10" s="250"/>
      <c r="R10" s="250"/>
      <c r="S10" s="250"/>
      <c r="T10" s="250"/>
      <c r="U10" s="250"/>
      <c r="V10" s="250"/>
      <c r="W10" s="250"/>
      <c r="X10" s="250"/>
      <c r="Y10" s="251"/>
    </row>
    <row r="11" spans="2:25" s="735" customFormat="1" ht="7.5" customHeight="1" x14ac:dyDescent="0.25">
      <c r="B11" s="290"/>
      <c r="C11" s="979"/>
      <c r="D11" s="979"/>
      <c r="E11" s="979"/>
      <c r="F11" s="979"/>
      <c r="G11" s="979"/>
      <c r="H11" s="979"/>
      <c r="I11" s="979"/>
      <c r="J11" s="979"/>
      <c r="K11" s="979"/>
      <c r="L11" s="979"/>
      <c r="M11" s="979"/>
      <c r="N11" s="979"/>
      <c r="O11" s="979"/>
      <c r="P11" s="250"/>
      <c r="Q11" s="250"/>
      <c r="R11" s="250"/>
      <c r="S11" s="250"/>
      <c r="T11" s="250"/>
      <c r="U11" s="250"/>
      <c r="V11" s="250"/>
      <c r="W11" s="250"/>
      <c r="X11" s="250"/>
      <c r="Y11" s="251"/>
    </row>
    <row r="12" spans="2:25" ht="117.75" customHeight="1" x14ac:dyDescent="0.25">
      <c r="B12" s="290"/>
      <c r="C12" s="2651"/>
      <c r="D12" s="2652"/>
      <c r="E12" s="1496" t="s">
        <v>500</v>
      </c>
      <c r="F12" s="2645" t="s">
        <v>501</v>
      </c>
      <c r="G12" s="2645" t="s">
        <v>502</v>
      </c>
      <c r="H12" s="2645" t="s">
        <v>503</v>
      </c>
      <c r="I12" s="2645" t="s">
        <v>504</v>
      </c>
      <c r="J12" s="2648" t="s">
        <v>505</v>
      </c>
      <c r="K12" s="2645" t="s">
        <v>506</v>
      </c>
      <c r="L12" s="2645" t="s">
        <v>507</v>
      </c>
      <c r="M12" s="2645" t="s">
        <v>508</v>
      </c>
      <c r="N12" s="2645" t="s">
        <v>509</v>
      </c>
      <c r="O12" s="2645" t="s">
        <v>510</v>
      </c>
      <c r="P12" s="2645" t="s">
        <v>511</v>
      </c>
      <c r="Q12" s="2645" t="s">
        <v>512</v>
      </c>
      <c r="R12" s="2645" t="s">
        <v>513</v>
      </c>
      <c r="S12" s="2645" t="s">
        <v>514</v>
      </c>
      <c r="T12" s="2645" t="s">
        <v>515</v>
      </c>
      <c r="U12" s="2645" t="s">
        <v>516</v>
      </c>
      <c r="V12" s="2645" t="s">
        <v>517</v>
      </c>
      <c r="W12" s="2645" t="s">
        <v>518</v>
      </c>
      <c r="X12" s="2655"/>
      <c r="Y12" s="251"/>
    </row>
    <row r="13" spans="2:25" x14ac:dyDescent="0.25">
      <c r="B13" s="290"/>
      <c r="C13" s="1499" t="s">
        <v>519</v>
      </c>
      <c r="D13" s="1500"/>
      <c r="E13" s="1497" t="s">
        <v>1223</v>
      </c>
      <c r="F13" s="2646"/>
      <c r="G13" s="2647"/>
      <c r="H13" s="2647"/>
      <c r="I13" s="2647"/>
      <c r="J13" s="2649"/>
      <c r="K13" s="2647"/>
      <c r="L13" s="2647"/>
      <c r="M13" s="2647"/>
      <c r="N13" s="2647"/>
      <c r="O13" s="2647"/>
      <c r="P13" s="2647"/>
      <c r="Q13" s="2647"/>
      <c r="R13" s="2647"/>
      <c r="S13" s="2647"/>
      <c r="T13" s="2647"/>
      <c r="U13" s="2647"/>
      <c r="V13" s="2647"/>
      <c r="W13" s="2647"/>
      <c r="X13" s="2656"/>
      <c r="Y13" s="251"/>
    </row>
    <row r="14" spans="2:25" x14ac:dyDescent="0.25">
      <c r="B14" s="290"/>
      <c r="C14" s="1501" t="s">
        <v>502</v>
      </c>
      <c r="D14" s="1502"/>
      <c r="E14" s="1497" t="s">
        <v>1223</v>
      </c>
      <c r="F14" s="1497" t="s">
        <v>1223</v>
      </c>
      <c r="G14" s="2646"/>
      <c r="H14" s="2647"/>
      <c r="I14" s="2647"/>
      <c r="J14" s="2649"/>
      <c r="K14" s="2647"/>
      <c r="L14" s="2647"/>
      <c r="M14" s="2647"/>
      <c r="N14" s="2647"/>
      <c r="O14" s="2647"/>
      <c r="P14" s="2647"/>
      <c r="Q14" s="2647"/>
      <c r="R14" s="2647"/>
      <c r="S14" s="2647"/>
      <c r="T14" s="2647"/>
      <c r="U14" s="2647"/>
      <c r="V14" s="2647"/>
      <c r="W14" s="2647"/>
      <c r="X14" s="2656"/>
      <c r="Y14" s="251"/>
    </row>
    <row r="15" spans="2:25" x14ac:dyDescent="0.25">
      <c r="B15" s="290"/>
      <c r="C15" s="1501" t="s">
        <v>503</v>
      </c>
      <c r="D15" s="1502"/>
      <c r="E15" s="1497"/>
      <c r="F15" s="1497"/>
      <c r="G15" s="1497"/>
      <c r="H15" s="2646"/>
      <c r="I15" s="2647"/>
      <c r="J15" s="2649"/>
      <c r="K15" s="2647"/>
      <c r="L15" s="2647"/>
      <c r="M15" s="2647"/>
      <c r="N15" s="2647"/>
      <c r="O15" s="2647"/>
      <c r="P15" s="2647"/>
      <c r="Q15" s="2647"/>
      <c r="R15" s="2647"/>
      <c r="S15" s="2647"/>
      <c r="T15" s="2647"/>
      <c r="U15" s="2647"/>
      <c r="V15" s="2647"/>
      <c r="W15" s="2647"/>
      <c r="X15" s="2656"/>
      <c r="Y15" s="251"/>
    </row>
    <row r="16" spans="2:25" x14ac:dyDescent="0.25">
      <c r="B16" s="290"/>
      <c r="C16" s="1501" t="s">
        <v>504</v>
      </c>
      <c r="D16" s="1502"/>
      <c r="E16" s="1497" t="s">
        <v>1223</v>
      </c>
      <c r="F16" s="1497" t="s">
        <v>1223</v>
      </c>
      <c r="G16" s="1497" t="s">
        <v>1223</v>
      </c>
      <c r="H16" s="1497"/>
      <c r="I16" s="2646"/>
      <c r="J16" s="2649"/>
      <c r="K16" s="2647"/>
      <c r="L16" s="2647"/>
      <c r="M16" s="2647"/>
      <c r="N16" s="2647"/>
      <c r="O16" s="2647"/>
      <c r="P16" s="2647"/>
      <c r="Q16" s="2647"/>
      <c r="R16" s="2647"/>
      <c r="S16" s="2647"/>
      <c r="T16" s="2647"/>
      <c r="U16" s="2647"/>
      <c r="V16" s="2647"/>
      <c r="W16" s="2647"/>
      <c r="X16" s="2656"/>
      <c r="Y16" s="251"/>
    </row>
    <row r="17" spans="2:25" x14ac:dyDescent="0.25">
      <c r="B17" s="290"/>
      <c r="C17" s="1501" t="s">
        <v>520</v>
      </c>
      <c r="D17" s="1502"/>
      <c r="E17" s="1497" t="s">
        <v>1223</v>
      </c>
      <c r="F17" s="1497" t="s">
        <v>1223</v>
      </c>
      <c r="G17" s="1497" t="s">
        <v>1223</v>
      </c>
      <c r="H17" s="1497"/>
      <c r="I17" s="1497" t="s">
        <v>1223</v>
      </c>
      <c r="J17" s="2650"/>
      <c r="K17" s="2647"/>
      <c r="L17" s="2647"/>
      <c r="M17" s="2647"/>
      <c r="N17" s="2647"/>
      <c r="O17" s="2647"/>
      <c r="P17" s="2647"/>
      <c r="Q17" s="2647"/>
      <c r="R17" s="2647"/>
      <c r="S17" s="2647"/>
      <c r="T17" s="2647"/>
      <c r="U17" s="2647"/>
      <c r="V17" s="2647"/>
      <c r="W17" s="2647"/>
      <c r="X17" s="2656"/>
      <c r="Y17" s="251"/>
    </row>
    <row r="18" spans="2:25" x14ac:dyDescent="0.25">
      <c r="B18" s="290"/>
      <c r="C18" s="1501" t="s">
        <v>521</v>
      </c>
      <c r="D18" s="1502"/>
      <c r="E18" s="1497"/>
      <c r="F18" s="1497"/>
      <c r="G18" s="1497"/>
      <c r="H18" s="1497"/>
      <c r="I18" s="1497"/>
      <c r="J18" s="1497"/>
      <c r="K18" s="2646"/>
      <c r="L18" s="2647"/>
      <c r="M18" s="2647"/>
      <c r="N18" s="2647"/>
      <c r="O18" s="2647"/>
      <c r="P18" s="2647"/>
      <c r="Q18" s="2647"/>
      <c r="R18" s="2647"/>
      <c r="S18" s="2647"/>
      <c r="T18" s="2647"/>
      <c r="U18" s="2647"/>
      <c r="V18" s="2647"/>
      <c r="W18" s="2647"/>
      <c r="X18" s="2656"/>
      <c r="Y18" s="251"/>
    </row>
    <row r="19" spans="2:25" x14ac:dyDescent="0.25">
      <c r="B19" s="290"/>
      <c r="C19" s="1501" t="s">
        <v>522</v>
      </c>
      <c r="D19" s="1502"/>
      <c r="E19" s="1497"/>
      <c r="F19" s="1497"/>
      <c r="G19" s="1497"/>
      <c r="H19" s="1497"/>
      <c r="I19" s="1497"/>
      <c r="J19" s="1497"/>
      <c r="K19" s="1497"/>
      <c r="L19" s="2646"/>
      <c r="M19" s="2647"/>
      <c r="N19" s="2647"/>
      <c r="O19" s="2647"/>
      <c r="P19" s="2647"/>
      <c r="Q19" s="2647"/>
      <c r="R19" s="2647"/>
      <c r="S19" s="2647"/>
      <c r="T19" s="2647"/>
      <c r="U19" s="2647"/>
      <c r="V19" s="2647"/>
      <c r="W19" s="2647"/>
      <c r="X19" s="2656"/>
      <c r="Y19" s="251"/>
    </row>
    <row r="20" spans="2:25" x14ac:dyDescent="0.25">
      <c r="B20" s="290"/>
      <c r="C20" s="1501" t="s">
        <v>523</v>
      </c>
      <c r="D20" s="1502"/>
      <c r="E20" s="1497"/>
      <c r="F20" s="1497"/>
      <c r="G20" s="1497"/>
      <c r="H20" s="1497"/>
      <c r="I20" s="1497"/>
      <c r="J20" s="1497"/>
      <c r="K20" s="1497"/>
      <c r="L20" s="1497"/>
      <c r="M20" s="2646"/>
      <c r="N20" s="2647"/>
      <c r="O20" s="2647"/>
      <c r="P20" s="2647"/>
      <c r="Q20" s="2647"/>
      <c r="R20" s="2647"/>
      <c r="S20" s="2647"/>
      <c r="T20" s="2647"/>
      <c r="U20" s="2647"/>
      <c r="V20" s="2647"/>
      <c r="W20" s="2647"/>
      <c r="X20" s="2656"/>
      <c r="Y20" s="251"/>
    </row>
    <row r="21" spans="2:25" x14ac:dyDescent="0.25">
      <c r="B21" s="290"/>
      <c r="C21" s="1501" t="s">
        <v>524</v>
      </c>
      <c r="D21" s="1502"/>
      <c r="E21" s="1497"/>
      <c r="F21" s="1497"/>
      <c r="G21" s="1497"/>
      <c r="H21" s="1497"/>
      <c r="I21" s="1497"/>
      <c r="J21" s="1497"/>
      <c r="K21" s="1497"/>
      <c r="L21" s="1497"/>
      <c r="M21" s="1497"/>
      <c r="N21" s="2647"/>
      <c r="O21" s="2647"/>
      <c r="P21" s="2647"/>
      <c r="Q21" s="2647"/>
      <c r="R21" s="2647"/>
      <c r="S21" s="2647"/>
      <c r="T21" s="2647"/>
      <c r="U21" s="2647"/>
      <c r="V21" s="2647"/>
      <c r="W21" s="2647"/>
      <c r="X21" s="2656"/>
      <c r="Y21" s="251"/>
    </row>
    <row r="22" spans="2:25" x14ac:dyDescent="0.25">
      <c r="B22" s="290"/>
      <c r="C22" s="1501" t="s">
        <v>510</v>
      </c>
      <c r="D22" s="1502"/>
      <c r="E22" s="1497"/>
      <c r="F22" s="1497"/>
      <c r="G22" s="1497"/>
      <c r="H22" s="1497"/>
      <c r="I22" s="1497"/>
      <c r="J22" s="1497"/>
      <c r="K22" s="1497"/>
      <c r="L22" s="1497"/>
      <c r="M22" s="1497"/>
      <c r="N22" s="1497"/>
      <c r="O22" s="2647"/>
      <c r="P22" s="2647"/>
      <c r="Q22" s="2647"/>
      <c r="R22" s="2647"/>
      <c r="S22" s="2647"/>
      <c r="T22" s="2647"/>
      <c r="U22" s="2647"/>
      <c r="V22" s="2647"/>
      <c r="W22" s="2647"/>
      <c r="X22" s="2656"/>
      <c r="Y22" s="251"/>
    </row>
    <row r="23" spans="2:25" x14ac:dyDescent="0.25">
      <c r="B23" s="290"/>
      <c r="C23" s="1501" t="s">
        <v>511</v>
      </c>
      <c r="D23" s="1502"/>
      <c r="E23" s="1497"/>
      <c r="F23" s="1497"/>
      <c r="G23" s="1497"/>
      <c r="H23" s="1497"/>
      <c r="I23" s="1497"/>
      <c r="J23" s="1497"/>
      <c r="K23" s="1497"/>
      <c r="L23" s="1497"/>
      <c r="M23" s="1497"/>
      <c r="N23" s="1497"/>
      <c r="O23" s="1497"/>
      <c r="P23" s="2647"/>
      <c r="Q23" s="2647"/>
      <c r="R23" s="2647"/>
      <c r="S23" s="2647"/>
      <c r="T23" s="2647"/>
      <c r="U23" s="2647"/>
      <c r="V23" s="2647"/>
      <c r="W23" s="2647"/>
      <c r="X23" s="2656"/>
      <c r="Y23" s="251"/>
    </row>
    <row r="24" spans="2:25" x14ac:dyDescent="0.25">
      <c r="B24" s="290"/>
      <c r="C24" s="1501" t="s">
        <v>525</v>
      </c>
      <c r="D24" s="1502"/>
      <c r="E24" s="1497"/>
      <c r="F24" s="1497"/>
      <c r="G24" s="1497"/>
      <c r="H24" s="1497"/>
      <c r="I24" s="1497"/>
      <c r="J24" s="1497"/>
      <c r="K24" s="1497"/>
      <c r="L24" s="1497"/>
      <c r="M24" s="1497"/>
      <c r="N24" s="1497"/>
      <c r="O24" s="1497"/>
      <c r="P24" s="1497"/>
      <c r="Q24" s="2647"/>
      <c r="R24" s="2647"/>
      <c r="S24" s="2647"/>
      <c r="T24" s="2647"/>
      <c r="U24" s="2647"/>
      <c r="V24" s="2647"/>
      <c r="W24" s="2647"/>
      <c r="X24" s="2656"/>
      <c r="Y24" s="251"/>
    </row>
    <row r="25" spans="2:25" x14ac:dyDescent="0.25">
      <c r="B25" s="290"/>
      <c r="C25" s="1501" t="s">
        <v>513</v>
      </c>
      <c r="D25" s="1502"/>
      <c r="E25" s="1497"/>
      <c r="F25" s="1497"/>
      <c r="G25" s="1497"/>
      <c r="H25" s="1497"/>
      <c r="I25" s="1497"/>
      <c r="J25" s="1497"/>
      <c r="K25" s="1497"/>
      <c r="L25" s="1497"/>
      <c r="M25" s="1497"/>
      <c r="N25" s="1497"/>
      <c r="O25" s="1497"/>
      <c r="P25" s="1497"/>
      <c r="Q25" s="1497"/>
      <c r="R25" s="2647"/>
      <c r="S25" s="2647"/>
      <c r="T25" s="2647"/>
      <c r="U25" s="2647"/>
      <c r="V25" s="2647"/>
      <c r="W25" s="2647"/>
      <c r="X25" s="2656"/>
      <c r="Y25" s="251"/>
    </row>
    <row r="26" spans="2:25" x14ac:dyDescent="0.25">
      <c r="B26" s="290"/>
      <c r="C26" s="1501" t="s">
        <v>514</v>
      </c>
      <c r="D26" s="1502"/>
      <c r="E26" s="1497"/>
      <c r="F26" s="1497"/>
      <c r="G26" s="1497"/>
      <c r="H26" s="1497"/>
      <c r="I26" s="1497"/>
      <c r="J26" s="1497"/>
      <c r="K26" s="1497"/>
      <c r="L26" s="1497"/>
      <c r="M26" s="1497"/>
      <c r="N26" s="1497"/>
      <c r="O26" s="1497"/>
      <c r="P26" s="1497"/>
      <c r="Q26" s="1497"/>
      <c r="R26" s="1497"/>
      <c r="S26" s="2647"/>
      <c r="T26" s="2647"/>
      <c r="U26" s="2647"/>
      <c r="V26" s="2647"/>
      <c r="W26" s="2647"/>
      <c r="X26" s="2656"/>
      <c r="Y26" s="251"/>
    </row>
    <row r="27" spans="2:25" x14ac:dyDescent="0.25">
      <c r="B27" s="290"/>
      <c r="C27" s="1501" t="s">
        <v>515</v>
      </c>
      <c r="D27" s="1502"/>
      <c r="E27" s="1497"/>
      <c r="F27" s="1497"/>
      <c r="G27" s="1497"/>
      <c r="H27" s="1497"/>
      <c r="I27" s="1497"/>
      <c r="J27" s="1497"/>
      <c r="K27" s="1497"/>
      <c r="L27" s="1497"/>
      <c r="M27" s="1497"/>
      <c r="N27" s="1497"/>
      <c r="O27" s="1497"/>
      <c r="P27" s="1497"/>
      <c r="Q27" s="1497"/>
      <c r="R27" s="1497"/>
      <c r="S27" s="1497"/>
      <c r="T27" s="2647"/>
      <c r="U27" s="2647"/>
      <c r="V27" s="2647"/>
      <c r="W27" s="2647"/>
      <c r="X27" s="2656"/>
      <c r="Y27" s="251"/>
    </row>
    <row r="28" spans="2:25" x14ac:dyDescent="0.25">
      <c r="B28" s="290"/>
      <c r="C28" s="1501" t="s">
        <v>526</v>
      </c>
      <c r="D28" s="1502"/>
      <c r="E28" s="1497" t="s">
        <v>1223</v>
      </c>
      <c r="F28" s="1497" t="s">
        <v>1223</v>
      </c>
      <c r="G28" s="1497" t="s">
        <v>1223</v>
      </c>
      <c r="H28" s="1497" t="s">
        <v>1223</v>
      </c>
      <c r="I28" s="1497" t="s">
        <v>1223</v>
      </c>
      <c r="J28" s="1497"/>
      <c r="K28" s="1497"/>
      <c r="L28" s="1497"/>
      <c r="M28" s="1497" t="s">
        <v>1223</v>
      </c>
      <c r="N28" s="1497"/>
      <c r="O28" s="1497"/>
      <c r="P28" s="1497"/>
      <c r="Q28" s="1497"/>
      <c r="R28" s="1497"/>
      <c r="S28" s="1497"/>
      <c r="T28" s="1497"/>
      <c r="U28" s="2647"/>
      <c r="V28" s="2647"/>
      <c r="W28" s="2647"/>
      <c r="X28" s="2656"/>
      <c r="Y28" s="251"/>
    </row>
    <row r="29" spans="2:25" x14ac:dyDescent="0.25">
      <c r="B29" s="290"/>
      <c r="C29" s="1501" t="s">
        <v>517</v>
      </c>
      <c r="D29" s="1502"/>
      <c r="E29" s="1497"/>
      <c r="F29" s="1497"/>
      <c r="G29" s="1497"/>
      <c r="H29" s="1497"/>
      <c r="I29" s="1497"/>
      <c r="J29" s="1497"/>
      <c r="K29" s="1497"/>
      <c r="L29" s="1497"/>
      <c r="M29" s="1497"/>
      <c r="N29" s="1497"/>
      <c r="O29" s="1497"/>
      <c r="P29" s="1497"/>
      <c r="Q29" s="1497"/>
      <c r="R29" s="1497"/>
      <c r="S29" s="1497"/>
      <c r="T29" s="1497"/>
      <c r="U29" s="1497"/>
      <c r="V29" s="2647"/>
      <c r="W29" s="2647"/>
      <c r="X29" s="2657"/>
      <c r="Y29" s="251"/>
    </row>
    <row r="30" spans="2:25" x14ac:dyDescent="0.25">
      <c r="B30" s="290"/>
      <c r="C30" s="1503" t="s">
        <v>518</v>
      </c>
      <c r="D30" s="1504"/>
      <c r="E30" s="1497"/>
      <c r="F30" s="1497"/>
      <c r="G30" s="1497"/>
      <c r="H30" s="1497"/>
      <c r="I30" s="1497"/>
      <c r="J30" s="1497"/>
      <c r="K30" s="1497"/>
      <c r="L30" s="1497"/>
      <c r="M30" s="1497"/>
      <c r="N30" s="1497"/>
      <c r="O30" s="1497"/>
      <c r="P30" s="1497"/>
      <c r="Q30" s="1497"/>
      <c r="R30" s="1497"/>
      <c r="S30" s="1497"/>
      <c r="T30" s="1497"/>
      <c r="U30" s="1497"/>
      <c r="V30" s="1497"/>
      <c r="W30" s="2647"/>
      <c r="X30" s="2653" t="s">
        <v>473</v>
      </c>
      <c r="Y30" s="251"/>
    </row>
    <row r="31" spans="2:25" x14ac:dyDescent="0.25">
      <c r="B31" s="290"/>
      <c r="C31" s="1995" t="s">
        <v>473</v>
      </c>
      <c r="D31" s="1505"/>
      <c r="E31" s="1996"/>
      <c r="F31" s="1997"/>
      <c r="G31" s="1997"/>
      <c r="H31" s="1997"/>
      <c r="I31" s="1997"/>
      <c r="J31" s="1498"/>
      <c r="K31" s="1498"/>
      <c r="L31" s="1498"/>
      <c r="M31" s="1498"/>
      <c r="N31" s="1498"/>
      <c r="O31" s="1498"/>
      <c r="P31" s="1498"/>
      <c r="Q31" s="1498"/>
      <c r="R31" s="1498"/>
      <c r="S31" s="1498"/>
      <c r="T31" s="1498"/>
      <c r="U31" s="1498"/>
      <c r="V31" s="1498"/>
      <c r="W31" s="1498"/>
      <c r="X31" s="2654"/>
      <c r="Y31" s="251"/>
    </row>
    <row r="32" spans="2:25" x14ac:dyDescent="0.25">
      <c r="B32" s="290"/>
      <c r="C32" s="1221" t="s">
        <v>473</v>
      </c>
      <c r="D32" s="1505"/>
      <c r="E32" s="504"/>
      <c r="F32" s="505"/>
      <c r="G32" s="505"/>
      <c r="H32" s="505"/>
      <c r="I32" s="505"/>
      <c r="J32" s="505"/>
      <c r="K32" s="505"/>
      <c r="L32" s="505"/>
      <c r="M32" s="505"/>
      <c r="N32" s="505"/>
      <c r="O32" s="505"/>
      <c r="P32" s="505"/>
      <c r="Q32" s="505"/>
      <c r="R32" s="505"/>
      <c r="S32" s="505"/>
      <c r="T32" s="505"/>
      <c r="U32" s="505"/>
      <c r="V32" s="505"/>
      <c r="W32" s="505"/>
      <c r="X32" s="506"/>
      <c r="Y32" s="251"/>
    </row>
    <row r="33" spans="2:25" s="735" customFormat="1" ht="7.5" customHeight="1" x14ac:dyDescent="0.25">
      <c r="B33" s="290"/>
      <c r="C33" s="1069"/>
      <c r="D33" s="719"/>
      <c r="E33" s="719"/>
      <c r="F33" s="719"/>
      <c r="G33" s="719"/>
      <c r="H33" s="719"/>
      <c r="I33" s="719"/>
      <c r="J33" s="719"/>
      <c r="K33" s="719"/>
      <c r="L33" s="719"/>
      <c r="M33" s="719"/>
      <c r="N33" s="719"/>
      <c r="O33" s="719"/>
      <c r="P33" s="719"/>
      <c r="Q33" s="719"/>
      <c r="R33" s="719"/>
      <c r="S33" s="719"/>
      <c r="T33" s="719"/>
      <c r="U33" s="719"/>
      <c r="V33" s="719"/>
      <c r="W33" s="719"/>
      <c r="X33" s="719"/>
      <c r="Y33" s="251"/>
    </row>
    <row r="34" spans="2:25" s="735" customFormat="1" x14ac:dyDescent="0.25">
      <c r="B34" s="290"/>
      <c r="C34" s="706" t="s">
        <v>527</v>
      </c>
      <c r="D34" s="706"/>
      <c r="E34" s="706"/>
      <c r="F34" s="706"/>
      <c r="G34" s="706"/>
      <c r="H34" s="706"/>
      <c r="I34" s="706"/>
      <c r="J34" s="706"/>
      <c r="K34" s="706"/>
      <c r="L34" s="706"/>
      <c r="M34" s="706"/>
      <c r="N34" s="706"/>
      <c r="O34" s="706"/>
      <c r="P34" s="706"/>
      <c r="Q34" s="706"/>
      <c r="R34" s="706"/>
      <c r="S34" s="706"/>
      <c r="T34" s="706"/>
      <c r="U34" s="706"/>
      <c r="V34" s="706"/>
      <c r="W34" s="706"/>
      <c r="X34" s="706"/>
      <c r="Y34" s="251"/>
    </row>
    <row r="35" spans="2:25" s="735" customFormat="1" ht="45" customHeight="1" x14ac:dyDescent="0.25">
      <c r="B35" s="290"/>
      <c r="C35" s="2217" t="s">
        <v>1609</v>
      </c>
      <c r="D35" s="2218"/>
      <c r="E35" s="2218"/>
      <c r="F35" s="2218"/>
      <c r="G35" s="2218"/>
      <c r="H35" s="2218"/>
      <c r="I35" s="2218"/>
      <c r="J35" s="2218"/>
      <c r="K35" s="2218"/>
      <c r="L35" s="2218"/>
      <c r="M35" s="2218"/>
      <c r="N35" s="2218"/>
      <c r="O35" s="2218"/>
      <c r="P35" s="2218"/>
      <c r="Q35" s="2218"/>
      <c r="R35" s="2218"/>
      <c r="S35" s="2218"/>
      <c r="T35" s="2218"/>
      <c r="U35" s="2218"/>
      <c r="V35" s="2218"/>
      <c r="W35" s="2218"/>
      <c r="X35" s="2219"/>
      <c r="Y35" s="251"/>
    </row>
    <row r="36" spans="2:25" s="735" customFormat="1" ht="9" customHeight="1" thickBot="1" x14ac:dyDescent="0.3">
      <c r="B36" s="1122"/>
      <c r="C36" s="256"/>
      <c r="D36" s="256"/>
      <c r="E36" s="256"/>
      <c r="F36" s="256"/>
      <c r="G36" s="256"/>
      <c r="H36" s="256"/>
      <c r="I36" s="256"/>
      <c r="J36" s="256"/>
      <c r="K36" s="256"/>
      <c r="L36" s="256"/>
      <c r="M36" s="256"/>
      <c r="N36" s="256"/>
      <c r="O36" s="256"/>
      <c r="P36" s="256"/>
      <c r="Q36" s="256"/>
      <c r="R36" s="256"/>
      <c r="S36" s="256"/>
      <c r="T36" s="256"/>
      <c r="U36" s="256"/>
      <c r="V36" s="256"/>
      <c r="W36" s="256"/>
      <c r="X36" s="256"/>
      <c r="Y36" s="257"/>
    </row>
    <row r="37" spans="2:25" s="735" customFormat="1" x14ac:dyDescent="0.25"/>
    <row r="38" spans="2:25" s="735" customFormat="1" x14ac:dyDescent="0.25"/>
    <row r="39" spans="2:25" s="735" customFormat="1" x14ac:dyDescent="0.25"/>
    <row r="40" spans="2:25" s="735" customFormat="1" x14ac:dyDescent="0.25"/>
    <row r="41" spans="2:25" s="735" customFormat="1" x14ac:dyDescent="0.25"/>
  </sheetData>
  <sheetProtection password="9F6B" sheet="1" objects="1" scenarios="1" formatCells="0" formatColumns="0" formatRows="0"/>
  <mergeCells count="23">
    <mergeCell ref="C35:X35"/>
    <mergeCell ref="S12:S26"/>
    <mergeCell ref="T12:T27"/>
    <mergeCell ref="U12:U28"/>
    <mergeCell ref="V12:V29"/>
    <mergeCell ref="M12:M20"/>
    <mergeCell ref="N12:N21"/>
    <mergeCell ref="X30:X31"/>
    <mergeCell ref="X12:X29"/>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s>
  <conditionalFormatting sqref="E12:X32">
    <cfRule type="cellIs" dxfId="1" priority="1" operator="equal">
      <formula>"X"</formula>
    </cfRule>
  </conditionalFormatting>
  <dataValidations count="1">
    <dataValidation type="list" allowBlank="1" showInputMessage="1" showErrorMessage="1" sqref="E13:E32 F14:F32 G15:G32 H16:H32 I17:I32 J18:J33 K19:K33 L20:L32 M21:M32 N22:N32 O23:O32 P24:P32 Q25:Q32 R26:R32 S27:S32 T28:T32 U29:U32 V30:V32 W31:W32 X32">
      <formula1>"X"</formula1>
    </dataValidation>
  </dataValidations>
  <pageMargins left="0.7" right="0.7" top="0.75" bottom="0.75" header="0.3" footer="0.3"/>
  <pageSetup scale="92" orientation="landscape" r:id="rId1"/>
  <headerFooter>
    <oddFooter>&amp;LForm 9B
Identity of Interest Matrix&amp;CCFA Forms&amp;REdition: 2015
Version: 1.0</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M42"/>
  <sheetViews>
    <sheetView showGridLines="0" topLeftCell="A25" zoomScaleNormal="100" workbookViewId="0">
      <selection activeCell="C36" sqref="C36:D36"/>
    </sheetView>
  </sheetViews>
  <sheetFormatPr defaultColWidth="9.140625" defaultRowHeight="15" x14ac:dyDescent="0.25"/>
  <cols>
    <col min="1" max="2" width="1.7109375" style="740" customWidth="1"/>
    <col min="3" max="3" width="14.28515625" style="740" customWidth="1"/>
    <col min="4" max="4" width="12.85546875" style="740" customWidth="1"/>
    <col min="5" max="6" width="9.140625" style="740"/>
    <col min="7" max="7" width="15.28515625" style="740" customWidth="1"/>
    <col min="8" max="8" width="13.140625" style="740" customWidth="1"/>
    <col min="9" max="9" width="9.140625" style="740"/>
    <col min="10" max="10" width="14.5703125" style="740" bestFit="1" customWidth="1"/>
    <col min="11" max="11" width="11" style="740" customWidth="1"/>
    <col min="12" max="12" width="14.85546875" style="740" customWidth="1"/>
    <col min="13" max="13" width="1.7109375" style="740" customWidth="1"/>
    <col min="14" max="16384" width="9.140625" style="740"/>
  </cols>
  <sheetData>
    <row r="11" spans="2:13" ht="7.5" customHeight="1" thickBot="1" x14ac:dyDescent="0.3">
      <c r="B11" s="1222"/>
      <c r="C11" s="1222"/>
      <c r="D11" s="1222"/>
      <c r="E11" s="1222"/>
      <c r="F11" s="1222"/>
      <c r="G11" s="1222"/>
      <c r="H11" s="1222"/>
      <c r="I11" s="1222"/>
      <c r="J11" s="1222"/>
      <c r="K11" s="1222"/>
      <c r="L11" s="1222"/>
      <c r="M11" s="1223"/>
    </row>
    <row r="12" spans="2:13" ht="9" customHeight="1" x14ac:dyDescent="0.3">
      <c r="B12" s="508"/>
      <c r="C12" s="509"/>
      <c r="D12" s="510"/>
      <c r="E12" s="510"/>
      <c r="F12" s="509"/>
      <c r="G12" s="509"/>
      <c r="H12" s="509"/>
      <c r="I12" s="509"/>
      <c r="J12" s="509"/>
      <c r="K12" s="509"/>
      <c r="L12" s="509"/>
      <c r="M12" s="511"/>
    </row>
    <row r="13" spans="2:13" ht="18.75" x14ac:dyDescent="0.3">
      <c r="B13" s="512"/>
      <c r="C13" s="2323" t="s">
        <v>528</v>
      </c>
      <c r="D13" s="2323"/>
      <c r="E13" s="2323"/>
      <c r="F13" s="2323"/>
      <c r="G13" s="2323"/>
      <c r="H13" s="2323"/>
      <c r="I13" s="2323"/>
      <c r="J13" s="2323"/>
      <c r="K13" s="2323"/>
      <c r="L13" s="2323"/>
      <c r="M13" s="513"/>
    </row>
    <row r="14" spans="2:13" ht="15" customHeight="1" x14ac:dyDescent="0.3">
      <c r="B14" s="512"/>
      <c r="C14" s="514"/>
      <c r="D14" s="514"/>
      <c r="E14" s="514"/>
      <c r="F14" s="514"/>
      <c r="G14" s="514"/>
      <c r="H14" s="514"/>
      <c r="I14" s="514"/>
      <c r="J14" s="514"/>
      <c r="K14" s="514"/>
      <c r="L14" s="514"/>
      <c r="M14" s="513"/>
    </row>
    <row r="15" spans="2:13" x14ac:dyDescent="0.25">
      <c r="B15" s="515"/>
      <c r="C15" s="297" t="s">
        <v>1</v>
      </c>
      <c r="D15" s="2394" t="str">
        <f>IF('1A'!G5="","Enter Project Name on Form 1A",'1A'!G5)</f>
        <v xml:space="preserve">Building 9 </v>
      </c>
      <c r="E15" s="2394"/>
      <c r="F15" s="2394"/>
      <c r="G15" s="2394"/>
      <c r="H15" s="516"/>
      <c r="I15" s="516"/>
      <c r="J15" s="977"/>
      <c r="K15" s="146"/>
      <c r="L15" s="146"/>
      <c r="M15" s="517"/>
    </row>
    <row r="16" spans="2:13" ht="22.7" customHeight="1" x14ac:dyDescent="0.25">
      <c r="B16" s="515"/>
      <c r="C16" s="518"/>
      <c r="D16" s="518"/>
      <c r="E16" s="516"/>
      <c r="F16" s="516"/>
      <c r="G16" s="516"/>
      <c r="H16" s="516"/>
      <c r="I16" s="516"/>
      <c r="J16" s="1224"/>
      <c r="K16" s="1224"/>
      <c r="L16" s="1224"/>
      <c r="M16" s="517"/>
    </row>
    <row r="17" spans="2:13" ht="16.5" thickBot="1" x14ac:dyDescent="0.3">
      <c r="B17" s="515"/>
      <c r="C17" s="552" t="s">
        <v>529</v>
      </c>
      <c r="D17" s="552"/>
      <c r="E17" s="519"/>
      <c r="F17" s="520"/>
      <c r="G17" s="518"/>
      <c r="H17" s="518"/>
      <c r="I17" s="518"/>
      <c r="J17" s="518"/>
      <c r="K17" s="518"/>
      <c r="L17" s="518"/>
      <c r="M17" s="517"/>
    </row>
    <row r="18" spans="2:13" ht="36.75" thickBot="1" x14ac:dyDescent="0.3">
      <c r="B18" s="521"/>
      <c r="C18" s="2658" t="s">
        <v>530</v>
      </c>
      <c r="D18" s="2659"/>
      <c r="E18" s="522" t="s">
        <v>531</v>
      </c>
      <c r="F18" s="522" t="s">
        <v>532</v>
      </c>
      <c r="G18" s="523" t="s">
        <v>533</v>
      </c>
      <c r="H18" s="523" t="s">
        <v>534</v>
      </c>
      <c r="I18" s="523" t="s">
        <v>660</v>
      </c>
      <c r="J18" s="523" t="s">
        <v>535</v>
      </c>
      <c r="K18" s="523" t="s">
        <v>536</v>
      </c>
      <c r="L18" s="524" t="s">
        <v>537</v>
      </c>
      <c r="M18" s="513"/>
    </row>
    <row r="19" spans="2:13" ht="39" x14ac:dyDescent="0.25">
      <c r="B19" s="525"/>
      <c r="C19" s="2660" t="s">
        <v>1450</v>
      </c>
      <c r="D19" s="2661"/>
      <c r="E19" s="526" t="s">
        <v>1340</v>
      </c>
      <c r="F19" s="527" t="s">
        <v>1451</v>
      </c>
      <c r="G19" s="528" t="s">
        <v>1452</v>
      </c>
      <c r="H19" s="529" t="s">
        <v>1453</v>
      </c>
      <c r="I19" s="530" t="s">
        <v>1454</v>
      </c>
      <c r="J19" s="530" t="s">
        <v>1455</v>
      </c>
      <c r="K19" s="530" t="s">
        <v>1456</v>
      </c>
      <c r="L19" s="531" t="s">
        <v>1457</v>
      </c>
      <c r="M19" s="513"/>
    </row>
    <row r="20" spans="2:13" ht="39" x14ac:dyDescent="0.25">
      <c r="B20" s="521"/>
      <c r="C20" s="2662" t="s">
        <v>1458</v>
      </c>
      <c r="D20" s="2663"/>
      <c r="E20" s="532" t="s">
        <v>1340</v>
      </c>
      <c r="F20" s="533" t="s">
        <v>1451</v>
      </c>
      <c r="G20" s="534" t="s">
        <v>1452</v>
      </c>
      <c r="H20" s="535" t="s">
        <v>1459</v>
      </c>
      <c r="I20" s="536" t="s">
        <v>1460</v>
      </c>
      <c r="J20" s="536" t="s">
        <v>1456</v>
      </c>
      <c r="K20" s="536" t="s">
        <v>1456</v>
      </c>
      <c r="L20" s="537" t="s">
        <v>1461</v>
      </c>
      <c r="M20" s="513"/>
    </row>
    <row r="21" spans="2:13" x14ac:dyDescent="0.25">
      <c r="B21" s="521"/>
      <c r="C21" s="2662" t="s">
        <v>1462</v>
      </c>
      <c r="D21" s="2663"/>
      <c r="E21" s="532" t="s">
        <v>1340</v>
      </c>
      <c r="F21" s="533" t="s">
        <v>1463</v>
      </c>
      <c r="G21" s="534" t="s">
        <v>1464</v>
      </c>
      <c r="H21" s="535" t="s">
        <v>1465</v>
      </c>
      <c r="I21" s="536" t="s">
        <v>1466</v>
      </c>
      <c r="J21" s="536" t="s">
        <v>1467</v>
      </c>
      <c r="K21" s="536" t="s">
        <v>1455</v>
      </c>
      <c r="L21" s="537" t="s">
        <v>1468</v>
      </c>
      <c r="M21" s="513"/>
    </row>
    <row r="22" spans="2:13" x14ac:dyDescent="0.25">
      <c r="B22" s="521"/>
      <c r="C22" s="2662" t="s">
        <v>1469</v>
      </c>
      <c r="D22" s="2663"/>
      <c r="E22" s="532" t="s">
        <v>1340</v>
      </c>
      <c r="F22" s="533" t="s">
        <v>1463</v>
      </c>
      <c r="G22" s="534" t="s">
        <v>1464</v>
      </c>
      <c r="H22" s="535" t="s">
        <v>1470</v>
      </c>
      <c r="I22" s="536" t="s">
        <v>1471</v>
      </c>
      <c r="J22" s="536" t="s">
        <v>1472</v>
      </c>
      <c r="K22" s="536" t="s">
        <v>1473</v>
      </c>
      <c r="L22" s="537" t="s">
        <v>1468</v>
      </c>
      <c r="M22" s="513"/>
    </row>
    <row r="23" spans="2:13" ht="51.75" x14ac:dyDescent="0.25">
      <c r="B23" s="521"/>
      <c r="C23" s="2662" t="s">
        <v>1474</v>
      </c>
      <c r="D23" s="2663"/>
      <c r="E23" s="532" t="s">
        <v>1340</v>
      </c>
      <c r="F23" s="533" t="s">
        <v>1463</v>
      </c>
      <c r="G23" s="534" t="s">
        <v>1452</v>
      </c>
      <c r="H23" s="535" t="s">
        <v>1475</v>
      </c>
      <c r="I23" s="536" t="s">
        <v>1476</v>
      </c>
      <c r="J23" s="536" t="s">
        <v>1477</v>
      </c>
      <c r="K23" s="536" t="s">
        <v>1455</v>
      </c>
      <c r="L23" s="537" t="s">
        <v>1478</v>
      </c>
      <c r="M23" s="513"/>
    </row>
    <row r="24" spans="2:13" ht="39" x14ac:dyDescent="0.25">
      <c r="B24" s="539"/>
      <c r="C24" s="2662" t="s">
        <v>1479</v>
      </c>
      <c r="D24" s="2663"/>
      <c r="E24" s="532" t="s">
        <v>1340</v>
      </c>
      <c r="F24" s="533" t="s">
        <v>1451</v>
      </c>
      <c r="G24" s="534" t="s">
        <v>1452</v>
      </c>
      <c r="H24" s="535" t="s">
        <v>1480</v>
      </c>
      <c r="I24" s="536" t="s">
        <v>1481</v>
      </c>
      <c r="J24" s="536" t="s">
        <v>1477</v>
      </c>
      <c r="K24" s="536" t="s">
        <v>1455</v>
      </c>
      <c r="L24" s="537" t="s">
        <v>1482</v>
      </c>
      <c r="M24" s="513"/>
    </row>
    <row r="25" spans="2:13" ht="39" x14ac:dyDescent="0.25">
      <c r="B25" s="539"/>
      <c r="C25" s="2662" t="s">
        <v>1483</v>
      </c>
      <c r="D25" s="2663"/>
      <c r="E25" s="532" t="s">
        <v>1340</v>
      </c>
      <c r="F25" s="533" t="s">
        <v>1463</v>
      </c>
      <c r="G25" s="534" t="s">
        <v>1452</v>
      </c>
      <c r="H25" s="535" t="s">
        <v>1475</v>
      </c>
      <c r="I25" s="536" t="s">
        <v>1484</v>
      </c>
      <c r="J25" s="536" t="s">
        <v>1473</v>
      </c>
      <c r="K25" s="536" t="s">
        <v>1467</v>
      </c>
      <c r="L25" s="537" t="s">
        <v>1485</v>
      </c>
      <c r="M25" s="513"/>
    </row>
    <row r="26" spans="2:13" x14ac:dyDescent="0.25">
      <c r="B26" s="539"/>
      <c r="C26" s="2662" t="s">
        <v>1486</v>
      </c>
      <c r="D26" s="2663"/>
      <c r="E26" s="532" t="s">
        <v>1340</v>
      </c>
      <c r="F26" s="533" t="s">
        <v>1451</v>
      </c>
      <c r="G26" s="534" t="s">
        <v>1452</v>
      </c>
      <c r="H26" s="535" t="s">
        <v>1487</v>
      </c>
      <c r="I26" s="536" t="s">
        <v>1488</v>
      </c>
      <c r="J26" s="536" t="s">
        <v>1473</v>
      </c>
      <c r="K26" s="536" t="s">
        <v>1467</v>
      </c>
      <c r="L26" s="537" t="s">
        <v>1489</v>
      </c>
      <c r="M26" s="513"/>
    </row>
    <row r="27" spans="2:13" ht="64.5" x14ac:dyDescent="0.25">
      <c r="B27" s="521"/>
      <c r="C27" s="2662" t="s">
        <v>1490</v>
      </c>
      <c r="D27" s="2663"/>
      <c r="E27" s="532" t="s">
        <v>1340</v>
      </c>
      <c r="F27" s="533" t="s">
        <v>1463</v>
      </c>
      <c r="G27" s="534" t="s">
        <v>1452</v>
      </c>
      <c r="H27" s="535" t="s">
        <v>1491</v>
      </c>
      <c r="I27" s="536" t="s">
        <v>1492</v>
      </c>
      <c r="J27" s="536" t="s">
        <v>1493</v>
      </c>
      <c r="K27" s="536" t="s">
        <v>1477</v>
      </c>
      <c r="L27" s="537" t="s">
        <v>1494</v>
      </c>
      <c r="M27" s="513"/>
    </row>
    <row r="28" spans="2:13" ht="51.75" x14ac:dyDescent="0.25">
      <c r="B28" s="521"/>
      <c r="C28" s="2662" t="s">
        <v>1495</v>
      </c>
      <c r="D28" s="2663"/>
      <c r="E28" s="532" t="s">
        <v>1340</v>
      </c>
      <c r="F28" s="533" t="s">
        <v>1451</v>
      </c>
      <c r="G28" s="534" t="s">
        <v>1452</v>
      </c>
      <c r="H28" s="535" t="s">
        <v>1496</v>
      </c>
      <c r="I28" s="536" t="s">
        <v>1497</v>
      </c>
      <c r="J28" s="536" t="s">
        <v>1472</v>
      </c>
      <c r="K28" s="536" t="s">
        <v>1473</v>
      </c>
      <c r="L28" s="537" t="s">
        <v>1498</v>
      </c>
      <c r="M28" s="513"/>
    </row>
    <row r="29" spans="2:13" x14ac:dyDescent="0.25">
      <c r="B29" s="521"/>
      <c r="C29" s="2662"/>
      <c r="D29" s="2663"/>
      <c r="E29" s="532"/>
      <c r="F29" s="533"/>
      <c r="G29" s="538"/>
      <c r="H29" s="535"/>
      <c r="I29" s="536"/>
      <c r="J29" s="536"/>
      <c r="K29" s="536"/>
      <c r="L29" s="537"/>
      <c r="M29" s="513"/>
    </row>
    <row r="30" spans="2:13" ht="15.75" thickBot="1" x14ac:dyDescent="0.3">
      <c r="B30" s="521"/>
      <c r="C30" s="2668"/>
      <c r="D30" s="2669"/>
      <c r="E30" s="540"/>
      <c r="F30" s="541"/>
      <c r="G30" s="542"/>
      <c r="H30" s="543"/>
      <c r="I30" s="544"/>
      <c r="J30" s="544"/>
      <c r="K30" s="544"/>
      <c r="L30" s="545"/>
      <c r="M30" s="513"/>
    </row>
    <row r="31" spans="2:13" ht="7.5" customHeight="1" x14ac:dyDescent="0.25">
      <c r="B31" s="521"/>
      <c r="C31" s="574"/>
      <c r="D31" s="574"/>
      <c r="E31" s="574"/>
      <c r="F31" s="574"/>
      <c r="G31" s="1225"/>
      <c r="H31" s="574"/>
      <c r="I31" s="1226"/>
      <c r="J31" s="1226"/>
      <c r="K31" s="1226"/>
      <c r="L31" s="1226"/>
      <c r="M31" s="513"/>
    </row>
    <row r="32" spans="2:13" ht="16.5" thickBot="1" x14ac:dyDescent="0.3">
      <c r="B32" s="515"/>
      <c r="C32" s="552" t="s">
        <v>538</v>
      </c>
      <c r="D32" s="552"/>
      <c r="E32" s="519"/>
      <c r="F32" s="520"/>
      <c r="G32" s="518"/>
      <c r="H32" s="518"/>
      <c r="I32" s="518"/>
      <c r="J32" s="518"/>
      <c r="K32" s="518"/>
      <c r="L32" s="518"/>
      <c r="M32" s="517"/>
    </row>
    <row r="33" spans="2:13" ht="36.75" thickBot="1" x14ac:dyDescent="0.3">
      <c r="B33" s="521"/>
      <c r="C33" s="2658" t="s">
        <v>539</v>
      </c>
      <c r="D33" s="2659"/>
      <c r="E33" s="522" t="s">
        <v>531</v>
      </c>
      <c r="F33" s="522" t="s">
        <v>532</v>
      </c>
      <c r="G33" s="523" t="s">
        <v>533</v>
      </c>
      <c r="H33" s="523" t="s">
        <v>534</v>
      </c>
      <c r="I33" s="523" t="s">
        <v>660</v>
      </c>
      <c r="J33" s="523" t="s">
        <v>535</v>
      </c>
      <c r="K33" s="523" t="s">
        <v>663</v>
      </c>
      <c r="L33" s="524" t="s">
        <v>537</v>
      </c>
      <c r="M33" s="513"/>
    </row>
    <row r="34" spans="2:13" ht="39" x14ac:dyDescent="0.25">
      <c r="B34" s="525"/>
      <c r="C34" s="2670" t="s">
        <v>1499</v>
      </c>
      <c r="D34" s="2671"/>
      <c r="E34" s="526" t="s">
        <v>1340</v>
      </c>
      <c r="F34" s="527" t="s">
        <v>1463</v>
      </c>
      <c r="G34" s="546" t="s">
        <v>1452</v>
      </c>
      <c r="H34" s="529" t="s">
        <v>1491</v>
      </c>
      <c r="I34" s="530" t="s">
        <v>1500</v>
      </c>
      <c r="J34" s="530" t="s">
        <v>1493</v>
      </c>
      <c r="K34" s="530" t="s">
        <v>1501</v>
      </c>
      <c r="L34" s="531" t="s">
        <v>1502</v>
      </c>
      <c r="M34" s="513"/>
    </row>
    <row r="35" spans="2:13" ht="39" x14ac:dyDescent="0.25">
      <c r="B35" s="521"/>
      <c r="C35" s="2666" t="s">
        <v>1503</v>
      </c>
      <c r="D35" s="2667"/>
      <c r="E35" s="532" t="s">
        <v>1340</v>
      </c>
      <c r="F35" s="533" t="s">
        <v>1463</v>
      </c>
      <c r="G35" s="547" t="s">
        <v>1452</v>
      </c>
      <c r="H35" s="535" t="s">
        <v>1475</v>
      </c>
      <c r="I35" s="536" t="s">
        <v>1504</v>
      </c>
      <c r="J35" s="536" t="s">
        <v>1456</v>
      </c>
      <c r="K35" s="536" t="s">
        <v>1505</v>
      </c>
      <c r="L35" s="537" t="s">
        <v>1506</v>
      </c>
      <c r="M35" s="513"/>
    </row>
    <row r="36" spans="2:13" ht="39" x14ac:dyDescent="0.25">
      <c r="B36" s="521"/>
      <c r="C36" s="2672" t="s">
        <v>1507</v>
      </c>
      <c r="D36" s="2673"/>
      <c r="E36" s="532" t="s">
        <v>1340</v>
      </c>
      <c r="F36" s="533" t="s">
        <v>1451</v>
      </c>
      <c r="G36" s="548" t="s">
        <v>1452</v>
      </c>
      <c r="H36" s="535" t="s">
        <v>1508</v>
      </c>
      <c r="I36" s="536" t="s">
        <v>1509</v>
      </c>
      <c r="J36" s="536" t="s">
        <v>1501</v>
      </c>
      <c r="K36" s="536" t="s">
        <v>1510</v>
      </c>
      <c r="L36" s="537" t="s">
        <v>1511</v>
      </c>
      <c r="M36" s="513"/>
    </row>
    <row r="37" spans="2:13" x14ac:dyDescent="0.25">
      <c r="B37" s="539"/>
      <c r="C37" s="2666"/>
      <c r="D37" s="2667"/>
      <c r="E37" s="532"/>
      <c r="F37" s="533"/>
      <c r="G37" s="548"/>
      <c r="H37" s="535"/>
      <c r="I37" s="536"/>
      <c r="J37" s="536"/>
      <c r="K37" s="536"/>
      <c r="L37" s="537"/>
      <c r="M37" s="513"/>
    </row>
    <row r="38" spans="2:13" x14ac:dyDescent="0.25">
      <c r="B38" s="521"/>
      <c r="C38" s="2666"/>
      <c r="D38" s="2667"/>
      <c r="E38" s="532"/>
      <c r="F38" s="533"/>
      <c r="G38" s="548"/>
      <c r="H38" s="535"/>
      <c r="I38" s="536"/>
      <c r="J38" s="536"/>
      <c r="K38" s="536"/>
      <c r="L38" s="537"/>
      <c r="M38" s="513"/>
    </row>
    <row r="39" spans="2:13" x14ac:dyDescent="0.25">
      <c r="B39" s="521"/>
      <c r="C39" s="2666"/>
      <c r="D39" s="2667"/>
      <c r="E39" s="532"/>
      <c r="F39" s="533"/>
      <c r="G39" s="548"/>
      <c r="H39" s="535"/>
      <c r="I39" s="536"/>
      <c r="J39" s="536"/>
      <c r="K39" s="536"/>
      <c r="L39" s="537"/>
      <c r="M39" s="513"/>
    </row>
    <row r="40" spans="2:13" x14ac:dyDescent="0.25">
      <c r="B40" s="521"/>
      <c r="C40" s="2666"/>
      <c r="D40" s="2667"/>
      <c r="E40" s="532"/>
      <c r="F40" s="533"/>
      <c r="G40" s="548"/>
      <c r="H40" s="535"/>
      <c r="I40" s="536"/>
      <c r="J40" s="536"/>
      <c r="K40" s="536"/>
      <c r="L40" s="537"/>
      <c r="M40" s="513"/>
    </row>
    <row r="41" spans="2:13" ht="15.75" thickBot="1" x14ac:dyDescent="0.3">
      <c r="B41" s="521"/>
      <c r="C41" s="2664"/>
      <c r="D41" s="2665"/>
      <c r="E41" s="540"/>
      <c r="F41" s="541"/>
      <c r="G41" s="543"/>
      <c r="H41" s="543"/>
      <c r="I41" s="544"/>
      <c r="J41" s="544"/>
      <c r="K41" s="544"/>
      <c r="L41" s="545"/>
      <c r="M41" s="513"/>
    </row>
    <row r="42" spans="2:13" ht="9" customHeight="1" thickBot="1" x14ac:dyDescent="0.3">
      <c r="B42" s="549"/>
      <c r="C42" s="550"/>
      <c r="D42" s="550"/>
      <c r="E42" s="550"/>
      <c r="F42" s="550"/>
      <c r="G42" s="550"/>
      <c r="H42" s="550"/>
      <c r="I42" s="550"/>
      <c r="J42" s="550"/>
      <c r="K42" s="550"/>
      <c r="L42" s="550"/>
      <c r="M42" s="551"/>
    </row>
  </sheetData>
  <sheetProtection password="9F6B" sheet="1" objects="1" scenarios="1" formatCells="0" formatColumns="0" formatRows="0" insertRows="0"/>
  <mergeCells count="24">
    <mergeCell ref="C41:D41"/>
    <mergeCell ref="C37:D37"/>
    <mergeCell ref="C38:D38"/>
    <mergeCell ref="C39:D39"/>
    <mergeCell ref="C30:D30"/>
    <mergeCell ref="C34:D34"/>
    <mergeCell ref="C35:D35"/>
    <mergeCell ref="C36:D36"/>
    <mergeCell ref="C40:D40"/>
    <mergeCell ref="D15:G15"/>
    <mergeCell ref="C18:D18"/>
    <mergeCell ref="C33:D33"/>
    <mergeCell ref="C13:L13"/>
    <mergeCell ref="C19:D19"/>
    <mergeCell ref="C20:D20"/>
    <mergeCell ref="C21:D21"/>
    <mergeCell ref="C22:D22"/>
    <mergeCell ref="C23:D23"/>
    <mergeCell ref="C24:D24"/>
    <mergeCell ref="C25:D25"/>
    <mergeCell ref="C26:D26"/>
    <mergeCell ref="C27:D27"/>
    <mergeCell ref="C28:D28"/>
    <mergeCell ref="C29:D29"/>
  </mergeCells>
  <dataValidations count="2">
    <dataValidation type="list" allowBlank="1" showInputMessage="1" showErrorMessage="1" sqref="E19:E30 E34:E41">
      <formula1>"MF,SF"</formula1>
    </dataValidation>
    <dataValidation type="list" allowBlank="1" showInputMessage="1" showErrorMessage="1" sqref="F19:F30 F34:F41">
      <formula1>"NC,R,A"</formula1>
    </dataValidation>
  </dataValidations>
  <pageMargins left="0.7" right="0.7" top="0.75" bottom="0.75" header="0.3" footer="0.3"/>
  <pageSetup scale="71" orientation="portrait" r:id="rId1"/>
  <headerFooter>
    <oddFooter>&amp;LForm 9C
Project Sponsor Experience&amp;CCFA Forms&amp;REdition: 2015
Version: 1.0</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L47"/>
  <sheetViews>
    <sheetView showGridLines="0" topLeftCell="A10" zoomScaleNormal="100" workbookViewId="0">
      <selection activeCell="L47" sqref="L47"/>
    </sheetView>
  </sheetViews>
  <sheetFormatPr defaultColWidth="9.140625" defaultRowHeight="15" x14ac:dyDescent="0.25"/>
  <cols>
    <col min="1" max="2" width="1.7109375" style="740" customWidth="1"/>
    <col min="3" max="3" width="14.28515625" style="740" customWidth="1"/>
    <col min="4" max="4" width="12.85546875" style="740" customWidth="1"/>
    <col min="5" max="6" width="9.140625" style="740"/>
    <col min="7" max="7" width="15.28515625" style="740" customWidth="1"/>
    <col min="8" max="8" width="14.28515625" style="740" customWidth="1"/>
    <col min="9" max="9" width="16.5703125" style="740" customWidth="1"/>
    <col min="10" max="10" width="14.85546875" style="740" customWidth="1"/>
    <col min="11" max="11" width="17.140625" style="740" customWidth="1"/>
    <col min="12" max="12" width="1.7109375" style="740" customWidth="1"/>
    <col min="13" max="16384" width="9.140625" style="740"/>
  </cols>
  <sheetData>
    <row r="14" spans="2:12" ht="7.5" customHeight="1" thickBot="1" x14ac:dyDescent="0.3">
      <c r="B14" s="1223"/>
      <c r="C14" s="1223"/>
      <c r="D14" s="1223"/>
      <c r="E14" s="1223"/>
      <c r="F14" s="1223"/>
      <c r="G14" s="1223"/>
      <c r="H14" s="1223"/>
      <c r="I14" s="1223"/>
      <c r="J14" s="1223"/>
      <c r="K14" s="1223"/>
      <c r="L14" s="1223"/>
    </row>
    <row r="15" spans="2:12" ht="9" customHeight="1" x14ac:dyDescent="0.3">
      <c r="B15" s="508"/>
      <c r="C15" s="553"/>
      <c r="D15" s="553"/>
      <c r="E15" s="509"/>
      <c r="F15" s="509"/>
      <c r="G15" s="509"/>
      <c r="H15" s="509"/>
      <c r="I15" s="509"/>
      <c r="J15" s="509"/>
      <c r="K15" s="509"/>
      <c r="L15" s="511"/>
    </row>
    <row r="16" spans="2:12" ht="18.75" x14ac:dyDescent="0.3">
      <c r="B16" s="512"/>
      <c r="C16" s="1428" t="s">
        <v>1348</v>
      </c>
      <c r="D16" s="1508"/>
      <c r="E16" s="1508"/>
      <c r="F16" s="1508"/>
      <c r="G16" s="1508"/>
      <c r="H16" s="1508"/>
      <c r="I16" s="1508"/>
      <c r="J16" s="1508"/>
      <c r="K16" s="1508"/>
      <c r="L16" s="513"/>
    </row>
    <row r="17" spans="2:12" ht="15" customHeight="1" x14ac:dyDescent="0.3">
      <c r="B17" s="512"/>
      <c r="C17" s="297"/>
      <c r="D17" s="297"/>
      <c r="E17" s="514"/>
      <c r="F17" s="514"/>
      <c r="G17" s="514"/>
      <c r="H17" s="514"/>
      <c r="I17" s="514"/>
      <c r="J17" s="514"/>
      <c r="K17" s="514"/>
      <c r="L17" s="513"/>
    </row>
    <row r="18" spans="2:12" x14ac:dyDescent="0.25">
      <c r="B18" s="515"/>
      <c r="C18" s="297" t="s">
        <v>1</v>
      </c>
      <c r="D18" s="2394" t="str">
        <f>IF('1A'!G5="","Enter Project Name on Form 1A",'1A'!G5)</f>
        <v xml:space="preserve">Building 9 </v>
      </c>
      <c r="E18" s="2394"/>
      <c r="F18" s="2394"/>
      <c r="G18" s="2394"/>
      <c r="H18" s="2394"/>
      <c r="I18" s="2394"/>
      <c r="J18" s="516"/>
      <c r="K18" s="977"/>
      <c r="L18" s="517"/>
    </row>
    <row r="19" spans="2:12" ht="22.7" customHeight="1" x14ac:dyDescent="0.25">
      <c r="B19" s="515"/>
      <c r="C19" s="224"/>
      <c r="D19" s="224"/>
      <c r="E19" s="516"/>
      <c r="F19" s="516"/>
      <c r="G19" s="516"/>
      <c r="H19" s="516"/>
      <c r="I19" s="516"/>
      <c r="J19" s="516"/>
      <c r="K19" s="518"/>
      <c r="L19" s="517"/>
    </row>
    <row r="20" spans="2:12" ht="15.75" customHeight="1" x14ac:dyDescent="0.25">
      <c r="B20" s="515"/>
      <c r="C20" s="560" t="s">
        <v>541</v>
      </c>
      <c r="D20" s="560"/>
      <c r="E20" s="560"/>
      <c r="F20" s="560"/>
      <c r="G20" s="560"/>
      <c r="H20" s="560"/>
      <c r="I20" s="518"/>
      <c r="J20" s="518"/>
      <c r="K20" s="518"/>
      <c r="L20" s="517"/>
    </row>
    <row r="21" spans="2:12" x14ac:dyDescent="0.25">
      <c r="B21" s="521"/>
      <c r="C21" s="2674" t="s">
        <v>542</v>
      </c>
      <c r="D21" s="2675"/>
      <c r="E21" s="565" t="str">
        <f>IF('1A'!G19="","Enter Development Consultant Firm Name on Form 1A",'1A'!G19)</f>
        <v>Enter Development Consultant Firm Name on Form 1A</v>
      </c>
      <c r="F21" s="566"/>
      <c r="G21" s="566"/>
      <c r="H21" s="566"/>
      <c r="I21" s="566"/>
      <c r="J21" s="567"/>
      <c r="K21" s="1224"/>
      <c r="L21" s="554"/>
    </row>
    <row r="22" spans="2:12" ht="3.75" customHeight="1" thickBot="1" x14ac:dyDescent="0.3">
      <c r="B22" s="521"/>
      <c r="C22" s="555"/>
      <c r="D22" s="555"/>
      <c r="E22" s="1224"/>
      <c r="F22" s="1224"/>
      <c r="G22" s="1224"/>
      <c r="H22" s="1224"/>
      <c r="I22" s="1224"/>
      <c r="J22" s="1224"/>
      <c r="K22" s="1224"/>
      <c r="L22" s="513"/>
    </row>
    <row r="23" spans="2:12" ht="24.75" thickBot="1" x14ac:dyDescent="0.3">
      <c r="B23" s="521"/>
      <c r="C23" s="568" t="s">
        <v>530</v>
      </c>
      <c r="D23" s="569"/>
      <c r="E23" s="523" t="s">
        <v>531</v>
      </c>
      <c r="F23" s="570" t="s">
        <v>532</v>
      </c>
      <c r="G23" s="523" t="s">
        <v>534</v>
      </c>
      <c r="H23" s="523" t="s">
        <v>660</v>
      </c>
      <c r="I23" s="523" t="s">
        <v>535</v>
      </c>
      <c r="J23" s="523" t="s">
        <v>536</v>
      </c>
      <c r="K23" s="524" t="s">
        <v>537</v>
      </c>
      <c r="L23" s="513"/>
    </row>
    <row r="24" spans="2:12" x14ac:dyDescent="0.25">
      <c r="B24" s="525"/>
      <c r="C24" s="2680"/>
      <c r="D24" s="2681"/>
      <c r="E24" s="526"/>
      <c r="F24" s="527"/>
      <c r="G24" s="1227"/>
      <c r="H24" s="268"/>
      <c r="I24" s="529"/>
      <c r="J24" s="530"/>
      <c r="K24" s="531"/>
      <c r="L24" s="513"/>
    </row>
    <row r="25" spans="2:12" x14ac:dyDescent="0.25">
      <c r="B25" s="521"/>
      <c r="C25" s="2682"/>
      <c r="D25" s="2683"/>
      <c r="E25" s="532"/>
      <c r="F25" s="533"/>
      <c r="G25" s="1228"/>
      <c r="H25" s="538"/>
      <c r="I25" s="535"/>
      <c r="J25" s="536"/>
      <c r="K25" s="537"/>
      <c r="L25" s="513"/>
    </row>
    <row r="26" spans="2:12" x14ac:dyDescent="0.25">
      <c r="B26" s="521"/>
      <c r="C26" s="2676"/>
      <c r="D26" s="2677"/>
      <c r="E26" s="532"/>
      <c r="F26" s="533"/>
      <c r="G26" s="1228"/>
      <c r="H26" s="538"/>
      <c r="I26" s="535"/>
      <c r="J26" s="536"/>
      <c r="K26" s="537"/>
      <c r="L26" s="513"/>
    </row>
    <row r="27" spans="2:12" x14ac:dyDescent="0.25">
      <c r="B27" s="521"/>
      <c r="C27" s="2676"/>
      <c r="D27" s="2677"/>
      <c r="E27" s="532"/>
      <c r="F27" s="533"/>
      <c r="G27" s="1228"/>
      <c r="H27" s="538"/>
      <c r="I27" s="535"/>
      <c r="J27" s="536"/>
      <c r="K27" s="537"/>
      <c r="L27" s="513"/>
    </row>
    <row r="28" spans="2:12" x14ac:dyDescent="0.25">
      <c r="B28" s="521"/>
      <c r="C28" s="2676"/>
      <c r="D28" s="2677"/>
      <c r="E28" s="532"/>
      <c r="F28" s="533"/>
      <c r="G28" s="1228"/>
      <c r="H28" s="538"/>
      <c r="I28" s="535"/>
      <c r="J28" s="536"/>
      <c r="K28" s="537"/>
      <c r="L28" s="513"/>
    </row>
    <row r="29" spans="2:12" x14ac:dyDescent="0.25">
      <c r="B29" s="539"/>
      <c r="C29" s="2676"/>
      <c r="D29" s="2677"/>
      <c r="E29" s="532"/>
      <c r="F29" s="533"/>
      <c r="G29" s="1228"/>
      <c r="H29" s="538"/>
      <c r="I29" s="535"/>
      <c r="J29" s="536"/>
      <c r="K29" s="537"/>
      <c r="L29" s="513"/>
    </row>
    <row r="30" spans="2:12" x14ac:dyDescent="0.25">
      <c r="B30" s="539"/>
      <c r="C30" s="2676"/>
      <c r="D30" s="2677"/>
      <c r="E30" s="532"/>
      <c r="F30" s="533"/>
      <c r="G30" s="1228"/>
      <c r="H30" s="538"/>
      <c r="I30" s="535"/>
      <c r="J30" s="536"/>
      <c r="K30" s="537"/>
      <c r="L30" s="513"/>
    </row>
    <row r="31" spans="2:12" x14ac:dyDescent="0.25">
      <c r="B31" s="539"/>
      <c r="C31" s="2676"/>
      <c r="D31" s="2677"/>
      <c r="E31" s="532"/>
      <c r="F31" s="533"/>
      <c r="G31" s="1228"/>
      <c r="H31" s="538"/>
      <c r="I31" s="535"/>
      <c r="J31" s="536"/>
      <c r="K31" s="537"/>
      <c r="L31" s="513"/>
    </row>
    <row r="32" spans="2:12" x14ac:dyDescent="0.25">
      <c r="B32" s="521"/>
      <c r="C32" s="2676"/>
      <c r="D32" s="2677"/>
      <c r="E32" s="532"/>
      <c r="F32" s="533"/>
      <c r="G32" s="1228"/>
      <c r="H32" s="538"/>
      <c r="I32" s="535"/>
      <c r="J32" s="536"/>
      <c r="K32" s="537"/>
      <c r="L32" s="513"/>
    </row>
    <row r="33" spans="2:12" x14ac:dyDescent="0.25">
      <c r="B33" s="521"/>
      <c r="C33" s="2676"/>
      <c r="D33" s="2677"/>
      <c r="E33" s="532"/>
      <c r="F33" s="533"/>
      <c r="G33" s="1228"/>
      <c r="H33" s="538"/>
      <c r="I33" s="535"/>
      <c r="J33" s="536"/>
      <c r="K33" s="537"/>
      <c r="L33" s="513"/>
    </row>
    <row r="34" spans="2:12" x14ac:dyDescent="0.25">
      <c r="B34" s="521"/>
      <c r="C34" s="2676"/>
      <c r="D34" s="2677"/>
      <c r="E34" s="532"/>
      <c r="F34" s="533"/>
      <c r="G34" s="1228"/>
      <c r="H34" s="538"/>
      <c r="I34" s="535"/>
      <c r="J34" s="536"/>
      <c r="K34" s="537"/>
      <c r="L34" s="513"/>
    </row>
    <row r="35" spans="2:12" ht="15.75" thickBot="1" x14ac:dyDescent="0.3">
      <c r="B35" s="521"/>
      <c r="C35" s="2678"/>
      <c r="D35" s="2679"/>
      <c r="E35" s="556"/>
      <c r="F35" s="557"/>
      <c r="G35" s="1229"/>
      <c r="H35" s="573"/>
      <c r="I35" s="558"/>
      <c r="J35" s="544"/>
      <c r="K35" s="545"/>
      <c r="L35" s="513"/>
    </row>
    <row r="36" spans="2:12" ht="7.5" customHeight="1" x14ac:dyDescent="0.25">
      <c r="B36" s="515"/>
      <c r="C36" s="555"/>
      <c r="D36" s="555"/>
      <c r="E36" s="574"/>
      <c r="F36" s="574"/>
      <c r="G36" s="574"/>
      <c r="H36" s="574"/>
      <c r="I36" s="574"/>
      <c r="J36" s="574"/>
      <c r="K36" s="574"/>
      <c r="L36" s="517"/>
    </row>
    <row r="37" spans="2:12" ht="16.5" customHeight="1" thickBot="1" x14ac:dyDescent="0.3">
      <c r="B37" s="515"/>
      <c r="C37" s="552" t="s">
        <v>543</v>
      </c>
      <c r="D37" s="552"/>
      <c r="E37" s="552"/>
      <c r="F37" s="552"/>
      <c r="G37" s="552"/>
      <c r="H37" s="552"/>
      <c r="I37" s="518"/>
      <c r="J37" s="518"/>
      <c r="K37" s="518"/>
      <c r="L37" s="517"/>
    </row>
    <row r="38" spans="2:12" ht="36.75" thickBot="1" x14ac:dyDescent="0.3">
      <c r="B38" s="521"/>
      <c r="C38" s="568" t="s">
        <v>539</v>
      </c>
      <c r="D38" s="572"/>
      <c r="E38" s="523" t="s">
        <v>531</v>
      </c>
      <c r="F38" s="570" t="s">
        <v>532</v>
      </c>
      <c r="G38" s="523" t="s">
        <v>534</v>
      </c>
      <c r="H38" s="523" t="s">
        <v>660</v>
      </c>
      <c r="I38" s="523" t="s">
        <v>535</v>
      </c>
      <c r="J38" s="523" t="s">
        <v>540</v>
      </c>
      <c r="K38" s="524" t="s">
        <v>537</v>
      </c>
      <c r="L38" s="513"/>
    </row>
    <row r="39" spans="2:12" x14ac:dyDescent="0.25">
      <c r="B39" s="525"/>
      <c r="C39" s="694"/>
      <c r="D39" s="561"/>
      <c r="E39" s="626"/>
      <c r="F39" s="627"/>
      <c r="G39" s="527"/>
      <c r="H39" s="546"/>
      <c r="I39" s="529"/>
      <c r="J39" s="530"/>
      <c r="K39" s="531"/>
      <c r="L39" s="513"/>
    </row>
    <row r="40" spans="2:12" x14ac:dyDescent="0.25">
      <c r="B40" s="521"/>
      <c r="C40" s="695"/>
      <c r="D40" s="562"/>
      <c r="E40" s="571"/>
      <c r="F40" s="628"/>
      <c r="G40" s="533"/>
      <c r="H40" s="547"/>
      <c r="I40" s="535"/>
      <c r="J40" s="536"/>
      <c r="K40" s="537"/>
      <c r="L40" s="513"/>
    </row>
    <row r="41" spans="2:12" x14ac:dyDescent="0.25">
      <c r="B41" s="521"/>
      <c r="C41" s="692"/>
      <c r="D41" s="563"/>
      <c r="E41" s="571"/>
      <c r="F41" s="628"/>
      <c r="G41" s="533"/>
      <c r="H41" s="548"/>
      <c r="I41" s="535"/>
      <c r="J41" s="536"/>
      <c r="K41" s="537"/>
      <c r="L41" s="513"/>
    </row>
    <row r="42" spans="2:12" x14ac:dyDescent="0.25">
      <c r="B42" s="521"/>
      <c r="C42" s="692"/>
      <c r="D42" s="563"/>
      <c r="E42" s="571"/>
      <c r="F42" s="628"/>
      <c r="G42" s="533"/>
      <c r="H42" s="548"/>
      <c r="I42" s="535"/>
      <c r="J42" s="536"/>
      <c r="K42" s="537"/>
      <c r="L42" s="513"/>
    </row>
    <row r="43" spans="2:12" x14ac:dyDescent="0.25">
      <c r="B43" s="521"/>
      <c r="C43" s="692"/>
      <c r="D43" s="563"/>
      <c r="E43" s="571"/>
      <c r="F43" s="628"/>
      <c r="G43" s="533"/>
      <c r="H43" s="548"/>
      <c r="I43" s="535"/>
      <c r="J43" s="536"/>
      <c r="K43" s="537"/>
      <c r="L43" s="513"/>
    </row>
    <row r="44" spans="2:12" x14ac:dyDescent="0.25">
      <c r="B44" s="521"/>
      <c r="C44" s="692"/>
      <c r="D44" s="563"/>
      <c r="E44" s="571"/>
      <c r="F44" s="628"/>
      <c r="G44" s="533"/>
      <c r="H44" s="548"/>
      <c r="I44" s="535"/>
      <c r="J44" s="536"/>
      <c r="K44" s="537"/>
      <c r="L44" s="513"/>
    </row>
    <row r="45" spans="2:12" x14ac:dyDescent="0.25">
      <c r="B45" s="521"/>
      <c r="C45" s="692"/>
      <c r="D45" s="563"/>
      <c r="E45" s="571"/>
      <c r="F45" s="628"/>
      <c r="G45" s="533"/>
      <c r="H45" s="548"/>
      <c r="I45" s="535"/>
      <c r="J45" s="536"/>
      <c r="K45" s="537"/>
      <c r="L45" s="513"/>
    </row>
    <row r="46" spans="2:12" ht="15.75" thickBot="1" x14ac:dyDescent="0.3">
      <c r="B46" s="521"/>
      <c r="C46" s="693"/>
      <c r="D46" s="564"/>
      <c r="E46" s="629"/>
      <c r="F46" s="630"/>
      <c r="G46" s="557"/>
      <c r="H46" s="558"/>
      <c r="I46" s="558"/>
      <c r="J46" s="544"/>
      <c r="K46" s="545"/>
      <c r="L46" s="513"/>
    </row>
    <row r="47" spans="2:12" ht="9" customHeight="1" thickBot="1" x14ac:dyDescent="0.3">
      <c r="B47" s="549"/>
      <c r="C47" s="559"/>
      <c r="D47" s="559"/>
      <c r="E47" s="550"/>
      <c r="F47" s="550"/>
      <c r="G47" s="550"/>
      <c r="H47" s="550"/>
      <c r="I47" s="550"/>
      <c r="J47" s="550"/>
      <c r="K47" s="550"/>
      <c r="L47" s="551"/>
    </row>
  </sheetData>
  <sheetProtection password="9F6B" sheet="1" objects="1" scenarios="1" formatCells="0" formatColumns="0" formatRows="0" insertRows="0"/>
  <mergeCells count="14">
    <mergeCell ref="D18:I18"/>
    <mergeCell ref="C21:D21"/>
    <mergeCell ref="C34:D34"/>
    <mergeCell ref="C35:D35"/>
    <mergeCell ref="C24:D24"/>
    <mergeCell ref="C25:D25"/>
    <mergeCell ref="C26:D26"/>
    <mergeCell ref="C27:D27"/>
    <mergeCell ref="C28:D28"/>
    <mergeCell ref="C29:D29"/>
    <mergeCell ref="C30:D30"/>
    <mergeCell ref="C31:D31"/>
    <mergeCell ref="C32:D32"/>
    <mergeCell ref="C33:D33"/>
  </mergeCells>
  <dataValidations count="2">
    <dataValidation type="list" allowBlank="1" showInputMessage="1" showErrorMessage="1" sqref="F24:F35 F39:F46">
      <formula1>"NC,R,A"</formula1>
    </dataValidation>
    <dataValidation type="list" allowBlank="1" showInputMessage="1" showErrorMessage="1" sqref="E24:E35 E39:E46">
      <formula1>"MF,SF"</formula1>
    </dataValidation>
  </dataValidations>
  <pageMargins left="0.7" right="0.7" top="0.75" bottom="0.75" header="0.3" footer="0.3"/>
  <pageSetup scale="96" orientation="landscape" r:id="rId1"/>
  <headerFooter>
    <oddFooter>&amp;LForm 9D
Project Development Consultant Experience&amp;CCFA Forms&amp;REdition: 2015
Version: 1.0</odd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5:K25"/>
  <sheetViews>
    <sheetView showGridLines="0" view="pageBreakPreview" zoomScale="60" zoomScaleNormal="100" workbookViewId="0">
      <selection activeCell="G18" sqref="G18"/>
    </sheetView>
  </sheetViews>
  <sheetFormatPr defaultColWidth="9.140625" defaultRowHeight="15" x14ac:dyDescent="0.25"/>
  <cols>
    <col min="1" max="2" width="1.7109375" style="740" customWidth="1"/>
    <col min="3" max="3" width="14.140625" style="740" customWidth="1"/>
    <col min="4" max="4" width="11.42578125" style="740" customWidth="1"/>
    <col min="5" max="5" width="14.28515625" style="740" customWidth="1"/>
    <col min="6" max="6" width="8.5703125" style="740" customWidth="1"/>
    <col min="7" max="7" width="22.85546875" style="740" customWidth="1"/>
    <col min="8" max="9" width="14.28515625" style="740" customWidth="1"/>
    <col min="10" max="10" width="12.85546875" style="740" customWidth="1"/>
    <col min="11" max="11" width="1.7109375" style="740" customWidth="1"/>
    <col min="12" max="16384" width="9.140625" style="740"/>
  </cols>
  <sheetData>
    <row r="5" spans="2:11" ht="19.5" customHeight="1" x14ac:dyDescent="0.25"/>
    <row r="6" spans="2:11" ht="7.5" customHeight="1" thickBot="1" x14ac:dyDescent="0.3">
      <c r="B6" s="1223"/>
      <c r="C6" s="1223"/>
      <c r="D6" s="1223"/>
      <c r="E6" s="1223"/>
      <c r="F6" s="1223"/>
      <c r="G6" s="1223"/>
      <c r="H6" s="1223"/>
      <c r="I6" s="1223"/>
      <c r="J6" s="1223"/>
      <c r="K6" s="1223"/>
    </row>
    <row r="7" spans="2:11" ht="9" customHeight="1" x14ac:dyDescent="0.25">
      <c r="B7" s="575"/>
      <c r="C7" s="509"/>
      <c r="D7" s="509"/>
      <c r="E7" s="509"/>
      <c r="F7" s="509"/>
      <c r="G7" s="509"/>
      <c r="H7" s="509"/>
      <c r="I7" s="509"/>
      <c r="J7" s="509"/>
      <c r="K7" s="511"/>
    </row>
    <row r="8" spans="2:11" ht="18.75" x14ac:dyDescent="0.3">
      <c r="B8" s="576"/>
      <c r="C8" s="1428" t="s">
        <v>1350</v>
      </c>
      <c r="D8" s="1508"/>
      <c r="E8" s="1508"/>
      <c r="F8" s="1508"/>
      <c r="G8" s="1508"/>
      <c r="H8" s="1508"/>
      <c r="I8" s="1508"/>
      <c r="J8" s="1508"/>
      <c r="K8" s="513"/>
    </row>
    <row r="9" spans="2:11" x14ac:dyDescent="0.25">
      <c r="B9" s="576"/>
      <c r="C9" s="514"/>
      <c r="D9" s="514"/>
      <c r="E9" s="514"/>
      <c r="F9" s="514"/>
      <c r="G9" s="514"/>
      <c r="H9" s="514"/>
      <c r="I9" s="514"/>
      <c r="J9" s="514"/>
      <c r="K9" s="513"/>
    </row>
    <row r="10" spans="2:11" x14ac:dyDescent="0.25">
      <c r="B10" s="515"/>
      <c r="C10" s="297" t="s">
        <v>1</v>
      </c>
      <c r="D10" s="2394" t="str">
        <f>IF('1A'!G5="","Enter Project Name on Form 1A",'1A'!G5)</f>
        <v xml:space="preserve">Building 9 </v>
      </c>
      <c r="E10" s="2394"/>
      <c r="F10" s="2394"/>
      <c r="G10" s="2394"/>
      <c r="H10" s="1230"/>
      <c r="I10" s="978"/>
      <c r="J10" s="1230"/>
      <c r="K10" s="517"/>
    </row>
    <row r="11" spans="2:11" x14ac:dyDescent="0.25">
      <c r="B11" s="521"/>
      <c r="C11" s="514"/>
      <c r="D11" s="507"/>
      <c r="E11" s="1224"/>
      <c r="F11" s="1224"/>
      <c r="G11" s="1224"/>
      <c r="H11" s="1224"/>
      <c r="I11" s="577"/>
      <c r="J11" s="577"/>
      <c r="K11" s="554"/>
    </row>
    <row r="12" spans="2:11" x14ac:dyDescent="0.25">
      <c r="B12" s="521"/>
      <c r="C12" s="2674" t="s">
        <v>544</v>
      </c>
      <c r="D12" s="2675"/>
      <c r="E12" s="2690" t="str">
        <f>IF('9A'!D55="","Enter Property Management Firm Name on Form 9A",'9A'!D55)</f>
        <v>Mercy Housing Management Group</v>
      </c>
      <c r="F12" s="2690"/>
      <c r="G12" s="2690"/>
      <c r="H12" s="2690"/>
      <c r="I12" s="2690"/>
      <c r="J12" s="2691"/>
      <c r="K12" s="554"/>
    </row>
    <row r="13" spans="2:11" ht="15.75" thickBot="1" x14ac:dyDescent="0.3">
      <c r="B13" s="521"/>
      <c r="C13" s="574"/>
      <c r="D13" s="574"/>
      <c r="E13" s="574"/>
      <c r="F13" s="1224"/>
      <c r="G13" s="1224"/>
      <c r="H13" s="1224"/>
      <c r="I13" s="1224"/>
      <c r="J13" s="1224"/>
      <c r="K13" s="513"/>
    </row>
    <row r="14" spans="2:11" ht="36.75" thickBot="1" x14ac:dyDescent="0.3">
      <c r="B14" s="521"/>
      <c r="C14" s="568" t="s">
        <v>545</v>
      </c>
      <c r="D14" s="569"/>
      <c r="E14" s="523" t="s">
        <v>534</v>
      </c>
      <c r="F14" s="523" t="s">
        <v>660</v>
      </c>
      <c r="G14" s="523" t="s">
        <v>546</v>
      </c>
      <c r="H14" s="523" t="s">
        <v>547</v>
      </c>
      <c r="I14" s="523" t="s">
        <v>661</v>
      </c>
      <c r="J14" s="524" t="s">
        <v>662</v>
      </c>
      <c r="K14" s="513"/>
    </row>
    <row r="15" spans="2:11" ht="64.5" x14ac:dyDescent="0.25">
      <c r="B15" s="525"/>
      <c r="C15" s="2692" t="s">
        <v>1490</v>
      </c>
      <c r="D15" s="2693"/>
      <c r="E15" s="581" t="s">
        <v>1491</v>
      </c>
      <c r="F15" s="578" t="s">
        <v>1492</v>
      </c>
      <c r="G15" s="578" t="s">
        <v>721</v>
      </c>
      <c r="H15" s="578" t="s">
        <v>1477</v>
      </c>
      <c r="I15" s="578" t="s">
        <v>1512</v>
      </c>
      <c r="J15" s="531" t="s">
        <v>1527</v>
      </c>
      <c r="K15" s="513"/>
    </row>
    <row r="16" spans="2:11" ht="51.75" x14ac:dyDescent="0.25">
      <c r="B16" s="521"/>
      <c r="C16" s="2688" t="s">
        <v>1513</v>
      </c>
      <c r="D16" s="2689"/>
      <c r="E16" s="582" t="s">
        <v>1475</v>
      </c>
      <c r="F16" s="579" t="s">
        <v>1484</v>
      </c>
      <c r="G16" s="579" t="s">
        <v>711</v>
      </c>
      <c r="H16" s="579" t="s">
        <v>1467</v>
      </c>
      <c r="I16" s="579" t="s">
        <v>1512</v>
      </c>
      <c r="J16" s="537" t="s">
        <v>1526</v>
      </c>
      <c r="K16" s="513"/>
    </row>
    <row r="17" spans="2:11" ht="51.75" x14ac:dyDescent="0.25">
      <c r="B17" s="521"/>
      <c r="C17" s="2684" t="s">
        <v>1514</v>
      </c>
      <c r="D17" s="2685"/>
      <c r="E17" s="582" t="s">
        <v>1515</v>
      </c>
      <c r="F17" s="579" t="s">
        <v>1516</v>
      </c>
      <c r="G17" s="579" t="s">
        <v>721</v>
      </c>
      <c r="H17" s="579" t="s">
        <v>1473</v>
      </c>
      <c r="I17" s="579" t="s">
        <v>1512</v>
      </c>
      <c r="J17" s="537" t="s">
        <v>1525</v>
      </c>
      <c r="K17" s="513"/>
    </row>
    <row r="18" spans="2:11" ht="26.25" x14ac:dyDescent="0.25">
      <c r="B18" s="521"/>
      <c r="C18" s="2684" t="s">
        <v>1450</v>
      </c>
      <c r="D18" s="2685"/>
      <c r="E18" s="582" t="s">
        <v>1517</v>
      </c>
      <c r="F18" s="579" t="s">
        <v>1454</v>
      </c>
      <c r="G18" s="579" t="s">
        <v>711</v>
      </c>
      <c r="H18" s="579" t="s">
        <v>1456</v>
      </c>
      <c r="I18" s="579" t="s">
        <v>1512</v>
      </c>
      <c r="J18" s="537" t="s">
        <v>1524</v>
      </c>
      <c r="K18" s="513"/>
    </row>
    <row r="19" spans="2:11" ht="39" x14ac:dyDescent="0.25">
      <c r="B19" s="521"/>
      <c r="C19" s="2684" t="s">
        <v>1518</v>
      </c>
      <c r="D19" s="2685"/>
      <c r="E19" s="582" t="s">
        <v>1519</v>
      </c>
      <c r="F19" s="579" t="s">
        <v>1460</v>
      </c>
      <c r="G19" s="579" t="s">
        <v>721</v>
      </c>
      <c r="H19" s="579" t="s">
        <v>1456</v>
      </c>
      <c r="I19" s="579" t="s">
        <v>1512</v>
      </c>
      <c r="J19" s="537" t="s">
        <v>1523</v>
      </c>
      <c r="K19" s="513"/>
    </row>
    <row r="20" spans="2:11" ht="51.75" x14ac:dyDescent="0.25">
      <c r="B20" s="539"/>
      <c r="C20" s="2684" t="s">
        <v>1474</v>
      </c>
      <c r="D20" s="2685"/>
      <c r="E20" s="582" t="s">
        <v>1475</v>
      </c>
      <c r="F20" s="579" t="s">
        <v>1520</v>
      </c>
      <c r="G20" s="579" t="s">
        <v>711</v>
      </c>
      <c r="H20" s="579" t="s">
        <v>1455</v>
      </c>
      <c r="I20" s="579" t="s">
        <v>1512</v>
      </c>
      <c r="J20" s="537" t="s">
        <v>1522</v>
      </c>
      <c r="K20" s="513"/>
    </row>
    <row r="21" spans="2:11" ht="64.5" x14ac:dyDescent="0.25">
      <c r="B21" s="539"/>
      <c r="C21" s="2684" t="s">
        <v>1521</v>
      </c>
      <c r="D21" s="2685"/>
      <c r="E21" s="582" t="s">
        <v>1496</v>
      </c>
      <c r="F21" s="579" t="s">
        <v>1497</v>
      </c>
      <c r="G21" s="579" t="s">
        <v>711</v>
      </c>
      <c r="H21" s="579" t="s">
        <v>1493</v>
      </c>
      <c r="I21" s="579" t="s">
        <v>1512</v>
      </c>
      <c r="J21" s="537" t="s">
        <v>1498</v>
      </c>
      <c r="K21" s="513"/>
    </row>
    <row r="22" spans="2:11" x14ac:dyDescent="0.25">
      <c r="B22" s="539"/>
      <c r="C22" s="2684"/>
      <c r="D22" s="2685"/>
      <c r="E22" s="582"/>
      <c r="F22" s="579"/>
      <c r="G22" s="579"/>
      <c r="H22" s="579"/>
      <c r="I22" s="579"/>
      <c r="J22" s="537"/>
      <c r="K22" s="513"/>
    </row>
    <row r="23" spans="2:11" x14ac:dyDescent="0.25">
      <c r="B23" s="521"/>
      <c r="C23" s="2684"/>
      <c r="D23" s="2685"/>
      <c r="E23" s="582"/>
      <c r="F23" s="579"/>
      <c r="G23" s="579"/>
      <c r="H23" s="579"/>
      <c r="I23" s="579"/>
      <c r="J23" s="537"/>
      <c r="K23" s="513"/>
    </row>
    <row r="24" spans="2:11" ht="15.75" thickBot="1" x14ac:dyDescent="0.3">
      <c r="B24" s="521"/>
      <c r="C24" s="2686"/>
      <c r="D24" s="2687"/>
      <c r="E24" s="583"/>
      <c r="F24" s="580"/>
      <c r="G24" s="580"/>
      <c r="H24" s="580"/>
      <c r="I24" s="580"/>
      <c r="J24" s="545"/>
      <c r="K24" s="513"/>
    </row>
    <row r="25" spans="2:11" ht="9" customHeight="1" thickBot="1" x14ac:dyDescent="0.3">
      <c r="B25" s="549"/>
      <c r="C25" s="550"/>
      <c r="D25" s="550"/>
      <c r="E25" s="550"/>
      <c r="F25" s="550"/>
      <c r="G25" s="550"/>
      <c r="H25" s="550"/>
      <c r="I25" s="550"/>
      <c r="J25" s="550"/>
      <c r="K25" s="551"/>
    </row>
  </sheetData>
  <sheetProtection password="9F6B" sheet="1" objects="1" scenarios="1" formatCells="0" formatColumns="0" formatRows="0" insertRows="0"/>
  <mergeCells count="13">
    <mergeCell ref="E12:J12"/>
    <mergeCell ref="D10:G10"/>
    <mergeCell ref="C12:D12"/>
    <mergeCell ref="C15:D15"/>
    <mergeCell ref="C21:D21"/>
    <mergeCell ref="C22:D22"/>
    <mergeCell ref="C23:D23"/>
    <mergeCell ref="C24:D24"/>
    <mergeCell ref="C16:D16"/>
    <mergeCell ref="C17:D17"/>
    <mergeCell ref="C18:D18"/>
    <mergeCell ref="C19:D19"/>
    <mergeCell ref="C20:D20"/>
  </mergeCells>
  <dataValidations count="1">
    <dataValidation type="list" allowBlank="1" showInputMessage="1" showErrorMessage="1" sqref="G15:G24">
      <formula1>Population_Types</formula1>
    </dataValidation>
  </dataValidations>
  <pageMargins left="0.7" right="0.7" top="0.75" bottom="0.75" header="0.3" footer="0.3"/>
  <pageSetup scale="95" orientation="landscape" r:id="rId1"/>
  <headerFooter>
    <oddFooter>&amp;LForm 9E
Project Property Management Firm Experience&amp;CCFA Forms&amp;REdition: 2015
Version: 1.0</oddFooter>
  </headerFooter>
  <drawing r:id="rId2"/>
  <legacy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P163"/>
  <sheetViews>
    <sheetView showGridLines="0" view="pageBreakPreview" zoomScale="90" zoomScaleNormal="100" zoomScaleSheetLayoutView="90" workbookViewId="0">
      <selection activeCell="R18" sqref="R18"/>
    </sheetView>
  </sheetViews>
  <sheetFormatPr defaultColWidth="13.7109375" defaultRowHeight="15" x14ac:dyDescent="0.25"/>
  <cols>
    <col min="1" max="2" width="1.7109375" style="735" customWidth="1"/>
    <col min="3" max="5" width="2.85546875" style="735" customWidth="1"/>
    <col min="6" max="6" width="11.42578125" style="735" customWidth="1"/>
    <col min="7" max="7" width="8.5703125" style="735" customWidth="1"/>
    <col min="8" max="8" width="11.42578125" style="735" customWidth="1"/>
    <col min="9" max="9" width="12.85546875" style="735" customWidth="1"/>
    <col min="10" max="10" width="10" style="735" customWidth="1"/>
    <col min="11" max="11" width="7.140625" style="735" customWidth="1"/>
    <col min="12" max="12" width="15.7109375" style="735" customWidth="1"/>
    <col min="13" max="13" width="11.42578125" style="735" customWidth="1"/>
    <col min="14" max="14" width="8.5703125" style="735" customWidth="1"/>
    <col min="15" max="16" width="1.7109375" style="735" customWidth="1"/>
    <col min="17" max="16384" width="13.7109375" style="735"/>
  </cols>
  <sheetData>
    <row r="12" spans="2:15" ht="21.75" customHeight="1" thickBot="1" x14ac:dyDescent="0.3"/>
    <row r="13" spans="2:15" x14ac:dyDescent="0.25">
      <c r="B13" s="1234"/>
      <c r="C13" s="1235"/>
      <c r="D13" s="1235"/>
      <c r="E13" s="1235"/>
      <c r="F13" s="1235"/>
      <c r="G13" s="1235"/>
      <c r="H13" s="1235"/>
      <c r="I13" s="1235"/>
      <c r="J13" s="1235"/>
      <c r="K13" s="1235"/>
      <c r="L13" s="1235"/>
      <c r="M13" s="1235"/>
      <c r="N13" s="1235"/>
      <c r="O13" s="1236"/>
    </row>
    <row r="14" spans="2:15" ht="18.75" x14ac:dyDescent="0.3">
      <c r="B14" s="1237"/>
      <c r="C14" s="2323" t="s">
        <v>548</v>
      </c>
      <c r="D14" s="2323"/>
      <c r="E14" s="2323"/>
      <c r="F14" s="2323"/>
      <c r="G14" s="2323"/>
      <c r="H14" s="2323"/>
      <c r="I14" s="2323"/>
      <c r="J14" s="2323"/>
      <c r="K14" s="2323"/>
      <c r="L14" s="2323"/>
      <c r="M14" s="2323"/>
      <c r="N14" s="2323"/>
      <c r="O14" s="1238"/>
    </row>
    <row r="15" spans="2:15" x14ac:dyDescent="0.25">
      <c r="B15" s="1237"/>
      <c r="C15" s="1008"/>
      <c r="D15" s="1008"/>
      <c r="E15" s="1008"/>
      <c r="F15" s="1008"/>
      <c r="G15" s="1008"/>
      <c r="H15" s="1008"/>
      <c r="I15" s="1008"/>
      <c r="J15" s="1008"/>
      <c r="K15" s="1008"/>
      <c r="L15" s="1008"/>
      <c r="M15" s="1008"/>
      <c r="N15" s="1008"/>
      <c r="O15" s="1238"/>
    </row>
    <row r="16" spans="2:15" x14ac:dyDescent="0.25">
      <c r="B16" s="1237"/>
      <c r="C16" s="714"/>
      <c r="D16" s="1126" t="s">
        <v>328</v>
      </c>
      <c r="E16" s="979"/>
      <c r="F16" s="979"/>
      <c r="G16" s="978" t="str">
        <f>IF('1A'!G5="","Enter Project Name on Form 1A",'1A'!G5)</f>
        <v xml:space="preserve">Building 9 </v>
      </c>
      <c r="H16" s="978"/>
      <c r="I16" s="978"/>
      <c r="J16" s="978"/>
      <c r="K16" s="978"/>
      <c r="L16" s="978"/>
      <c r="M16" s="978"/>
      <c r="N16" s="1008"/>
      <c r="O16" s="1238"/>
    </row>
    <row r="17" spans="2:16" ht="30" customHeight="1" x14ac:dyDescent="0.25">
      <c r="B17" s="1237"/>
      <c r="C17" s="1038"/>
      <c r="D17" s="1038"/>
      <c r="E17" s="1038"/>
      <c r="F17" s="1038"/>
      <c r="G17" s="714"/>
      <c r="H17" s="1038"/>
      <c r="I17" s="1038"/>
      <c r="J17" s="1038"/>
      <c r="K17" s="1038"/>
      <c r="L17" s="1038"/>
      <c r="M17" s="1239"/>
      <c r="N17" s="1240" t="s">
        <v>549</v>
      </c>
      <c r="O17" s="1238"/>
      <c r="P17" s="296"/>
    </row>
    <row r="18" spans="2:16" x14ac:dyDescent="0.25">
      <c r="B18" s="1237"/>
      <c r="C18" s="185">
        <v>1</v>
      </c>
      <c r="D18" s="1241" t="s">
        <v>664</v>
      </c>
      <c r="E18" s="1241"/>
      <c r="F18" s="1242"/>
      <c r="G18" s="1243"/>
      <c r="H18" s="1243"/>
      <c r="I18" s="1243"/>
      <c r="J18" s="1243"/>
      <c r="K18" s="1243"/>
      <c r="L18" s="1243"/>
      <c r="M18" s="1244"/>
      <c r="N18" s="1231">
        <v>60</v>
      </c>
      <c r="O18" s="1238"/>
      <c r="P18" s="736"/>
    </row>
    <row r="19" spans="2:16" ht="3.75" customHeight="1" x14ac:dyDescent="0.25">
      <c r="B19" s="1237"/>
      <c r="C19" s="1038"/>
      <c r="D19" s="599"/>
      <c r="E19" s="599"/>
      <c r="F19" s="1039"/>
      <c r="G19" s="599"/>
      <c r="H19" s="599"/>
      <c r="I19" s="599"/>
      <c r="J19" s="599"/>
      <c r="K19" s="599"/>
      <c r="L19" s="599"/>
      <c r="M19" s="599"/>
      <c r="N19" s="599"/>
      <c r="O19" s="1238"/>
      <c r="P19" s="296"/>
    </row>
    <row r="20" spans="2:16" x14ac:dyDescent="0.25">
      <c r="B20" s="1237"/>
      <c r="C20" s="1038"/>
      <c r="D20" s="2704" t="s">
        <v>550</v>
      </c>
      <c r="E20" s="2704"/>
      <c r="F20" s="2704"/>
      <c r="G20" s="2704"/>
      <c r="H20" s="2704"/>
      <c r="I20" s="2704"/>
      <c r="J20" s="2704"/>
      <c r="K20" s="2704"/>
      <c r="L20" s="2704"/>
      <c r="M20" s="2704"/>
      <c r="N20" s="599"/>
      <c r="O20" s="1238"/>
      <c r="P20" s="296"/>
    </row>
    <row r="21" spans="2:16" x14ac:dyDescent="0.25">
      <c r="B21" s="1237"/>
      <c r="C21" s="1038"/>
      <c r="D21" s="599"/>
      <c r="E21" s="185"/>
      <c r="F21" s="1245" t="s">
        <v>551</v>
      </c>
      <c r="G21" s="1008"/>
      <c r="H21" s="1008"/>
      <c r="I21" s="2703" t="s">
        <v>840</v>
      </c>
      <c r="J21" s="2703"/>
      <c r="K21" s="2703"/>
      <c r="L21" s="2703"/>
      <c r="M21" s="2703"/>
      <c r="N21" s="979"/>
      <c r="O21" s="1238"/>
      <c r="P21" s="296"/>
    </row>
    <row r="22" spans="2:16" x14ac:dyDescent="0.25">
      <c r="B22" s="1237"/>
      <c r="C22" s="1038"/>
      <c r="D22" s="599"/>
      <c r="E22" s="185"/>
      <c r="F22" s="1246" t="s">
        <v>553</v>
      </c>
      <c r="G22" s="1008"/>
      <c r="H22" s="1008"/>
      <c r="I22" s="2703"/>
      <c r="J22" s="2703"/>
      <c r="K22" s="2703"/>
      <c r="L22" s="2703"/>
      <c r="M22" s="2703"/>
      <c r="N22" s="979"/>
      <c r="O22" s="1238"/>
      <c r="P22" s="296"/>
    </row>
    <row r="23" spans="2:16" ht="7.5" customHeight="1" x14ac:dyDescent="0.25">
      <c r="B23" s="1247"/>
      <c r="C23" s="1126"/>
      <c r="D23" s="1126"/>
      <c r="E23" s="1126"/>
      <c r="F23" s="1248"/>
      <c r="G23" s="1248"/>
      <c r="H23" s="1248"/>
      <c r="I23" s="1248"/>
      <c r="J23" s="1248"/>
      <c r="K23" s="1248"/>
      <c r="L23" s="1248"/>
      <c r="M23" s="1248"/>
      <c r="N23" s="1126"/>
      <c r="O23" s="1249"/>
    </row>
    <row r="24" spans="2:16" x14ac:dyDescent="0.25">
      <c r="B24" s="1237"/>
      <c r="C24" s="1038"/>
      <c r="D24" s="1038"/>
      <c r="E24" s="185"/>
      <c r="F24" s="1250" t="s">
        <v>555</v>
      </c>
      <c r="G24" s="1038"/>
      <c r="H24" s="1038"/>
      <c r="I24" s="2703" t="s">
        <v>807</v>
      </c>
      <c r="J24" s="2703"/>
      <c r="K24" s="2703"/>
      <c r="L24" s="2703"/>
      <c r="M24" s="2703"/>
      <c r="N24" s="979"/>
      <c r="O24" s="1238"/>
      <c r="P24" s="296"/>
    </row>
    <row r="25" spans="2:16" x14ac:dyDescent="0.25">
      <c r="B25" s="1237"/>
      <c r="C25" s="1038"/>
      <c r="D25" s="599"/>
      <c r="E25" s="185"/>
      <c r="F25" s="1246" t="s">
        <v>553</v>
      </c>
      <c r="G25" s="1008"/>
      <c r="H25" s="1008"/>
      <c r="I25" s="2703" t="s">
        <v>1528</v>
      </c>
      <c r="J25" s="2703"/>
      <c r="K25" s="2703"/>
      <c r="L25" s="2703"/>
      <c r="M25" s="2703"/>
      <c r="N25" s="979"/>
      <c r="O25" s="1238"/>
      <c r="P25" s="296"/>
    </row>
    <row r="26" spans="2:16" x14ac:dyDescent="0.25">
      <c r="B26" s="1237"/>
      <c r="C26" s="1038"/>
      <c r="D26" s="1038"/>
      <c r="E26" s="185"/>
      <c r="F26" s="1038"/>
      <c r="G26" s="1038"/>
      <c r="H26" s="1038"/>
      <c r="I26" s="1038"/>
      <c r="J26" s="1038"/>
      <c r="K26" s="1038"/>
      <c r="L26" s="1038"/>
      <c r="M26" s="1038"/>
      <c r="N26" s="1038"/>
      <c r="O26" s="1238"/>
      <c r="P26" s="296"/>
    </row>
    <row r="27" spans="2:16" x14ac:dyDescent="0.25">
      <c r="B27" s="1237"/>
      <c r="C27" s="185">
        <v>2</v>
      </c>
      <c r="D27" s="1241" t="s">
        <v>665</v>
      </c>
      <c r="E27" s="1241"/>
      <c r="F27" s="1242"/>
      <c r="G27" s="1243"/>
      <c r="H27" s="1243"/>
      <c r="I27" s="1243"/>
      <c r="J27" s="1243"/>
      <c r="K27" s="1243"/>
      <c r="L27" s="1243"/>
      <c r="M27" s="1244"/>
      <c r="N27" s="1231">
        <v>44</v>
      </c>
      <c r="O27" s="1238"/>
      <c r="P27" s="736"/>
    </row>
    <row r="28" spans="2:16" ht="3.75" customHeight="1" x14ac:dyDescent="0.25">
      <c r="B28" s="1237"/>
      <c r="C28" s="1038"/>
      <c r="D28" s="599"/>
      <c r="E28" s="599"/>
      <c r="F28" s="1039"/>
      <c r="G28" s="599"/>
      <c r="H28" s="599"/>
      <c r="I28" s="599"/>
      <c r="J28" s="599"/>
      <c r="K28" s="599"/>
      <c r="L28" s="599"/>
      <c r="M28" s="1251"/>
      <c r="N28" s="599"/>
      <c r="O28" s="1238"/>
      <c r="P28" s="296"/>
    </row>
    <row r="29" spans="2:16" x14ac:dyDescent="0.25">
      <c r="B29" s="1237"/>
      <c r="C29" s="1038"/>
      <c r="D29" s="2704" t="s">
        <v>557</v>
      </c>
      <c r="E29" s="2704"/>
      <c r="F29" s="2704"/>
      <c r="G29" s="2704"/>
      <c r="H29" s="2704"/>
      <c r="I29" s="2704"/>
      <c r="J29" s="2704"/>
      <c r="K29" s="2704"/>
      <c r="L29" s="2704"/>
      <c r="M29" s="2704"/>
      <c r="N29" s="1038"/>
      <c r="O29" s="1238"/>
      <c r="P29" s="296"/>
    </row>
    <row r="30" spans="2:16" ht="7.5" customHeight="1" x14ac:dyDescent="0.25">
      <c r="B30" s="1237"/>
      <c r="C30" s="1038"/>
      <c r="D30" s="1039"/>
      <c r="E30" s="1039"/>
      <c r="F30" s="1038"/>
      <c r="G30" s="1038"/>
      <c r="H30" s="1038"/>
      <c r="I30" s="1038"/>
      <c r="J30" s="1038"/>
      <c r="K30" s="1038"/>
      <c r="L30" s="1038"/>
      <c r="M30" s="1038"/>
      <c r="N30" s="1038"/>
      <c r="O30" s="1238"/>
      <c r="P30" s="296"/>
    </row>
    <row r="31" spans="2:16" x14ac:dyDescent="0.25">
      <c r="B31" s="1237"/>
      <c r="C31" s="1038"/>
      <c r="D31" s="1038"/>
      <c r="E31" s="1038"/>
      <c r="F31" s="2694" t="s">
        <v>690</v>
      </c>
      <c r="G31" s="2694"/>
      <c r="H31" s="599"/>
      <c r="I31" s="1245"/>
      <c r="J31" s="1252"/>
      <c r="K31" s="1253"/>
      <c r="L31" s="1038"/>
      <c r="M31" s="1038"/>
      <c r="N31" s="1038"/>
      <c r="O31" s="1238"/>
    </row>
    <row r="32" spans="2:16" x14ac:dyDescent="0.25">
      <c r="B32" s="1237"/>
      <c r="C32" s="1038"/>
      <c r="D32" s="1038"/>
      <c r="E32" s="1038"/>
      <c r="F32" s="1038"/>
      <c r="G32" s="1038"/>
      <c r="H32" s="1038"/>
      <c r="I32" s="1038"/>
      <c r="J32" s="1038"/>
      <c r="K32" s="1038"/>
      <c r="L32" s="1038"/>
      <c r="M32" s="1038"/>
      <c r="N32" s="1038"/>
      <c r="O32" s="1238"/>
    </row>
    <row r="33" spans="2:15" s="1232" customFormat="1" x14ac:dyDescent="0.25">
      <c r="B33" s="1254"/>
      <c r="C33" s="185">
        <v>3</v>
      </c>
      <c r="D33" s="1241" t="s">
        <v>666</v>
      </c>
      <c r="E33" s="1241"/>
      <c r="F33" s="1255"/>
      <c r="G33" s="1243"/>
      <c r="H33" s="1243"/>
      <c r="I33" s="1243"/>
      <c r="J33" s="1243"/>
      <c r="K33" s="1243"/>
      <c r="L33" s="1243"/>
      <c r="M33" s="1244"/>
      <c r="N33" s="1231">
        <v>20</v>
      </c>
      <c r="O33" s="1256"/>
    </row>
    <row r="34" spans="2:15" ht="3.75" customHeight="1" x14ac:dyDescent="0.25">
      <c r="B34" s="1237"/>
      <c r="C34" s="1038"/>
      <c r="D34" s="599"/>
      <c r="E34" s="599"/>
      <c r="F34" s="1039"/>
      <c r="G34" s="599"/>
      <c r="H34" s="599"/>
      <c r="I34" s="599"/>
      <c r="J34" s="599"/>
      <c r="K34" s="599"/>
      <c r="L34" s="599"/>
      <c r="M34" s="599"/>
      <c r="N34" s="599"/>
      <c r="O34" s="1238"/>
    </row>
    <row r="35" spans="2:15" ht="30" customHeight="1" x14ac:dyDescent="0.25">
      <c r="B35" s="1237"/>
      <c r="C35" s="1038"/>
      <c r="D35" s="2695" t="s">
        <v>559</v>
      </c>
      <c r="E35" s="2695"/>
      <c r="F35" s="2695"/>
      <c r="G35" s="2695"/>
      <c r="H35" s="2695"/>
      <c r="I35" s="2695"/>
      <c r="J35" s="2695"/>
      <c r="K35" s="2695"/>
      <c r="L35" s="2695"/>
      <c r="M35" s="2695"/>
      <c r="N35" s="1257"/>
      <c r="O35" s="1258"/>
    </row>
    <row r="36" spans="2:15" ht="7.5" customHeight="1" x14ac:dyDescent="0.25">
      <c r="B36" s="1237"/>
      <c r="C36" s="1038"/>
      <c r="D36" s="1038"/>
      <c r="E36" s="1038"/>
      <c r="F36" s="1257"/>
      <c r="G36" s="1257"/>
      <c r="H36" s="1257"/>
      <c r="I36" s="1257"/>
      <c r="J36" s="1039" t="s">
        <v>324</v>
      </c>
      <c r="K36" s="1257"/>
      <c r="L36" s="1257"/>
      <c r="M36" s="1257"/>
      <c r="N36" s="1257"/>
      <c r="O36" s="1258"/>
    </row>
    <row r="37" spans="2:15" x14ac:dyDescent="0.25">
      <c r="B37" s="1237"/>
      <c r="C37" s="1038"/>
      <c r="D37" s="714"/>
      <c r="E37" s="297" t="s">
        <v>692</v>
      </c>
      <c r="F37" s="1038"/>
      <c r="G37" s="1245"/>
      <c r="H37" s="1245"/>
      <c r="I37" s="1245"/>
      <c r="J37" s="1245"/>
      <c r="K37" s="1245"/>
      <c r="L37" s="1038"/>
      <c r="M37" s="1038"/>
      <c r="N37" s="1038"/>
      <c r="O37" s="1238"/>
    </row>
    <row r="38" spans="2:15" x14ac:dyDescent="0.25">
      <c r="B38" s="1237"/>
      <c r="C38" s="1038"/>
      <c r="D38" s="1038"/>
      <c r="E38" s="1038"/>
      <c r="F38" s="2696" t="s">
        <v>558</v>
      </c>
      <c r="G38" s="2696"/>
      <c r="H38" s="2696"/>
      <c r="I38" s="2696"/>
      <c r="J38" s="2696"/>
      <c r="K38" s="2696"/>
      <c r="L38" s="2696"/>
      <c r="M38" s="2696"/>
      <c r="N38" s="1245"/>
      <c r="O38" s="1238"/>
    </row>
    <row r="39" spans="2:15" x14ac:dyDescent="0.25">
      <c r="B39" s="1237"/>
      <c r="C39" s="1038"/>
      <c r="D39" s="1038"/>
      <c r="E39" s="1038"/>
      <c r="F39" s="1259"/>
      <c r="G39" s="1259"/>
      <c r="H39" s="1259"/>
      <c r="I39" s="1259"/>
      <c r="J39" s="1259"/>
      <c r="K39" s="1259"/>
      <c r="L39" s="1259"/>
      <c r="M39" s="1259"/>
      <c r="N39" s="1259"/>
      <c r="O39" s="1238"/>
    </row>
    <row r="40" spans="2:15" x14ac:dyDescent="0.25">
      <c r="B40" s="1237"/>
      <c r="C40" s="1038"/>
      <c r="D40" s="714"/>
      <c r="E40" s="297" t="s">
        <v>693</v>
      </c>
      <c r="F40" s="1038"/>
      <c r="G40" s="1245"/>
      <c r="H40" s="1245"/>
      <c r="I40" s="1245"/>
      <c r="J40" s="1245"/>
      <c r="K40" s="1245"/>
      <c r="L40" s="1038"/>
      <c r="M40" s="1038"/>
      <c r="N40" s="1038"/>
      <c r="O40" s="1238"/>
    </row>
    <row r="41" spans="2:15" x14ac:dyDescent="0.25">
      <c r="B41" s="1237"/>
      <c r="C41" s="1038"/>
      <c r="D41" s="1038"/>
      <c r="E41" s="1038"/>
      <c r="F41" s="2696" t="s">
        <v>913</v>
      </c>
      <c r="G41" s="2696"/>
      <c r="H41" s="2696"/>
      <c r="I41" s="2696"/>
      <c r="J41" s="2696"/>
      <c r="K41" s="2696"/>
      <c r="L41" s="2696"/>
      <c r="M41" s="2696"/>
      <c r="N41" s="1245"/>
      <c r="O41" s="1238"/>
    </row>
    <row r="42" spans="2:15" ht="7.5" customHeight="1" x14ac:dyDescent="0.25">
      <c r="B42" s="1237"/>
      <c r="C42" s="1038"/>
      <c r="D42" s="1038"/>
      <c r="E42" s="1038"/>
      <c r="F42" s="1260"/>
      <c r="G42" s="1261"/>
      <c r="H42" s="1261"/>
      <c r="I42" s="1261"/>
      <c r="J42" s="1261"/>
      <c r="K42" s="1261"/>
      <c r="L42" s="1260"/>
      <c r="M42" s="1260"/>
      <c r="N42" s="1260"/>
      <c r="O42" s="1238"/>
    </row>
    <row r="43" spans="2:15" x14ac:dyDescent="0.25">
      <c r="B43" s="1237"/>
      <c r="C43" s="1038"/>
      <c r="D43" s="1038"/>
      <c r="E43" s="1038"/>
      <c r="F43" s="2696" t="s">
        <v>914</v>
      </c>
      <c r="G43" s="2696"/>
      <c r="H43" s="2696"/>
      <c r="I43" s="2696"/>
      <c r="J43" s="2696"/>
      <c r="K43" s="2696"/>
      <c r="L43" s="2696"/>
      <c r="M43" s="2696"/>
      <c r="N43" s="1245"/>
      <c r="O43" s="1238"/>
    </row>
    <row r="44" spans="2:15" x14ac:dyDescent="0.25">
      <c r="B44" s="1237"/>
      <c r="C44" s="1038"/>
      <c r="D44" s="1038"/>
      <c r="E44" s="1038"/>
      <c r="F44" s="1259"/>
      <c r="G44" s="1259"/>
      <c r="H44" s="1038"/>
      <c r="I44" s="1259"/>
      <c r="J44" s="1259"/>
      <c r="K44" s="1259"/>
      <c r="L44" s="1259"/>
      <c r="M44" s="1262"/>
      <c r="N44" s="1259"/>
      <c r="O44" s="1238"/>
    </row>
    <row r="45" spans="2:15" x14ac:dyDescent="0.25">
      <c r="B45" s="1237"/>
      <c r="C45" s="185">
        <v>4</v>
      </c>
      <c r="D45" s="1241" t="s">
        <v>667</v>
      </c>
      <c r="E45" s="1241"/>
      <c r="F45" s="1242"/>
      <c r="G45" s="1243"/>
      <c r="H45" s="1243"/>
      <c r="I45" s="1243"/>
      <c r="J45" s="1243"/>
      <c r="K45" s="1243"/>
      <c r="L45" s="1243"/>
      <c r="M45" s="1244"/>
      <c r="N45" s="1231">
        <v>5</v>
      </c>
      <c r="O45" s="1238"/>
    </row>
    <row r="46" spans="2:15" ht="3.75" customHeight="1" x14ac:dyDescent="0.25">
      <c r="B46" s="1237"/>
      <c r="C46" s="1038"/>
      <c r="D46" s="599"/>
      <c r="E46" s="599"/>
      <c r="F46" s="1039"/>
      <c r="G46" s="599"/>
      <c r="H46" s="599"/>
      <c r="I46" s="599"/>
      <c r="J46" s="599"/>
      <c r="K46" s="599"/>
      <c r="L46" s="599"/>
      <c r="M46" s="1251"/>
      <c r="N46" s="599"/>
      <c r="O46" s="1238"/>
    </row>
    <row r="47" spans="2:15" ht="30" customHeight="1" x14ac:dyDescent="0.25">
      <c r="B47" s="1237"/>
      <c r="C47" s="1038"/>
      <c r="D47" s="2695" t="s">
        <v>560</v>
      </c>
      <c r="E47" s="2695"/>
      <c r="F47" s="2695"/>
      <c r="G47" s="2695"/>
      <c r="H47" s="2695"/>
      <c r="I47" s="2695"/>
      <c r="J47" s="2695"/>
      <c r="K47" s="2695"/>
      <c r="L47" s="2695"/>
      <c r="M47" s="2695"/>
      <c r="N47" s="1257"/>
      <c r="O47" s="1238"/>
    </row>
    <row r="48" spans="2:15" x14ac:dyDescent="0.25">
      <c r="B48" s="1237"/>
      <c r="C48" s="1038"/>
      <c r="D48" s="1038"/>
      <c r="E48" s="1038"/>
      <c r="F48" s="1038"/>
      <c r="G48" s="1038"/>
      <c r="H48" s="1259"/>
      <c r="I48" s="1259"/>
      <c r="J48" s="1259"/>
      <c r="K48" s="1259"/>
      <c r="L48" s="1259"/>
      <c r="M48" s="1259"/>
      <c r="N48" s="1038"/>
      <c r="O48" s="1238"/>
    </row>
    <row r="49" spans="2:15" x14ac:dyDescent="0.25">
      <c r="B49" s="1237"/>
      <c r="C49" s="185">
        <v>5</v>
      </c>
      <c r="D49" s="1241" t="s">
        <v>668</v>
      </c>
      <c r="E49" s="1241"/>
      <c r="F49" s="1242"/>
      <c r="G49" s="1243"/>
      <c r="H49" s="1243"/>
      <c r="I49" s="1243"/>
      <c r="J49" s="1243"/>
      <c r="K49" s="1243"/>
      <c r="L49" s="1243"/>
      <c r="M49" s="1244"/>
      <c r="N49" s="1231">
        <v>0</v>
      </c>
      <c r="O49" s="1238"/>
    </row>
    <row r="50" spans="2:15" ht="3.75" customHeight="1" x14ac:dyDescent="0.25">
      <c r="B50" s="1237"/>
      <c r="C50" s="1038"/>
      <c r="D50" s="599"/>
      <c r="E50" s="599"/>
      <c r="F50" s="1039"/>
      <c r="G50" s="599"/>
      <c r="H50" s="599"/>
      <c r="I50" s="599"/>
      <c r="J50" s="599"/>
      <c r="K50" s="599"/>
      <c r="L50" s="599"/>
      <c r="M50" s="1251"/>
      <c r="N50" s="599"/>
      <c r="O50" s="1238"/>
    </row>
    <row r="51" spans="2:15" ht="15" customHeight="1" x14ac:dyDescent="0.25">
      <c r="B51" s="1237"/>
      <c r="C51" s="1038"/>
      <c r="D51" s="2695" t="s">
        <v>561</v>
      </c>
      <c r="E51" s="2695"/>
      <c r="F51" s="2695"/>
      <c r="G51" s="2695"/>
      <c r="H51" s="2695"/>
      <c r="I51" s="2695"/>
      <c r="J51" s="2695"/>
      <c r="K51" s="2695"/>
      <c r="L51" s="2695"/>
      <c r="M51" s="2695"/>
      <c r="N51" s="1257"/>
      <c r="O51" s="1238"/>
    </row>
    <row r="52" spans="2:15" ht="7.5" customHeight="1" x14ac:dyDescent="0.25">
      <c r="B52" s="1237"/>
      <c r="C52" s="1038"/>
      <c r="D52" s="1039"/>
      <c r="E52" s="1039"/>
      <c r="F52" s="1038"/>
      <c r="G52" s="1038"/>
      <c r="H52" s="1038"/>
      <c r="I52" s="1038"/>
      <c r="J52" s="1038"/>
      <c r="K52" s="1038"/>
      <c r="L52" s="1038"/>
      <c r="M52" s="1038"/>
      <c r="N52" s="1038"/>
      <c r="O52" s="1238"/>
    </row>
    <row r="53" spans="2:15" x14ac:dyDescent="0.25">
      <c r="B53" s="1237"/>
      <c r="C53" s="1038"/>
      <c r="D53" s="1038"/>
      <c r="E53" s="714"/>
      <c r="F53" s="1263" t="s">
        <v>562</v>
      </c>
      <c r="G53" s="1038"/>
      <c r="H53" s="1038"/>
      <c r="I53" s="1038"/>
      <c r="J53" s="1038"/>
      <c r="K53" s="1038"/>
      <c r="L53" s="1038"/>
      <c r="M53" s="1038"/>
      <c r="N53" s="1038"/>
      <c r="O53" s="1238"/>
    </row>
    <row r="54" spans="2:15" x14ac:dyDescent="0.25">
      <c r="B54" s="1237"/>
      <c r="C54" s="1038"/>
      <c r="D54" s="1038"/>
      <c r="E54" s="1038"/>
      <c r="F54" s="1250" t="s">
        <v>563</v>
      </c>
      <c r="G54" s="1038"/>
      <c r="H54" s="1038"/>
      <c r="I54" s="1038"/>
      <c r="J54" s="2698"/>
      <c r="K54" s="2698"/>
      <c r="L54" s="2698"/>
      <c r="M54" s="2698"/>
      <c r="N54" s="1038"/>
      <c r="O54" s="1238"/>
    </row>
    <row r="55" spans="2:15" x14ac:dyDescent="0.25">
      <c r="B55" s="1237"/>
      <c r="C55" s="1038"/>
      <c r="D55" s="1038"/>
      <c r="E55" s="1038"/>
      <c r="F55" s="1250" t="s">
        <v>564</v>
      </c>
      <c r="G55" s="1038"/>
      <c r="H55" s="1038"/>
      <c r="I55" s="1264"/>
      <c r="J55" s="2699">
        <v>0</v>
      </c>
      <c r="K55" s="2699"/>
      <c r="L55" s="2699"/>
      <c r="M55" s="2699"/>
      <c r="N55" s="1038"/>
      <c r="O55" s="1238"/>
    </row>
    <row r="56" spans="2:15" x14ac:dyDescent="0.25">
      <c r="B56" s="1237"/>
      <c r="C56" s="1038"/>
      <c r="D56" s="1038"/>
      <c r="E56" s="1038"/>
      <c r="F56" s="1250" t="s">
        <v>1060</v>
      </c>
      <c r="G56" s="1038"/>
      <c r="H56" s="1265"/>
      <c r="I56" s="1264"/>
      <c r="J56" s="2700">
        <f>'6A'!K118</f>
        <v>58922303</v>
      </c>
      <c r="K56" s="2700"/>
      <c r="L56" s="2700"/>
      <c r="M56" s="2700"/>
      <c r="N56" s="1038"/>
      <c r="O56" s="1238"/>
    </row>
    <row r="57" spans="2:15" x14ac:dyDescent="0.25">
      <c r="B57" s="1237"/>
      <c r="C57" s="1038"/>
      <c r="D57" s="1038"/>
      <c r="E57" s="1038"/>
      <c r="F57" s="1250" t="s">
        <v>565</v>
      </c>
      <c r="G57" s="1038"/>
      <c r="H57" s="1265"/>
      <c r="I57" s="1264"/>
      <c r="J57" s="2702">
        <f>IFERROR(J55/J56,"0%")</f>
        <v>0</v>
      </c>
      <c r="K57" s="2702"/>
      <c r="L57" s="2702"/>
      <c r="M57" s="2702"/>
      <c r="N57" s="1038"/>
      <c r="O57" s="1238"/>
    </row>
    <row r="58" spans="2:15" x14ac:dyDescent="0.25">
      <c r="B58" s="1237"/>
      <c r="C58" s="1038"/>
      <c r="D58" s="1038"/>
      <c r="E58" s="1038"/>
      <c r="F58" s="1038"/>
      <c r="G58" s="1038"/>
      <c r="H58" s="1038"/>
      <c r="I58" s="1038"/>
      <c r="J58" s="1038"/>
      <c r="K58" s="1038"/>
      <c r="L58" s="1038"/>
      <c r="M58" s="1038"/>
      <c r="N58" s="1038"/>
      <c r="O58" s="1238"/>
    </row>
    <row r="59" spans="2:15" x14ac:dyDescent="0.25">
      <c r="B59" s="1237"/>
      <c r="C59" s="185">
        <v>6</v>
      </c>
      <c r="D59" s="1241" t="s">
        <v>669</v>
      </c>
      <c r="E59" s="1241"/>
      <c r="F59" s="1242"/>
      <c r="G59" s="1243"/>
      <c r="H59" s="1243"/>
      <c r="I59" s="1243"/>
      <c r="J59" s="1243"/>
      <c r="K59" s="1243"/>
      <c r="L59" s="1243"/>
      <c r="M59" s="1244"/>
      <c r="N59" s="1233">
        <v>2</v>
      </c>
      <c r="O59" s="1238"/>
    </row>
    <row r="60" spans="2:15" ht="3.75" customHeight="1" x14ac:dyDescent="0.25">
      <c r="B60" s="1237"/>
      <c r="C60" s="1038"/>
      <c r="D60" s="599"/>
      <c r="E60" s="599"/>
      <c r="F60" s="1039"/>
      <c r="G60" s="599"/>
      <c r="H60" s="599"/>
      <c r="I60" s="599"/>
      <c r="J60" s="599"/>
      <c r="K60" s="599"/>
      <c r="L60" s="599"/>
      <c r="M60" s="1251"/>
      <c r="N60" s="599"/>
      <c r="O60" s="1238"/>
    </row>
    <row r="61" spans="2:15" ht="30" customHeight="1" x14ac:dyDescent="0.25">
      <c r="B61" s="1237"/>
      <c r="C61" s="1038"/>
      <c r="D61" s="2695" t="s">
        <v>566</v>
      </c>
      <c r="E61" s="2695"/>
      <c r="F61" s="2695"/>
      <c r="G61" s="2695"/>
      <c r="H61" s="2695"/>
      <c r="I61" s="2695"/>
      <c r="J61" s="2695"/>
      <c r="K61" s="2695"/>
      <c r="L61" s="2695"/>
      <c r="M61" s="2695"/>
      <c r="N61" s="1257"/>
      <c r="O61" s="1238"/>
    </row>
    <row r="62" spans="2:15" ht="7.5" customHeight="1" x14ac:dyDescent="0.25">
      <c r="B62" s="1237"/>
      <c r="C62" s="1038"/>
      <c r="D62" s="1039"/>
      <c r="E62" s="1039"/>
      <c r="F62" s="1038"/>
      <c r="G62" s="1038"/>
      <c r="H62" s="1038"/>
      <c r="I62" s="1038"/>
      <c r="J62" s="1038"/>
      <c r="K62" s="1038"/>
      <c r="L62" s="1038"/>
      <c r="M62" s="1038"/>
      <c r="N62" s="1038"/>
      <c r="O62" s="1238"/>
    </row>
    <row r="63" spans="2:15" x14ac:dyDescent="0.25">
      <c r="B63" s="1237"/>
      <c r="C63" s="1038"/>
      <c r="D63" s="1038"/>
      <c r="E63" s="1038"/>
      <c r="F63" s="1250" t="s">
        <v>567</v>
      </c>
      <c r="G63" s="1038"/>
      <c r="H63" s="1038"/>
      <c r="I63" s="2698" t="s">
        <v>955</v>
      </c>
      <c r="J63" s="2698"/>
      <c r="K63" s="2698"/>
      <c r="L63" s="2698"/>
      <c r="M63" s="2698"/>
      <c r="N63" s="1038"/>
      <c r="O63" s="1238"/>
    </row>
    <row r="64" spans="2:15" x14ac:dyDescent="0.25">
      <c r="B64" s="1237"/>
      <c r="C64" s="1038"/>
      <c r="D64" s="1038"/>
      <c r="E64" s="1038"/>
      <c r="F64" s="1250" t="s">
        <v>568</v>
      </c>
      <c r="G64" s="1038"/>
      <c r="H64" s="1038"/>
      <c r="I64" s="1264"/>
      <c r="J64" s="1038"/>
      <c r="K64" s="1264"/>
      <c r="L64" s="1038"/>
      <c r="M64" s="1510">
        <v>9700000</v>
      </c>
      <c r="N64" s="1038"/>
      <c r="O64" s="1238"/>
    </row>
    <row r="65" spans="2:16" x14ac:dyDescent="0.25">
      <c r="B65" s="1237"/>
      <c r="C65" s="1250"/>
      <c r="D65" s="1250"/>
      <c r="E65" s="1250"/>
      <c r="F65" s="1250"/>
      <c r="G65" s="1250"/>
      <c r="H65" s="1250"/>
      <c r="I65" s="1264"/>
      <c r="J65" s="1250"/>
      <c r="K65" s="1264"/>
      <c r="L65" s="1266"/>
      <c r="M65" s="1250"/>
      <c r="N65" s="1250"/>
      <c r="O65" s="1238"/>
    </row>
    <row r="66" spans="2:16" x14ac:dyDescent="0.25">
      <c r="B66" s="1237"/>
      <c r="C66" s="185">
        <v>7</v>
      </c>
      <c r="D66" s="1241" t="s">
        <v>670</v>
      </c>
      <c r="E66" s="1241"/>
      <c r="F66" s="1242"/>
      <c r="G66" s="1243"/>
      <c r="H66" s="1243"/>
      <c r="I66" s="1243"/>
      <c r="J66" s="1243"/>
      <c r="K66" s="1243"/>
      <c r="L66" s="1243"/>
      <c r="M66" s="1244"/>
      <c r="N66" s="1233">
        <v>0</v>
      </c>
      <c r="O66" s="1238"/>
    </row>
    <row r="67" spans="2:16" ht="3.75" customHeight="1" x14ac:dyDescent="0.25">
      <c r="B67" s="1237"/>
      <c r="C67" s="1038"/>
      <c r="D67" s="599"/>
      <c r="E67" s="599"/>
      <c r="F67" s="1039"/>
      <c r="G67" s="599"/>
      <c r="H67" s="599"/>
      <c r="I67" s="599"/>
      <c r="J67" s="599"/>
      <c r="K67" s="599"/>
      <c r="L67" s="599"/>
      <c r="M67" s="1251"/>
      <c r="N67" s="599"/>
      <c r="O67" s="1238"/>
    </row>
    <row r="68" spans="2:16" x14ac:dyDescent="0.25">
      <c r="B68" s="1237"/>
      <c r="C68" s="1038"/>
      <c r="D68" s="2695" t="s">
        <v>569</v>
      </c>
      <c r="E68" s="2695"/>
      <c r="F68" s="2695"/>
      <c r="G68" s="2695"/>
      <c r="H68" s="2695"/>
      <c r="I68" s="2695"/>
      <c r="J68" s="2695"/>
      <c r="K68" s="2695"/>
      <c r="L68" s="2695"/>
      <c r="M68" s="2695"/>
      <c r="N68" s="1038"/>
      <c r="O68" s="1238"/>
    </row>
    <row r="69" spans="2:16" ht="7.5" customHeight="1" x14ac:dyDescent="0.25">
      <c r="B69" s="1237"/>
      <c r="C69" s="1038"/>
      <c r="D69" s="1039"/>
      <c r="E69" s="1039"/>
      <c r="F69" s="1038"/>
      <c r="G69" s="1038"/>
      <c r="H69" s="1038"/>
      <c r="I69" s="1038"/>
      <c r="J69" s="1038"/>
      <c r="K69" s="1038"/>
      <c r="L69" s="1038"/>
      <c r="M69" s="1038"/>
      <c r="N69" s="1038"/>
      <c r="O69" s="1238"/>
    </row>
    <row r="70" spans="2:16" x14ac:dyDescent="0.25">
      <c r="B70" s="1237"/>
      <c r="C70" s="1038"/>
      <c r="D70" s="1038"/>
      <c r="E70" s="1038"/>
      <c r="F70" s="1250" t="s">
        <v>570</v>
      </c>
      <c r="G70" s="1038"/>
      <c r="H70" s="1038"/>
      <c r="I70" s="1038"/>
      <c r="J70" s="2698" t="s">
        <v>571</v>
      </c>
      <c r="K70" s="2698"/>
      <c r="L70" s="2698"/>
      <c r="M70" s="2698"/>
      <c r="N70" s="1038"/>
      <c r="O70" s="1238"/>
    </row>
    <row r="71" spans="2:16" x14ac:dyDescent="0.25">
      <c r="B71" s="1237"/>
      <c r="C71" s="1250"/>
      <c r="D71" s="1250"/>
      <c r="E71" s="1250"/>
      <c r="F71" s="1250" t="s">
        <v>572</v>
      </c>
      <c r="G71" s="1250"/>
      <c r="H71" s="1250"/>
      <c r="I71" s="1264"/>
      <c r="J71" s="2697" t="s">
        <v>573</v>
      </c>
      <c r="K71" s="2697"/>
      <c r="L71" s="2697"/>
      <c r="M71" s="2697"/>
      <c r="N71" s="1250"/>
      <c r="O71" s="1238"/>
    </row>
    <row r="72" spans="2:16" ht="15.75" thickBot="1" x14ac:dyDescent="0.3">
      <c r="B72" s="1267"/>
      <c r="C72" s="1268"/>
      <c r="D72" s="1268"/>
      <c r="E72" s="1268"/>
      <c r="F72" s="1268"/>
      <c r="G72" s="1268"/>
      <c r="H72" s="1268"/>
      <c r="I72" s="1269"/>
      <c r="J72" s="1268"/>
      <c r="K72" s="1269"/>
      <c r="L72" s="1270"/>
      <c r="M72" s="1268"/>
      <c r="N72" s="1271"/>
      <c r="O72" s="1272"/>
    </row>
    <row r="73" spans="2:16" x14ac:dyDescent="0.25">
      <c r="B73" s="1234"/>
      <c r="C73" s="1235"/>
      <c r="D73" s="1235"/>
      <c r="E73" s="1235"/>
      <c r="F73" s="1235"/>
      <c r="G73" s="1235"/>
      <c r="H73" s="1235"/>
      <c r="I73" s="1235"/>
      <c r="J73" s="1235"/>
      <c r="K73" s="1235"/>
      <c r="L73" s="1235"/>
      <c r="M73" s="1235"/>
      <c r="N73" s="1235"/>
      <c r="O73" s="1236"/>
    </row>
    <row r="74" spans="2:16" ht="18.75" x14ac:dyDescent="0.3">
      <c r="B74" s="1237"/>
      <c r="C74" s="1428" t="s">
        <v>1068</v>
      </c>
      <c r="D74" s="1509"/>
      <c r="E74" s="1509"/>
      <c r="F74" s="1509"/>
      <c r="G74" s="1509"/>
      <c r="H74" s="1509"/>
      <c r="I74" s="1509"/>
      <c r="J74" s="1509"/>
      <c r="K74" s="1509"/>
      <c r="L74" s="1509"/>
      <c r="M74" s="1509"/>
      <c r="N74" s="1509"/>
      <c r="O74" s="1238"/>
    </row>
    <row r="75" spans="2:16" x14ac:dyDescent="0.25">
      <c r="B75" s="1237"/>
      <c r="C75" s="1008"/>
      <c r="D75" s="1008"/>
      <c r="E75" s="1008"/>
      <c r="F75" s="1008"/>
      <c r="G75" s="1008"/>
      <c r="H75" s="1008"/>
      <c r="I75" s="1008"/>
      <c r="J75" s="1008"/>
      <c r="K75" s="1008"/>
      <c r="L75" s="1008"/>
      <c r="M75" s="1008"/>
      <c r="N75" s="1008"/>
      <c r="O75" s="1238"/>
    </row>
    <row r="76" spans="2:16" x14ac:dyDescent="0.25">
      <c r="B76" s="1237"/>
      <c r="C76" s="714"/>
      <c r="D76" s="1126" t="s">
        <v>328</v>
      </c>
      <c r="E76" s="979"/>
      <c r="F76" s="979"/>
      <c r="G76" s="978" t="str">
        <f>G16</f>
        <v xml:space="preserve">Building 9 </v>
      </c>
      <c r="H76" s="978"/>
      <c r="I76" s="978"/>
      <c r="J76" s="978"/>
      <c r="K76" s="978"/>
      <c r="L76" s="978"/>
      <c r="M76" s="978"/>
      <c r="N76" s="1008"/>
      <c r="O76" s="1238"/>
    </row>
    <row r="77" spans="2:16" ht="30" customHeight="1" x14ac:dyDescent="0.25">
      <c r="B77" s="1237"/>
      <c r="C77" s="1038"/>
      <c r="D77" s="1038"/>
      <c r="E77" s="1038"/>
      <c r="F77" s="1038"/>
      <c r="G77" s="714"/>
      <c r="H77" s="1038"/>
      <c r="I77" s="1038"/>
      <c r="J77" s="1038"/>
      <c r="K77" s="1038"/>
      <c r="L77" s="1038"/>
      <c r="M77" s="1239"/>
      <c r="N77" s="1240" t="s">
        <v>549</v>
      </c>
      <c r="O77" s="1238"/>
      <c r="P77" s="296"/>
    </row>
    <row r="78" spans="2:16" x14ac:dyDescent="0.25">
      <c r="B78" s="1237"/>
      <c r="C78" s="185">
        <v>8</v>
      </c>
      <c r="D78" s="1241" t="s">
        <v>671</v>
      </c>
      <c r="E78" s="1241"/>
      <c r="F78" s="1242"/>
      <c r="G78" s="1243"/>
      <c r="H78" s="1243"/>
      <c r="I78" s="1243"/>
      <c r="J78" s="1243"/>
      <c r="K78" s="1243"/>
      <c r="L78" s="1243"/>
      <c r="M78" s="1244"/>
      <c r="N78" s="1233">
        <v>10</v>
      </c>
      <c r="O78" s="1238"/>
    </row>
    <row r="79" spans="2:16" ht="3.75" customHeight="1" x14ac:dyDescent="0.25">
      <c r="B79" s="1237"/>
      <c r="C79" s="1038"/>
      <c r="D79" s="599"/>
      <c r="E79" s="599"/>
      <c r="F79" s="1038"/>
      <c r="G79" s="599"/>
      <c r="H79" s="599"/>
      <c r="I79" s="599"/>
      <c r="J79" s="599"/>
      <c r="K79" s="599"/>
      <c r="L79" s="599"/>
      <c r="M79" s="1251"/>
      <c r="N79" s="599"/>
      <c r="O79" s="1238"/>
    </row>
    <row r="80" spans="2:16" x14ac:dyDescent="0.25">
      <c r="B80" s="1237"/>
      <c r="C80" s="1038"/>
      <c r="D80" s="2695" t="s">
        <v>574</v>
      </c>
      <c r="E80" s="2695"/>
      <c r="F80" s="2695"/>
      <c r="G80" s="2695"/>
      <c r="H80" s="2695"/>
      <c r="I80" s="2695"/>
      <c r="J80" s="2695"/>
      <c r="K80" s="2695"/>
      <c r="L80" s="2695"/>
      <c r="M80" s="2695"/>
      <c r="N80" s="1038"/>
      <c r="O80" s="1238"/>
    </row>
    <row r="81" spans="2:15" ht="7.5" customHeight="1" x14ac:dyDescent="0.25">
      <c r="B81" s="1237"/>
      <c r="C81" s="1038"/>
      <c r="D81" s="1039"/>
      <c r="E81" s="1039"/>
      <c r="F81" s="1038"/>
      <c r="G81" s="1038"/>
      <c r="H81" s="1038"/>
      <c r="I81" s="1038"/>
      <c r="J81" s="1038"/>
      <c r="K81" s="1038"/>
      <c r="L81" s="1038"/>
      <c r="M81" s="1038"/>
      <c r="N81" s="1038"/>
      <c r="O81" s="1238"/>
    </row>
    <row r="82" spans="2:15" x14ac:dyDescent="0.25">
      <c r="B82" s="1237"/>
      <c r="C82" s="1038"/>
      <c r="D82" s="1038"/>
      <c r="E82" s="1038"/>
      <c r="F82" s="2701" t="s">
        <v>963</v>
      </c>
      <c r="G82" s="2701"/>
      <c r="H82" s="1038"/>
      <c r="I82" s="1038"/>
      <c r="J82" s="1038"/>
      <c r="K82" s="1038"/>
      <c r="L82" s="1038"/>
      <c r="M82" s="1038"/>
      <c r="N82" s="1038"/>
      <c r="O82" s="1238"/>
    </row>
    <row r="83" spans="2:15" x14ac:dyDescent="0.25">
      <c r="B83" s="1237"/>
      <c r="C83" s="1038"/>
      <c r="D83" s="1038"/>
      <c r="E83" s="1038"/>
      <c r="F83" s="1038"/>
      <c r="G83" s="1038"/>
      <c r="H83" s="1038"/>
      <c r="I83" s="1038"/>
      <c r="J83" s="1038"/>
      <c r="K83" s="1038"/>
      <c r="L83" s="1038"/>
      <c r="M83" s="1038"/>
      <c r="N83" s="1038"/>
      <c r="O83" s="1238"/>
    </row>
    <row r="84" spans="2:15" x14ac:dyDescent="0.25">
      <c r="B84" s="1237"/>
      <c r="C84" s="185">
        <v>9</v>
      </c>
      <c r="D84" s="1241" t="s">
        <v>672</v>
      </c>
      <c r="E84" s="1241"/>
      <c r="F84" s="1242"/>
      <c r="G84" s="1243"/>
      <c r="H84" s="1243"/>
      <c r="I84" s="1243"/>
      <c r="J84" s="1243"/>
      <c r="K84" s="1243"/>
      <c r="L84" s="1243"/>
      <c r="M84" s="1244"/>
      <c r="N84" s="1233">
        <v>0</v>
      </c>
      <c r="O84" s="1238"/>
    </row>
    <row r="85" spans="2:15" ht="3.75" customHeight="1" x14ac:dyDescent="0.25">
      <c r="B85" s="1237"/>
      <c r="C85" s="1038"/>
      <c r="D85" s="1038"/>
      <c r="E85" s="1038"/>
      <c r="F85" s="1038"/>
      <c r="G85" s="1038"/>
      <c r="H85" s="1038"/>
      <c r="I85" s="1038"/>
      <c r="J85" s="1038"/>
      <c r="K85" s="1038"/>
      <c r="L85" s="1038"/>
      <c r="M85" s="1038"/>
      <c r="N85" s="1038"/>
      <c r="O85" s="1238"/>
    </row>
    <row r="86" spans="2:15" ht="30" customHeight="1" x14ac:dyDescent="0.25">
      <c r="B86" s="1237"/>
      <c r="C86" s="1038"/>
      <c r="D86" s="2695" t="s">
        <v>576</v>
      </c>
      <c r="E86" s="2695"/>
      <c r="F86" s="2695"/>
      <c r="G86" s="2695"/>
      <c r="H86" s="2695"/>
      <c r="I86" s="2695"/>
      <c r="J86" s="2695"/>
      <c r="K86" s="2695"/>
      <c r="L86" s="2695"/>
      <c r="M86" s="2695"/>
      <c r="N86" s="1257"/>
      <c r="O86" s="1238"/>
    </row>
    <row r="87" spans="2:15" ht="7.5" customHeight="1" x14ac:dyDescent="0.25">
      <c r="B87" s="1237"/>
      <c r="C87" s="1038"/>
      <c r="D87" s="1039"/>
      <c r="E87" s="1039"/>
      <c r="F87" s="1039"/>
      <c r="G87" s="1039"/>
      <c r="H87" s="1039"/>
      <c r="I87" s="1039"/>
      <c r="J87" s="1039"/>
      <c r="K87" s="1039"/>
      <c r="L87" s="1039"/>
      <c r="M87" s="1039"/>
      <c r="N87" s="1039"/>
      <c r="O87" s="1238"/>
    </row>
    <row r="88" spans="2:15" x14ac:dyDescent="0.25">
      <c r="B88" s="1237"/>
      <c r="C88" s="1038"/>
      <c r="D88" s="1038"/>
      <c r="E88" s="1263" t="s">
        <v>694</v>
      </c>
      <c r="F88" s="1038"/>
      <c r="G88" s="1038"/>
      <c r="H88" s="1038"/>
      <c r="I88" s="1038"/>
      <c r="J88" s="1038"/>
      <c r="K88" s="1038"/>
      <c r="L88" s="1038"/>
      <c r="M88" s="1038"/>
      <c r="N88" s="1038"/>
      <c r="O88" s="1238"/>
    </row>
    <row r="89" spans="2:15" x14ac:dyDescent="0.25">
      <c r="B89" s="1237"/>
      <c r="C89" s="1038"/>
      <c r="D89" s="1038"/>
      <c r="E89" s="1263"/>
      <c r="F89" s="1250" t="s">
        <v>577</v>
      </c>
      <c r="G89" s="1038"/>
      <c r="H89" s="1038"/>
      <c r="I89" s="1038"/>
      <c r="J89" s="2697" t="s">
        <v>578</v>
      </c>
      <c r="K89" s="2697"/>
      <c r="L89" s="2697"/>
      <c r="M89" s="2697"/>
      <c r="N89" s="1038"/>
      <c r="O89" s="1238"/>
    </row>
    <row r="90" spans="2:15" x14ac:dyDescent="0.25">
      <c r="B90" s="1237"/>
      <c r="C90" s="1038"/>
      <c r="D90" s="1038"/>
      <c r="E90" s="1038"/>
      <c r="F90" s="1250" t="s">
        <v>579</v>
      </c>
      <c r="G90" s="1038"/>
      <c r="H90" s="1038"/>
      <c r="I90" s="1264"/>
      <c r="J90" s="2697" t="s">
        <v>580</v>
      </c>
      <c r="K90" s="2697"/>
      <c r="L90" s="2697"/>
      <c r="M90" s="2697"/>
      <c r="N90" s="1038"/>
      <c r="O90" s="1238"/>
    </row>
    <row r="91" spans="2:15" x14ac:dyDescent="0.25">
      <c r="B91" s="1237"/>
      <c r="C91" s="1038"/>
      <c r="D91" s="1038"/>
      <c r="E91" s="1038"/>
      <c r="F91" s="1250" t="s">
        <v>581</v>
      </c>
      <c r="G91" s="1038"/>
      <c r="H91" s="1038"/>
      <c r="I91" s="1264"/>
      <c r="J91" s="2697" t="s">
        <v>582</v>
      </c>
      <c r="K91" s="2697"/>
      <c r="L91" s="2697"/>
      <c r="M91" s="2697"/>
      <c r="N91" s="1038"/>
      <c r="O91" s="1238"/>
    </row>
    <row r="92" spans="2:15" x14ac:dyDescent="0.25">
      <c r="B92" s="1237"/>
      <c r="C92" s="1038"/>
      <c r="D92" s="1038"/>
      <c r="E92" s="1038"/>
      <c r="F92" s="1250" t="s">
        <v>583</v>
      </c>
      <c r="G92" s="1038"/>
      <c r="H92" s="1038"/>
      <c r="I92" s="1264"/>
      <c r="J92" s="2697" t="s">
        <v>584</v>
      </c>
      <c r="K92" s="2697"/>
      <c r="L92" s="2697"/>
      <c r="M92" s="2697"/>
      <c r="N92" s="1038"/>
      <c r="O92" s="1238"/>
    </row>
    <row r="93" spans="2:15" x14ac:dyDescent="0.25">
      <c r="B93" s="1237"/>
      <c r="C93" s="1038"/>
      <c r="D93" s="1038"/>
      <c r="E93" s="1273"/>
      <c r="F93" s="1038"/>
      <c r="G93" s="1038"/>
      <c r="H93" s="1265"/>
      <c r="I93" s="1264"/>
      <c r="J93" s="1274"/>
      <c r="K93" s="1274"/>
      <c r="L93" s="1274"/>
      <c r="M93" s="1274"/>
      <c r="N93" s="1038"/>
      <c r="O93" s="1238"/>
    </row>
    <row r="94" spans="2:15" x14ac:dyDescent="0.25">
      <c r="B94" s="1237"/>
      <c r="C94" s="185">
        <v>10</v>
      </c>
      <c r="D94" s="1241" t="s">
        <v>673</v>
      </c>
      <c r="E94" s="1241"/>
      <c r="F94" s="1242"/>
      <c r="G94" s="1243"/>
      <c r="H94" s="1243"/>
      <c r="I94" s="1243"/>
      <c r="J94" s="1243"/>
      <c r="K94" s="1243"/>
      <c r="L94" s="1243"/>
      <c r="M94" s="1244"/>
      <c r="N94" s="1233">
        <v>5</v>
      </c>
      <c r="O94" s="1238"/>
    </row>
    <row r="95" spans="2:15" ht="3.75" customHeight="1" x14ac:dyDescent="0.25">
      <c r="B95" s="1237"/>
      <c r="C95" s="1038"/>
      <c r="D95" s="1038"/>
      <c r="E95" s="1038"/>
      <c r="F95" s="1038"/>
      <c r="G95" s="1038"/>
      <c r="H95" s="1038"/>
      <c r="I95" s="1038"/>
      <c r="J95" s="1038"/>
      <c r="K95" s="1038"/>
      <c r="L95" s="1038"/>
      <c r="M95" s="1038"/>
      <c r="N95" s="1038"/>
      <c r="O95" s="1238"/>
    </row>
    <row r="96" spans="2:15" ht="30" customHeight="1" x14ac:dyDescent="0.25">
      <c r="B96" s="1237"/>
      <c r="C96" s="1038"/>
      <c r="D96" s="2695" t="s">
        <v>674</v>
      </c>
      <c r="E96" s="2695"/>
      <c r="F96" s="2695"/>
      <c r="G96" s="2695"/>
      <c r="H96" s="2695"/>
      <c r="I96" s="2695"/>
      <c r="J96" s="2695"/>
      <c r="K96" s="2695"/>
      <c r="L96" s="2695"/>
      <c r="M96" s="2695"/>
      <c r="N96" s="1257"/>
      <c r="O96" s="1238"/>
    </row>
    <row r="97" spans="2:15" ht="7.5" customHeight="1" x14ac:dyDescent="0.25">
      <c r="B97" s="1237"/>
      <c r="C97" s="1038"/>
      <c r="D97" s="1039"/>
      <c r="E97" s="1038"/>
      <c r="F97" s="1038"/>
      <c r="G97" s="1038"/>
      <c r="H97" s="1038"/>
      <c r="I97" s="1038"/>
      <c r="J97" s="1038"/>
      <c r="K97" s="1038"/>
      <c r="L97" s="1038"/>
      <c r="M97" s="1038"/>
      <c r="N97" s="1038"/>
      <c r="O97" s="1238"/>
    </row>
    <row r="98" spans="2:15" x14ac:dyDescent="0.25">
      <c r="B98" s="1237"/>
      <c r="C98" s="1038"/>
      <c r="D98" s="1038"/>
      <c r="E98" s="1038"/>
      <c r="F98" s="2696" t="s">
        <v>971</v>
      </c>
      <c r="G98" s="2696"/>
      <c r="H98" s="2696"/>
      <c r="I98" s="2696"/>
      <c r="J98" s="2696"/>
      <c r="K98" s="2696"/>
      <c r="L98" s="2696"/>
      <c r="M98" s="2696"/>
      <c r="N98" s="1245"/>
      <c r="O98" s="1238"/>
    </row>
    <row r="99" spans="2:15" x14ac:dyDescent="0.25">
      <c r="B99" s="1237"/>
      <c r="C99" s="1038"/>
      <c r="D99" s="1038"/>
      <c r="E99" s="1038"/>
      <c r="F99" s="1038"/>
      <c r="G99" s="1038"/>
      <c r="H99" s="1038"/>
      <c r="I99" s="1038"/>
      <c r="J99" s="1038"/>
      <c r="K99" s="1038"/>
      <c r="L99" s="1038"/>
      <c r="M99" s="1038"/>
      <c r="N99" s="1038"/>
      <c r="O99" s="1238"/>
    </row>
    <row r="100" spans="2:15" x14ac:dyDescent="0.25">
      <c r="B100" s="1237"/>
      <c r="C100" s="185">
        <v>11</v>
      </c>
      <c r="D100" s="1241" t="s">
        <v>675</v>
      </c>
      <c r="E100" s="1241"/>
      <c r="F100" s="1242"/>
      <c r="G100" s="1243"/>
      <c r="H100" s="1243"/>
      <c r="I100" s="1243"/>
      <c r="J100" s="1243"/>
      <c r="K100" s="1243"/>
      <c r="L100" s="1243"/>
      <c r="M100" s="1244"/>
      <c r="N100" s="1233">
        <v>0</v>
      </c>
      <c r="O100" s="1238"/>
    </row>
    <row r="101" spans="2:15" ht="3.75" customHeight="1" x14ac:dyDescent="0.25">
      <c r="B101" s="1237"/>
      <c r="C101" s="1038"/>
      <c r="D101" s="599"/>
      <c r="E101" s="599"/>
      <c r="F101" s="1039"/>
      <c r="G101" s="599"/>
      <c r="H101" s="599"/>
      <c r="I101" s="599"/>
      <c r="J101" s="599"/>
      <c r="K101" s="599"/>
      <c r="L101" s="599"/>
      <c r="M101" s="1251"/>
      <c r="N101" s="599"/>
      <c r="O101" s="1238"/>
    </row>
    <row r="102" spans="2:15" ht="30" customHeight="1" x14ac:dyDescent="0.25">
      <c r="B102" s="1237"/>
      <c r="C102" s="1038"/>
      <c r="D102" s="2695" t="s">
        <v>585</v>
      </c>
      <c r="E102" s="2695"/>
      <c r="F102" s="2695"/>
      <c r="G102" s="2695"/>
      <c r="H102" s="2695"/>
      <c r="I102" s="2695"/>
      <c r="J102" s="2695"/>
      <c r="K102" s="2695"/>
      <c r="L102" s="2695"/>
      <c r="M102" s="2695"/>
      <c r="N102" s="1257"/>
      <c r="O102" s="1238"/>
    </row>
    <row r="103" spans="2:15" ht="7.5" customHeight="1" x14ac:dyDescent="0.25">
      <c r="B103" s="1237"/>
      <c r="C103" s="1038"/>
      <c r="D103" s="1257"/>
      <c r="E103" s="1257"/>
      <c r="F103" s="1257"/>
      <c r="G103" s="1257"/>
      <c r="H103" s="1257"/>
      <c r="I103" s="1257"/>
      <c r="J103" s="1257"/>
      <c r="K103" s="1257"/>
      <c r="L103" s="1257"/>
      <c r="M103" s="1257"/>
      <c r="N103" s="1257"/>
      <c r="O103" s="1238"/>
    </row>
    <row r="104" spans="2:15" x14ac:dyDescent="0.25">
      <c r="B104" s="1237"/>
      <c r="C104" s="1038"/>
      <c r="D104" s="1257"/>
      <c r="E104" s="1257"/>
      <c r="F104" s="979" t="s">
        <v>586</v>
      </c>
      <c r="G104" s="1257"/>
      <c r="H104" s="2694"/>
      <c r="I104" s="2694"/>
      <c r="J104" s="2694"/>
      <c r="K104" s="1259"/>
      <c r="L104" s="1259"/>
      <c r="M104" s="1257"/>
      <c r="N104" s="1257"/>
      <c r="O104" s="1238"/>
    </row>
    <row r="105" spans="2:15" x14ac:dyDescent="0.25">
      <c r="B105" s="1237"/>
      <c r="C105" s="1038"/>
      <c r="D105" s="1273"/>
      <c r="E105" s="1273" t="s">
        <v>587</v>
      </c>
      <c r="F105" s="1038"/>
      <c r="G105" s="1038"/>
      <c r="H105" s="1038"/>
      <c r="I105" s="1038"/>
      <c r="J105" s="1038"/>
      <c r="K105" s="599"/>
      <c r="L105" s="1275"/>
      <c r="M105" s="1251"/>
      <c r="N105" s="599"/>
      <c r="O105" s="1238"/>
    </row>
    <row r="106" spans="2:15" x14ac:dyDescent="0.25">
      <c r="B106" s="1237"/>
      <c r="C106" s="1038"/>
      <c r="D106" s="599"/>
      <c r="E106" s="599"/>
      <c r="F106" s="1259"/>
      <c r="G106" s="1259"/>
      <c r="H106" s="1259"/>
      <c r="I106" s="1259"/>
      <c r="J106" s="1259"/>
      <c r="K106" s="599"/>
      <c r="L106" s="1275"/>
      <c r="M106" s="1251"/>
      <c r="N106" s="599"/>
      <c r="O106" s="1238"/>
    </row>
    <row r="107" spans="2:15" x14ac:dyDescent="0.25">
      <c r="B107" s="1237"/>
      <c r="C107" s="185">
        <v>12</v>
      </c>
      <c r="D107" s="1241" t="s">
        <v>695</v>
      </c>
      <c r="E107" s="1241"/>
      <c r="F107" s="1242"/>
      <c r="G107" s="1243"/>
      <c r="H107" s="1243"/>
      <c r="I107" s="1243"/>
      <c r="J107" s="1243"/>
      <c r="K107" s="1243"/>
      <c r="L107" s="1243"/>
      <c r="M107" s="1244"/>
      <c r="N107" s="1233">
        <v>0</v>
      </c>
      <c r="O107" s="1238"/>
    </row>
    <row r="108" spans="2:15" ht="3.75" customHeight="1" x14ac:dyDescent="0.25">
      <c r="B108" s="1237"/>
      <c r="C108" s="1038"/>
      <c r="D108" s="599"/>
      <c r="E108" s="599"/>
      <c r="F108" s="1039"/>
      <c r="G108" s="599"/>
      <c r="H108" s="599"/>
      <c r="I108" s="599"/>
      <c r="J108" s="599"/>
      <c r="K108" s="599"/>
      <c r="L108" s="599"/>
      <c r="M108" s="1251"/>
      <c r="N108" s="599"/>
      <c r="O108" s="1238"/>
    </row>
    <row r="109" spans="2:15" ht="30" customHeight="1" x14ac:dyDescent="0.25">
      <c r="B109" s="1237"/>
      <c r="C109" s="1038"/>
      <c r="D109" s="2695" t="s">
        <v>588</v>
      </c>
      <c r="E109" s="2695"/>
      <c r="F109" s="2695"/>
      <c r="G109" s="2695"/>
      <c r="H109" s="2695"/>
      <c r="I109" s="2695"/>
      <c r="J109" s="2695"/>
      <c r="K109" s="2695"/>
      <c r="L109" s="2695"/>
      <c r="M109" s="2695"/>
      <c r="N109" s="1257"/>
      <c r="O109" s="1238"/>
    </row>
    <row r="110" spans="2:15" ht="7.5" customHeight="1" x14ac:dyDescent="0.25">
      <c r="B110" s="1237"/>
      <c r="C110" s="1038"/>
      <c r="D110" s="1257"/>
      <c r="E110" s="1257"/>
      <c r="F110" s="1257"/>
      <c r="G110" s="1257"/>
      <c r="H110" s="1257"/>
      <c r="I110" s="1257"/>
      <c r="J110" s="1257"/>
      <c r="K110" s="1257"/>
      <c r="L110" s="1257"/>
      <c r="M110" s="1257"/>
      <c r="N110" s="1257"/>
      <c r="O110" s="1238"/>
    </row>
    <row r="111" spans="2:15" x14ac:dyDescent="0.25">
      <c r="B111" s="1237"/>
      <c r="C111" s="1038"/>
      <c r="D111" s="1257"/>
      <c r="E111" s="1257"/>
      <c r="F111" s="979" t="s">
        <v>589</v>
      </c>
      <c r="G111" s="1257"/>
      <c r="H111" s="2694" t="s">
        <v>558</v>
      </c>
      <c r="I111" s="2694"/>
      <c r="J111" s="2694"/>
      <c r="K111" s="2694"/>
      <c r="L111" s="2694"/>
      <c r="M111" s="2694"/>
      <c r="N111" s="1257"/>
      <c r="O111" s="1238"/>
    </row>
    <row r="112" spans="2:15" x14ac:dyDescent="0.25">
      <c r="B112" s="1237"/>
      <c r="C112" s="1038"/>
      <c r="D112" s="599"/>
      <c r="E112" s="599"/>
      <c r="F112" s="1259"/>
      <c r="G112" s="1259"/>
      <c r="H112" s="1259"/>
      <c r="I112" s="1259"/>
      <c r="J112" s="1259"/>
      <c r="K112" s="599"/>
      <c r="L112" s="1275"/>
      <c r="M112" s="1251"/>
      <c r="N112" s="599"/>
      <c r="O112" s="1238"/>
    </row>
    <row r="113" spans="2:15" x14ac:dyDescent="0.25">
      <c r="B113" s="1237"/>
      <c r="C113" s="185">
        <v>13</v>
      </c>
      <c r="D113" s="1241" t="s">
        <v>676</v>
      </c>
      <c r="E113" s="1241"/>
      <c r="F113" s="1242"/>
      <c r="G113" s="1243"/>
      <c r="H113" s="1243"/>
      <c r="I113" s="1243"/>
      <c r="J113" s="1243"/>
      <c r="K113" s="1243"/>
      <c r="L113" s="1243"/>
      <c r="M113" s="1244"/>
      <c r="N113" s="1233">
        <v>2</v>
      </c>
      <c r="O113" s="1238"/>
    </row>
    <row r="114" spans="2:15" ht="3.75" customHeight="1" x14ac:dyDescent="0.25">
      <c r="B114" s="1237"/>
      <c r="C114" s="1038"/>
      <c r="D114" s="599"/>
      <c r="E114" s="599"/>
      <c r="F114" s="1039"/>
      <c r="G114" s="599"/>
      <c r="H114" s="599"/>
      <c r="I114" s="599"/>
      <c r="J114" s="599"/>
      <c r="K114" s="599"/>
      <c r="L114" s="599"/>
      <c r="M114" s="1251"/>
      <c r="N114" s="599"/>
      <c r="O114" s="1238"/>
    </row>
    <row r="115" spans="2:15" ht="29.25" customHeight="1" x14ac:dyDescent="0.25">
      <c r="B115" s="1237"/>
      <c r="C115" s="1038"/>
      <c r="D115" s="2695" t="s">
        <v>677</v>
      </c>
      <c r="E115" s="2695"/>
      <c r="F115" s="2695"/>
      <c r="G115" s="2695"/>
      <c r="H115" s="2695"/>
      <c r="I115" s="2695"/>
      <c r="J115" s="2695"/>
      <c r="K115" s="2695"/>
      <c r="L115" s="2695"/>
      <c r="M115" s="2695"/>
      <c r="N115" s="1257"/>
      <c r="O115" s="1238"/>
    </row>
    <row r="116" spans="2:15" ht="7.5" customHeight="1" x14ac:dyDescent="0.25">
      <c r="B116" s="1237"/>
      <c r="C116" s="1038"/>
      <c r="D116" s="1257"/>
      <c r="E116" s="1257"/>
      <c r="F116" s="1257"/>
      <c r="G116" s="1257"/>
      <c r="H116" s="1257"/>
      <c r="I116" s="1257"/>
      <c r="J116" s="1257"/>
      <c r="K116" s="1257"/>
      <c r="L116" s="1257"/>
      <c r="M116" s="1257"/>
      <c r="N116" s="1257"/>
      <c r="O116" s="1238"/>
    </row>
    <row r="117" spans="2:15" x14ac:dyDescent="0.25">
      <c r="B117" s="1237"/>
      <c r="C117" s="1038"/>
      <c r="D117" s="1038"/>
      <c r="E117" s="1038"/>
      <c r="F117" s="1250" t="s">
        <v>590</v>
      </c>
      <c r="G117" s="1038"/>
      <c r="H117" s="2694" t="s">
        <v>921</v>
      </c>
      <c r="I117" s="2694"/>
      <c r="J117" s="2694"/>
      <c r="K117" s="2694"/>
      <c r="L117" s="2694"/>
      <c r="M117" s="2694"/>
      <c r="N117" s="1038"/>
      <c r="O117" s="1238"/>
    </row>
    <row r="118" spans="2:15" ht="15" customHeight="1" x14ac:dyDescent="0.25">
      <c r="B118" s="1237"/>
      <c r="C118" s="1250"/>
      <c r="D118" s="1257"/>
      <c r="E118" s="1257"/>
      <c r="F118" s="1257"/>
      <c r="G118" s="1257"/>
      <c r="H118" s="1257"/>
      <c r="I118" s="1257"/>
      <c r="J118" s="1257"/>
      <c r="K118" s="1257"/>
      <c r="L118" s="1257"/>
      <c r="M118" s="1257"/>
      <c r="N118" s="1257"/>
      <c r="O118" s="1238"/>
    </row>
    <row r="119" spans="2:15" x14ac:dyDescent="0.25">
      <c r="B119" s="1237"/>
      <c r="C119" s="185">
        <v>14</v>
      </c>
      <c r="D119" s="1241" t="s">
        <v>678</v>
      </c>
      <c r="E119" s="1241"/>
      <c r="F119" s="1242"/>
      <c r="G119" s="1243"/>
      <c r="H119" s="1243"/>
      <c r="I119" s="1243"/>
      <c r="J119" s="1243"/>
      <c r="K119" s="1243"/>
      <c r="L119" s="1243"/>
      <c r="M119" s="1244"/>
      <c r="N119" s="1233">
        <v>0</v>
      </c>
      <c r="O119" s="1238"/>
    </row>
    <row r="120" spans="2:15" ht="3.75" customHeight="1" x14ac:dyDescent="0.25">
      <c r="B120" s="1237"/>
      <c r="C120" s="1038"/>
      <c r="D120" s="599"/>
      <c r="E120" s="599"/>
      <c r="F120" s="1039"/>
      <c r="G120" s="599"/>
      <c r="H120" s="599"/>
      <c r="I120" s="599"/>
      <c r="J120" s="599"/>
      <c r="K120" s="599"/>
      <c r="L120" s="599"/>
      <c r="M120" s="1251"/>
      <c r="N120" s="599"/>
      <c r="O120" s="1238"/>
    </row>
    <row r="121" spans="2:15" ht="30" customHeight="1" x14ac:dyDescent="0.25">
      <c r="B121" s="1237"/>
      <c r="C121" s="1038"/>
      <c r="D121" s="2695" t="s">
        <v>679</v>
      </c>
      <c r="E121" s="2695"/>
      <c r="F121" s="2695"/>
      <c r="G121" s="2695"/>
      <c r="H121" s="2695"/>
      <c r="I121" s="2695"/>
      <c r="J121" s="2695"/>
      <c r="K121" s="2695"/>
      <c r="L121" s="2695"/>
      <c r="M121" s="2695"/>
      <c r="N121" s="1257"/>
      <c r="O121" s="1238"/>
    </row>
    <row r="122" spans="2:15" ht="7.5" customHeight="1" x14ac:dyDescent="0.25">
      <c r="B122" s="1237"/>
      <c r="C122" s="1038"/>
      <c r="D122" s="1257"/>
      <c r="E122" s="1257"/>
      <c r="F122" s="1257"/>
      <c r="G122" s="1257"/>
      <c r="H122" s="1257"/>
      <c r="I122" s="1257"/>
      <c r="J122" s="1257"/>
      <c r="K122" s="1257"/>
      <c r="L122" s="1257"/>
      <c r="M122" s="1257"/>
      <c r="N122" s="1257"/>
      <c r="O122" s="1238"/>
    </row>
    <row r="123" spans="2:15" x14ac:dyDescent="0.25">
      <c r="B123" s="1237"/>
      <c r="C123" s="1038"/>
      <c r="D123" s="1038"/>
      <c r="E123" s="1038"/>
      <c r="F123" s="1250" t="s">
        <v>590</v>
      </c>
      <c r="G123" s="1038"/>
      <c r="H123" s="2694" t="s">
        <v>591</v>
      </c>
      <c r="I123" s="2694"/>
      <c r="J123" s="2694"/>
      <c r="K123" s="2694"/>
      <c r="L123" s="2694"/>
      <c r="M123" s="2694"/>
      <c r="N123" s="1038"/>
      <c r="O123" s="1238"/>
    </row>
    <row r="124" spans="2:15" x14ac:dyDescent="0.25">
      <c r="B124" s="1237"/>
      <c r="C124" s="1250"/>
      <c r="D124" s="1250"/>
      <c r="E124" s="1250"/>
      <c r="F124" s="1250"/>
      <c r="G124" s="1250"/>
      <c r="H124" s="1259"/>
      <c r="I124" s="1259"/>
      <c r="J124" s="1259"/>
      <c r="K124" s="1259"/>
      <c r="L124" s="1259"/>
      <c r="M124" s="1259"/>
      <c r="N124" s="1250"/>
      <c r="O124" s="1238"/>
    </row>
    <row r="125" spans="2:15" x14ac:dyDescent="0.25">
      <c r="B125" s="1237"/>
      <c r="C125" s="185">
        <v>15</v>
      </c>
      <c r="D125" s="1241" t="s">
        <v>680</v>
      </c>
      <c r="E125" s="1241"/>
      <c r="F125" s="1242"/>
      <c r="G125" s="1243"/>
      <c r="H125" s="1243"/>
      <c r="I125" s="1243"/>
      <c r="J125" s="1243"/>
      <c r="K125" s="1243"/>
      <c r="L125" s="1243"/>
      <c r="M125" s="1244"/>
      <c r="N125" s="1233">
        <v>0</v>
      </c>
      <c r="O125" s="1238"/>
    </row>
    <row r="126" spans="2:15" ht="3.75" customHeight="1" x14ac:dyDescent="0.25">
      <c r="B126" s="1237"/>
      <c r="C126" s="1038"/>
      <c r="D126" s="599"/>
      <c r="E126" s="599"/>
      <c r="F126" s="1039"/>
      <c r="G126" s="599"/>
      <c r="H126" s="599"/>
      <c r="I126" s="599"/>
      <c r="J126" s="599"/>
      <c r="K126" s="599"/>
      <c r="L126" s="599"/>
      <c r="M126" s="1251"/>
      <c r="N126" s="599"/>
      <c r="O126" s="1238"/>
    </row>
    <row r="127" spans="2:15" ht="30" customHeight="1" x14ac:dyDescent="0.25">
      <c r="B127" s="1237"/>
      <c r="C127" s="1038"/>
      <c r="D127" s="2695" t="s">
        <v>681</v>
      </c>
      <c r="E127" s="2695"/>
      <c r="F127" s="2695"/>
      <c r="G127" s="2695"/>
      <c r="H127" s="2695"/>
      <c r="I127" s="2695"/>
      <c r="J127" s="2695"/>
      <c r="K127" s="2695"/>
      <c r="L127" s="2695"/>
      <c r="M127" s="2695"/>
      <c r="N127" s="1257"/>
      <c r="O127" s="1238"/>
    </row>
    <row r="128" spans="2:15" ht="7.5" customHeight="1" x14ac:dyDescent="0.25">
      <c r="B128" s="1237"/>
      <c r="C128" s="1038"/>
      <c r="D128" s="1257"/>
      <c r="E128" s="1257"/>
      <c r="F128" s="1257"/>
      <c r="G128" s="1257"/>
      <c r="H128" s="1257"/>
      <c r="I128" s="1257"/>
      <c r="J128" s="1257"/>
      <c r="K128" s="1257"/>
      <c r="L128" s="1257"/>
      <c r="M128" s="1257"/>
      <c r="N128" s="1257"/>
      <c r="O128" s="1238"/>
    </row>
    <row r="129" spans="2:16" x14ac:dyDescent="0.25">
      <c r="B129" s="1237"/>
      <c r="C129" s="1038"/>
      <c r="D129" s="1038"/>
      <c r="E129" s="1038"/>
      <c r="F129" s="1250" t="s">
        <v>590</v>
      </c>
      <c r="G129" s="1038"/>
      <c r="H129" s="2694"/>
      <c r="I129" s="2694"/>
      <c r="J129" s="2694"/>
      <c r="K129" s="2694"/>
      <c r="L129" s="2694"/>
      <c r="M129" s="2694"/>
      <c r="N129" s="1038"/>
      <c r="O129" s="1238"/>
    </row>
    <row r="130" spans="2:16" ht="15.75" thickBot="1" x14ac:dyDescent="0.3">
      <c r="B130" s="1267"/>
      <c r="C130" s="1268"/>
      <c r="D130" s="1276"/>
      <c r="E130" s="1276"/>
      <c r="F130" s="1276"/>
      <c r="G130" s="1276"/>
      <c r="H130" s="1276"/>
      <c r="I130" s="1276"/>
      <c r="J130" s="1276"/>
      <c r="K130" s="1276"/>
      <c r="L130" s="1276"/>
      <c r="M130" s="1276"/>
      <c r="N130" s="1277"/>
      <c r="O130" s="1272"/>
    </row>
    <row r="131" spans="2:16" x14ac:dyDescent="0.25">
      <c r="B131" s="1234"/>
      <c r="C131" s="1235"/>
      <c r="D131" s="1235"/>
      <c r="E131" s="1235"/>
      <c r="F131" s="1235"/>
      <c r="G131" s="1235"/>
      <c r="H131" s="1235"/>
      <c r="I131" s="1235"/>
      <c r="J131" s="1235"/>
      <c r="K131" s="1235"/>
      <c r="L131" s="1235"/>
      <c r="M131" s="1235"/>
      <c r="N131" s="1235"/>
      <c r="O131" s="1236"/>
    </row>
    <row r="132" spans="2:16" ht="18.75" x14ac:dyDescent="0.3">
      <c r="B132" s="1237"/>
      <c r="C132" s="2323" t="s">
        <v>1069</v>
      </c>
      <c r="D132" s="2323"/>
      <c r="E132" s="2323"/>
      <c r="F132" s="2323"/>
      <c r="G132" s="2323"/>
      <c r="H132" s="2323"/>
      <c r="I132" s="2323"/>
      <c r="J132" s="2323"/>
      <c r="K132" s="2323"/>
      <c r="L132" s="2323"/>
      <c r="M132" s="2323"/>
      <c r="N132" s="2323"/>
      <c r="O132" s="1238"/>
    </row>
    <row r="133" spans="2:16" x14ac:dyDescent="0.25">
      <c r="B133" s="1237"/>
      <c r="C133" s="1008"/>
      <c r="D133" s="1008"/>
      <c r="E133" s="1008"/>
      <c r="F133" s="1008"/>
      <c r="G133" s="1008"/>
      <c r="H133" s="1008"/>
      <c r="I133" s="1008"/>
      <c r="J133" s="1008"/>
      <c r="K133" s="1008"/>
      <c r="L133" s="1008"/>
      <c r="M133" s="1008"/>
      <c r="N133" s="1008"/>
      <c r="O133" s="1238"/>
    </row>
    <row r="134" spans="2:16" x14ac:dyDescent="0.25">
      <c r="B134" s="1237"/>
      <c r="C134" s="714"/>
      <c r="D134" s="1126" t="s">
        <v>328</v>
      </c>
      <c r="E134" s="979"/>
      <c r="F134" s="979"/>
      <c r="G134" s="978" t="str">
        <f>G76</f>
        <v xml:space="preserve">Building 9 </v>
      </c>
      <c r="H134" s="978"/>
      <c r="I134" s="978"/>
      <c r="J134" s="978"/>
      <c r="K134" s="978"/>
      <c r="L134" s="978"/>
      <c r="M134" s="978"/>
      <c r="N134" s="1008"/>
      <c r="O134" s="1238"/>
    </row>
    <row r="135" spans="2:16" ht="30" customHeight="1" x14ac:dyDescent="0.25">
      <c r="B135" s="1237"/>
      <c r="C135" s="1038"/>
      <c r="D135" s="1038"/>
      <c r="E135" s="1038"/>
      <c r="F135" s="1038"/>
      <c r="G135" s="714"/>
      <c r="H135" s="1038"/>
      <c r="I135" s="1038"/>
      <c r="J135" s="1038"/>
      <c r="K135" s="1038"/>
      <c r="L135" s="1038"/>
      <c r="M135" s="1239"/>
      <c r="N135" s="1240" t="s">
        <v>549</v>
      </c>
      <c r="O135" s="1238"/>
      <c r="P135" s="296"/>
    </row>
    <row r="136" spans="2:16" x14ac:dyDescent="0.25">
      <c r="B136" s="1237"/>
      <c r="C136" s="185">
        <v>16</v>
      </c>
      <c r="D136" s="1241" t="s">
        <v>682</v>
      </c>
      <c r="E136" s="1241"/>
      <c r="F136" s="1242"/>
      <c r="G136" s="1243"/>
      <c r="H136" s="1243"/>
      <c r="I136" s="1243"/>
      <c r="J136" s="1243"/>
      <c r="K136" s="1243"/>
      <c r="L136" s="1243"/>
      <c r="M136" s="1244"/>
      <c r="N136" s="1233">
        <v>1</v>
      </c>
      <c r="O136" s="1238"/>
    </row>
    <row r="137" spans="2:16" ht="3.75" customHeight="1" x14ac:dyDescent="0.25">
      <c r="B137" s="1237"/>
      <c r="C137" s="1038"/>
      <c r="D137" s="599"/>
      <c r="E137" s="599"/>
      <c r="F137" s="1039"/>
      <c r="G137" s="599"/>
      <c r="H137" s="599"/>
      <c r="I137" s="599"/>
      <c r="J137" s="599"/>
      <c r="K137" s="599"/>
      <c r="L137" s="599"/>
      <c r="M137" s="1251"/>
      <c r="N137" s="599"/>
      <c r="O137" s="1238"/>
    </row>
    <row r="138" spans="2:16" ht="30" customHeight="1" x14ac:dyDescent="0.25">
      <c r="B138" s="1237"/>
      <c r="C138" s="1038"/>
      <c r="D138" s="2695" t="s">
        <v>683</v>
      </c>
      <c r="E138" s="2695"/>
      <c r="F138" s="2695"/>
      <c r="G138" s="2695"/>
      <c r="H138" s="2695"/>
      <c r="I138" s="2695"/>
      <c r="J138" s="2695"/>
      <c r="K138" s="2695"/>
      <c r="L138" s="2695"/>
      <c r="M138" s="2695"/>
      <c r="N138" s="1257"/>
      <c r="O138" s="1238"/>
    </row>
    <row r="139" spans="2:16" ht="7.5" customHeight="1" x14ac:dyDescent="0.25">
      <c r="B139" s="1237"/>
      <c r="C139" s="1038"/>
      <c r="D139" s="1257"/>
      <c r="E139" s="1257"/>
      <c r="F139" s="1257"/>
      <c r="G139" s="1257"/>
      <c r="H139" s="1257"/>
      <c r="I139" s="1257"/>
      <c r="J139" s="1257"/>
      <c r="K139" s="1257"/>
      <c r="L139" s="1257"/>
      <c r="M139" s="1257"/>
      <c r="N139" s="1257"/>
      <c r="O139" s="1238"/>
    </row>
    <row r="140" spans="2:16" x14ac:dyDescent="0.25">
      <c r="B140" s="1237"/>
      <c r="C140" s="1038"/>
      <c r="D140" s="1038"/>
      <c r="E140" s="1038"/>
      <c r="F140" s="1250" t="s">
        <v>590</v>
      </c>
      <c r="G140" s="1038"/>
      <c r="H140" s="2694" t="s">
        <v>995</v>
      </c>
      <c r="I140" s="2694"/>
      <c r="J140" s="2694"/>
      <c r="K140" s="2694"/>
      <c r="L140" s="2694"/>
      <c r="M140" s="2694"/>
      <c r="N140" s="1038"/>
      <c r="O140" s="1238"/>
    </row>
    <row r="141" spans="2:16" x14ac:dyDescent="0.25">
      <c r="B141" s="1237"/>
      <c r="C141" s="1038"/>
      <c r="D141" s="1038"/>
      <c r="E141" s="1038"/>
      <c r="F141" s="1038"/>
      <c r="G141" s="1038"/>
      <c r="H141" s="1259"/>
      <c r="I141" s="1259"/>
      <c r="J141" s="1259"/>
      <c r="K141" s="1259"/>
      <c r="L141" s="1259"/>
      <c r="M141" s="1259"/>
      <c r="N141" s="1038"/>
      <c r="O141" s="1238"/>
    </row>
    <row r="142" spans="2:16" x14ac:dyDescent="0.25">
      <c r="B142" s="1237"/>
      <c r="C142" s="185">
        <v>17</v>
      </c>
      <c r="D142" s="1241" t="s">
        <v>684</v>
      </c>
      <c r="E142" s="1241"/>
      <c r="F142" s="1242"/>
      <c r="G142" s="1243"/>
      <c r="H142" s="1243"/>
      <c r="I142" s="1243"/>
      <c r="J142" s="1243"/>
      <c r="K142" s="1243"/>
      <c r="L142" s="1243"/>
      <c r="M142" s="1244"/>
      <c r="N142" s="1233">
        <v>0</v>
      </c>
      <c r="O142" s="1238"/>
    </row>
    <row r="143" spans="2:16" ht="3.75" customHeight="1" x14ac:dyDescent="0.25">
      <c r="B143" s="1237"/>
      <c r="C143" s="1038"/>
      <c r="D143" s="599"/>
      <c r="E143" s="599"/>
      <c r="F143" s="1039"/>
      <c r="G143" s="599"/>
      <c r="H143" s="599"/>
      <c r="I143" s="599"/>
      <c r="J143" s="599"/>
      <c r="K143" s="599"/>
      <c r="L143" s="599"/>
      <c r="M143" s="1251"/>
      <c r="N143" s="599"/>
      <c r="O143" s="1238"/>
    </row>
    <row r="144" spans="2:16" x14ac:dyDescent="0.25">
      <c r="B144" s="1237"/>
      <c r="C144" s="1038"/>
      <c r="D144" s="2695" t="s">
        <v>592</v>
      </c>
      <c r="E144" s="2695"/>
      <c r="F144" s="2695"/>
      <c r="G144" s="2695"/>
      <c r="H144" s="2695"/>
      <c r="I144" s="2695"/>
      <c r="J144" s="2695"/>
      <c r="K144" s="2695"/>
      <c r="L144" s="2695"/>
      <c r="M144" s="2695"/>
      <c r="N144" s="1039"/>
      <c r="O144" s="1238"/>
    </row>
    <row r="145" spans="2:15" ht="7.5" customHeight="1" x14ac:dyDescent="0.25">
      <c r="B145" s="1237"/>
      <c r="C145" s="1038"/>
      <c r="D145" s="1257"/>
      <c r="E145" s="1257"/>
      <c r="F145" s="1257"/>
      <c r="G145" s="1257"/>
      <c r="H145" s="1257"/>
      <c r="I145" s="1257"/>
      <c r="J145" s="1257"/>
      <c r="K145" s="1257"/>
      <c r="L145" s="1257"/>
      <c r="M145" s="1257"/>
      <c r="N145" s="1257"/>
      <c r="O145" s="1238"/>
    </row>
    <row r="146" spans="2:15" x14ac:dyDescent="0.25">
      <c r="B146" s="1237"/>
      <c r="C146" s="1038"/>
      <c r="D146" s="1257"/>
      <c r="E146" s="1257"/>
      <c r="F146" s="979" t="s">
        <v>593</v>
      </c>
      <c r="G146" s="1257"/>
      <c r="H146" s="2705" t="s">
        <v>1001</v>
      </c>
      <c r="I146" s="2705"/>
      <c r="J146" s="2705"/>
      <c r="K146" s="1257"/>
      <c r="L146" s="2705" t="s">
        <v>595</v>
      </c>
      <c r="M146" s="2705"/>
      <c r="N146" s="1257"/>
      <c r="O146" s="1238"/>
    </row>
    <row r="147" spans="2:15" x14ac:dyDescent="0.25">
      <c r="B147" s="1237"/>
      <c r="C147" s="1038"/>
      <c r="D147" s="1038"/>
      <c r="E147" s="1038"/>
      <c r="F147" s="1038"/>
      <c r="G147" s="1038"/>
      <c r="H147" s="1259"/>
      <c r="I147" s="1259"/>
      <c r="J147" s="1259"/>
      <c r="K147" s="1259"/>
      <c r="L147" s="1259"/>
      <c r="M147" s="1259"/>
      <c r="N147" s="1038"/>
      <c r="O147" s="1238"/>
    </row>
    <row r="148" spans="2:15" x14ac:dyDescent="0.25">
      <c r="B148" s="1237"/>
      <c r="C148" s="185">
        <v>18</v>
      </c>
      <c r="D148" s="1241" t="s">
        <v>685</v>
      </c>
      <c r="E148" s="1241"/>
      <c r="F148" s="1242"/>
      <c r="G148" s="1243"/>
      <c r="H148" s="1243"/>
      <c r="I148" s="1243"/>
      <c r="J148" s="1243"/>
      <c r="K148" s="1243"/>
      <c r="L148" s="1243"/>
      <c r="M148" s="1244"/>
      <c r="N148" s="1233">
        <v>5</v>
      </c>
      <c r="O148" s="1238"/>
    </row>
    <row r="149" spans="2:15" ht="3.75" customHeight="1" x14ac:dyDescent="0.25">
      <c r="B149" s="1237"/>
      <c r="C149" s="1038"/>
      <c r="D149" s="599"/>
      <c r="E149" s="599"/>
      <c r="F149" s="1039"/>
      <c r="G149" s="599"/>
      <c r="H149" s="599"/>
      <c r="I149" s="599"/>
      <c r="J149" s="599"/>
      <c r="K149" s="599"/>
      <c r="L149" s="599"/>
      <c r="M149" s="1251"/>
      <c r="N149" s="599"/>
      <c r="O149" s="1238"/>
    </row>
    <row r="150" spans="2:15" ht="30" customHeight="1" x14ac:dyDescent="0.25">
      <c r="B150" s="1237"/>
      <c r="C150" s="1038"/>
      <c r="D150" s="2695" t="s">
        <v>596</v>
      </c>
      <c r="E150" s="2695"/>
      <c r="F150" s="2695"/>
      <c r="G150" s="2695"/>
      <c r="H150" s="2695"/>
      <c r="I150" s="2695"/>
      <c r="J150" s="2695"/>
      <c r="K150" s="2695"/>
      <c r="L150" s="2695"/>
      <c r="M150" s="2695"/>
      <c r="N150" s="1257"/>
      <c r="O150" s="1238"/>
    </row>
    <row r="151" spans="2:15" ht="7.5" customHeight="1" x14ac:dyDescent="0.25">
      <c r="B151" s="1237"/>
      <c r="C151" s="1038"/>
      <c r="D151" s="1257"/>
      <c r="E151" s="1257"/>
      <c r="F151" s="1257"/>
      <c r="G151" s="1257"/>
      <c r="H151" s="1257"/>
      <c r="I151" s="1257"/>
      <c r="J151" s="1257"/>
      <c r="K151" s="1257"/>
      <c r="L151" s="1257"/>
      <c r="M151" s="1257"/>
      <c r="N151" s="1257"/>
      <c r="O151" s="1238"/>
    </row>
    <row r="152" spans="2:15" x14ac:dyDescent="0.25">
      <c r="B152" s="1237"/>
      <c r="C152" s="1038"/>
      <c r="D152" s="599"/>
      <c r="E152" s="599"/>
      <c r="F152" s="2694" t="s">
        <v>1050</v>
      </c>
      <c r="G152" s="2694"/>
      <c r="H152" s="2694"/>
      <c r="I152" s="2694"/>
      <c r="J152" s="2694"/>
      <c r="K152" s="599"/>
      <c r="L152" s="1275"/>
      <c r="M152" s="1251"/>
      <c r="N152" s="599"/>
      <c r="O152" s="1238"/>
    </row>
    <row r="153" spans="2:15" x14ac:dyDescent="0.25">
      <c r="B153" s="1237"/>
      <c r="C153" s="1038"/>
      <c r="D153" s="599"/>
      <c r="E153" s="599"/>
      <c r="F153" s="1259"/>
      <c r="G153" s="1259"/>
      <c r="H153" s="1259"/>
      <c r="I153" s="1259"/>
      <c r="J153" s="1259"/>
      <c r="K153" s="599"/>
      <c r="L153" s="1275"/>
      <c r="M153" s="1251"/>
      <c r="N153" s="599"/>
      <c r="O153" s="1238"/>
    </row>
    <row r="154" spans="2:15" x14ac:dyDescent="0.25">
      <c r="B154" s="1237"/>
      <c r="C154" s="185">
        <v>19</v>
      </c>
      <c r="D154" s="1241" t="s">
        <v>686</v>
      </c>
      <c r="E154" s="1241"/>
      <c r="F154" s="1242"/>
      <c r="G154" s="1243"/>
      <c r="H154" s="1243"/>
      <c r="I154" s="1243"/>
      <c r="J154" s="1243"/>
      <c r="K154" s="1243"/>
      <c r="L154" s="1243"/>
      <c r="M154" s="1244"/>
      <c r="N154" s="1233">
        <v>5</v>
      </c>
      <c r="O154" s="1238"/>
    </row>
    <row r="155" spans="2:15" ht="7.5" customHeight="1" x14ac:dyDescent="0.25">
      <c r="B155" s="1237"/>
      <c r="C155" s="1038"/>
      <c r="D155" s="599"/>
      <c r="E155" s="599"/>
      <c r="F155" s="1039"/>
      <c r="G155" s="599"/>
      <c r="H155" s="599"/>
      <c r="I155" s="599"/>
      <c r="J155" s="599"/>
      <c r="K155" s="599"/>
      <c r="L155" s="599"/>
      <c r="M155" s="1251"/>
      <c r="N155" s="599"/>
      <c r="O155" s="1238"/>
    </row>
    <row r="156" spans="2:15" ht="30" customHeight="1" x14ac:dyDescent="0.25">
      <c r="B156" s="1237"/>
      <c r="C156" s="1038"/>
      <c r="D156" s="2695" t="s">
        <v>597</v>
      </c>
      <c r="E156" s="2695"/>
      <c r="F156" s="2695"/>
      <c r="G156" s="2695"/>
      <c r="H156" s="2695"/>
      <c r="I156" s="2695"/>
      <c r="J156" s="2695"/>
      <c r="K156" s="2695"/>
      <c r="L156" s="2695"/>
      <c r="M156" s="2695"/>
      <c r="N156" s="1257"/>
      <c r="O156" s="1238"/>
    </row>
    <row r="157" spans="2:15" x14ac:dyDescent="0.25">
      <c r="B157" s="1237"/>
      <c r="C157" s="1038"/>
      <c r="D157" s="1038"/>
      <c r="E157" s="1038"/>
      <c r="F157" s="1038"/>
      <c r="G157" s="1038"/>
      <c r="H157" s="1038"/>
      <c r="I157" s="1038"/>
      <c r="J157" s="1038"/>
      <c r="K157" s="1038"/>
      <c r="L157" s="1038"/>
      <c r="M157" s="1038"/>
      <c r="N157" s="1038"/>
      <c r="O157" s="1238"/>
    </row>
    <row r="158" spans="2:15" x14ac:dyDescent="0.25">
      <c r="B158" s="1237"/>
      <c r="C158" s="185">
        <v>20</v>
      </c>
      <c r="D158" s="1241" t="s">
        <v>687</v>
      </c>
      <c r="E158" s="1241"/>
      <c r="F158" s="1242"/>
      <c r="G158" s="1243"/>
      <c r="H158" s="1243"/>
      <c r="I158" s="1243"/>
      <c r="J158" s="1243"/>
      <c r="K158" s="1243"/>
      <c r="L158" s="1243"/>
      <c r="M158" s="1244"/>
      <c r="N158" s="1233">
        <v>0</v>
      </c>
      <c r="O158" s="1238"/>
    </row>
    <row r="159" spans="2:15" ht="7.5" customHeight="1" x14ac:dyDescent="0.25">
      <c r="B159" s="1237"/>
      <c r="C159" s="1038"/>
      <c r="D159" s="599"/>
      <c r="E159" s="599"/>
      <c r="F159" s="1039"/>
      <c r="G159" s="599"/>
      <c r="H159" s="599"/>
      <c r="I159" s="599"/>
      <c r="J159" s="599"/>
      <c r="K159" s="599"/>
      <c r="L159" s="599"/>
      <c r="M159" s="1251"/>
      <c r="N159" s="599"/>
      <c r="O159" s="1238"/>
    </row>
    <row r="160" spans="2:15" ht="30" customHeight="1" x14ac:dyDescent="0.25">
      <c r="B160" s="1237"/>
      <c r="C160" s="1038"/>
      <c r="D160" s="2695" t="s">
        <v>598</v>
      </c>
      <c r="E160" s="2695"/>
      <c r="F160" s="2695"/>
      <c r="G160" s="2695"/>
      <c r="H160" s="2695"/>
      <c r="I160" s="2695"/>
      <c r="J160" s="2695"/>
      <c r="K160" s="2695"/>
      <c r="L160" s="2695"/>
      <c r="M160" s="2695"/>
      <c r="N160" s="1257"/>
      <c r="O160" s="1238"/>
    </row>
    <row r="161" spans="2:15" ht="15.75" thickBot="1" x14ac:dyDescent="0.3">
      <c r="B161" s="1237"/>
      <c r="C161" s="1038"/>
      <c r="D161" s="1038"/>
      <c r="E161" s="1038"/>
      <c r="F161" s="1278"/>
      <c r="G161" s="1278"/>
      <c r="H161" s="1038"/>
      <c r="I161" s="1038"/>
      <c r="J161" s="1038"/>
      <c r="K161" s="1038"/>
      <c r="L161" s="1038"/>
      <c r="M161" s="1038"/>
      <c r="N161" s="1038"/>
      <c r="O161" s="1238"/>
    </row>
    <row r="162" spans="2:15" ht="17.25" thickTop="1" thickBot="1" x14ac:dyDescent="0.3">
      <c r="B162" s="1237"/>
      <c r="C162" s="1038"/>
      <c r="D162" s="1279" t="s">
        <v>599</v>
      </c>
      <c r="E162" s="1280"/>
      <c r="F162" s="1281"/>
      <c r="G162" s="1280"/>
      <c r="H162" s="1280"/>
      <c r="I162" s="1280"/>
      <c r="J162" s="1280"/>
      <c r="K162" s="1280"/>
      <c r="L162" s="1280"/>
      <c r="M162" s="1282"/>
      <c r="N162" s="1283">
        <f>N18+N27+N33+N45+N49+N59+N66+N78+N84+N94+N100+N107+N113+N119+N125+N136+N142+N148+N154+N158</f>
        <v>159</v>
      </c>
      <c r="O162" s="1238"/>
    </row>
    <row r="163" spans="2:15" ht="15.75" thickBot="1" x14ac:dyDescent="0.3">
      <c r="B163" s="1267"/>
      <c r="C163" s="1268"/>
      <c r="D163" s="1268"/>
      <c r="E163" s="1268"/>
      <c r="F163" s="1268"/>
      <c r="G163" s="1268"/>
      <c r="H163" s="1268"/>
      <c r="I163" s="1268"/>
      <c r="J163" s="1268"/>
      <c r="K163" s="1268"/>
      <c r="L163" s="1268"/>
      <c r="M163" s="1268"/>
      <c r="N163" s="1268"/>
      <c r="O163" s="1272"/>
    </row>
  </sheetData>
  <sheetProtection algorithmName="SHA-512" hashValue="tz9E3oTKWHUWR/HFulHcVz9AqM32dkNMuJRVOAwYaDSvDlhae6cyzpJnClF5on0/KtmRpButeIvIBZaD50cu4g==" saltValue="LZAs3Zo9xRQ6BZ08v18HGQ==" spinCount="100000" sheet="1" objects="1" scenarios="1" formatCells="0" formatColumns="0" formatRows="0"/>
  <mergeCells count="52">
    <mergeCell ref="D20:M20"/>
    <mergeCell ref="D150:M150"/>
    <mergeCell ref="D144:M144"/>
    <mergeCell ref="D138:M138"/>
    <mergeCell ref="D127:M127"/>
    <mergeCell ref="D121:M121"/>
    <mergeCell ref="H146:J146"/>
    <mergeCell ref="L146:M146"/>
    <mergeCell ref="D115:M115"/>
    <mergeCell ref="D109:M109"/>
    <mergeCell ref="D102:M102"/>
    <mergeCell ref="D96:M96"/>
    <mergeCell ref="D86:M86"/>
    <mergeCell ref="D80:M80"/>
    <mergeCell ref="D68:M68"/>
    <mergeCell ref="D61:M61"/>
    <mergeCell ref="I21:M21"/>
    <mergeCell ref="I22:M22"/>
    <mergeCell ref="I24:M24"/>
    <mergeCell ref="I25:M25"/>
    <mergeCell ref="D51:M51"/>
    <mergeCell ref="D47:M47"/>
    <mergeCell ref="D35:M35"/>
    <mergeCell ref="D29:M29"/>
    <mergeCell ref="J57:M57"/>
    <mergeCell ref="I63:M63"/>
    <mergeCell ref="J70:M70"/>
    <mergeCell ref="J71:M71"/>
    <mergeCell ref="J90:M90"/>
    <mergeCell ref="F98:M98"/>
    <mergeCell ref="F82:G82"/>
    <mergeCell ref="H123:M123"/>
    <mergeCell ref="H129:M129"/>
    <mergeCell ref="H140:M140"/>
    <mergeCell ref="J91:M91"/>
    <mergeCell ref="J92:M92"/>
    <mergeCell ref="C14:N14"/>
    <mergeCell ref="C132:N132"/>
    <mergeCell ref="F152:J152"/>
    <mergeCell ref="D160:M160"/>
    <mergeCell ref="D156:M156"/>
    <mergeCell ref="F31:G31"/>
    <mergeCell ref="F38:M38"/>
    <mergeCell ref="F41:M41"/>
    <mergeCell ref="F43:M43"/>
    <mergeCell ref="J89:M89"/>
    <mergeCell ref="J54:M54"/>
    <mergeCell ref="J55:M55"/>
    <mergeCell ref="J56:M56"/>
    <mergeCell ref="H104:J104"/>
    <mergeCell ref="H111:M111"/>
    <mergeCell ref="H117:M117"/>
  </mergeCells>
  <dataValidations count="19">
    <dataValidation type="list" allowBlank="1" showInputMessage="1" showErrorMessage="1" sqref="I21:M21">
      <formula1>lower_income</formula1>
    </dataValidation>
    <dataValidation type="list" allowBlank="1" showInputMessage="1" showErrorMessage="1" sqref="I22:M22">
      <formula1>Inc_Lower</formula1>
    </dataValidation>
    <dataValidation type="list" allowBlank="1" showInputMessage="1" showErrorMessage="1" sqref="I24:M24">
      <formula1>higher_income</formula1>
    </dataValidation>
    <dataValidation type="list" allowBlank="1" showInputMessage="1" showErrorMessage="1" sqref="I25:M25">
      <formula1>Inc_Higher</formula1>
    </dataValidation>
    <dataValidation type="list" allowBlank="1" showInputMessage="1" showErrorMessage="1" sqref="F31:G31">
      <formula1>Years</formula1>
    </dataValidation>
    <dataValidation type="list" allowBlank="1" showInputMessage="1" showErrorMessage="1" sqref="F38:M38">
      <formula1>Homeless75</formula1>
    </dataValidation>
    <dataValidation type="list" allowBlank="1" showInputMessage="1" showErrorMessage="1" sqref="F41:M41 F43:M43">
      <formula1>SpecNeeds20</formula1>
    </dataValidation>
    <dataValidation type="list" allowBlank="1" showInputMessage="1" showErrorMessage="1" sqref="J54:M54">
      <formula1>federal_funding_sources</formula1>
    </dataValidation>
    <dataValidation type="list" allowBlank="1" showInputMessage="1" showErrorMessage="1" sqref="I63:M63">
      <formula1>KC_HTF</formula1>
    </dataValidation>
    <dataValidation type="list" allowBlank="1" showInputMessage="1" showErrorMessage="1" sqref="F82:G82">
      <formula1>DevFees</formula1>
    </dataValidation>
    <dataValidation type="list" allowBlank="1" showInputMessage="1" showErrorMessage="1" sqref="F98:M98">
      <formula1>Historic</formula1>
    </dataValidation>
    <dataValidation type="list" allowBlank="1" showInputMessage="1" showErrorMessage="1" sqref="H104:J104">
      <formula1>eligible_tribes</formula1>
    </dataValidation>
    <dataValidation type="list" allowBlank="1" showInputMessage="1" showErrorMessage="1" sqref="H111:M111">
      <formula1>Location_eff</formula1>
    </dataValidation>
    <dataValidation type="list" allowBlank="1" showInputMessage="1" showErrorMessage="1" sqref="H117:M117 H123:M123">
      <formula1>local_funding_counties</formula1>
    </dataValidation>
    <dataValidation type="list" allowBlank="1" showInputMessage="1" showErrorMessage="1" sqref="H129:M129">
      <formula1>KC_only</formula1>
    </dataValidation>
    <dataValidation type="list" allowBlank="1" showInputMessage="1" showErrorMessage="1" sqref="H140:M140">
      <formula1>KC_OppArea</formula1>
    </dataValidation>
    <dataValidation type="list" allowBlank="1" showInputMessage="1" showErrorMessage="1" sqref="H146:J146">
      <formula1>in_within</formula1>
    </dataValidation>
    <dataValidation type="list" allowBlank="1" showInputMessage="1" showErrorMessage="1" sqref="L146:M146">
      <formula1>job_centers</formula1>
    </dataValidation>
    <dataValidation type="list" allowBlank="1" showInputMessage="1" showErrorMessage="1" sqref="F152:J152">
      <formula1>NP_Sponsor</formula1>
    </dataValidation>
  </dataValidations>
  <pageMargins left="0.7" right="0.7" top="0.75" bottom="0.75" header="0.3" footer="0.3"/>
  <pageSetup scale="81" fitToHeight="3" orientation="portrait" r:id="rId1"/>
  <headerFooter>
    <oddFooter>&amp;LForm 11A
9% LIHTC Scoring Synopsis&amp;CCFA Forms&amp;REdition: 2015
Version: 1.0</oddFooter>
  </headerFooter>
  <rowBreaks count="2" manualBreakCount="2">
    <brk id="72" min="1" max="14" man="1"/>
    <brk id="130" min="1" max="14"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O154"/>
  <sheetViews>
    <sheetView showGridLines="0" zoomScaleNormal="100" workbookViewId="0">
      <selection activeCell="E43" sqref="E43:E44"/>
    </sheetView>
  </sheetViews>
  <sheetFormatPr defaultColWidth="9.140625" defaultRowHeight="15" x14ac:dyDescent="0.25"/>
  <cols>
    <col min="1" max="2" width="1.7109375" style="735" customWidth="1"/>
    <col min="3" max="5" width="2.85546875" style="735" customWidth="1"/>
    <col min="6" max="6" width="11.42578125" style="735" customWidth="1"/>
    <col min="7" max="7" width="8.5703125" style="735" customWidth="1"/>
    <col min="8" max="8" width="11.42578125" style="735" customWidth="1"/>
    <col min="9" max="9" width="12.85546875" style="735" customWidth="1"/>
    <col min="10" max="10" width="10" style="735" customWidth="1"/>
    <col min="11" max="11" width="7.140625" style="735" customWidth="1"/>
    <col min="12" max="12" width="15.7109375" style="735" customWidth="1"/>
    <col min="13" max="13" width="11.42578125" style="735" customWidth="1"/>
    <col min="14" max="14" width="8.5703125" style="735" customWidth="1"/>
    <col min="15" max="16" width="1.7109375" style="735" customWidth="1"/>
    <col min="17" max="16384" width="9.140625" style="735"/>
  </cols>
  <sheetData>
    <row r="12" spans="2:15" ht="15.75" thickBot="1" x14ac:dyDescent="0.3"/>
    <row r="13" spans="2:15" ht="9" customHeight="1" x14ac:dyDescent="0.25">
      <c r="B13" s="1234"/>
      <c r="C13" s="1235"/>
      <c r="D13" s="1235"/>
      <c r="E13" s="1235"/>
      <c r="F13" s="1235"/>
      <c r="G13" s="1235"/>
      <c r="H13" s="1235"/>
      <c r="I13" s="1235"/>
      <c r="J13" s="1235"/>
      <c r="K13" s="1235"/>
      <c r="L13" s="1235"/>
      <c r="M13" s="1235"/>
      <c r="N13" s="1235"/>
      <c r="O13" s="1236"/>
    </row>
    <row r="14" spans="2:15" ht="18.75" x14ac:dyDescent="0.3">
      <c r="B14" s="1237"/>
      <c r="C14" s="1428" t="s">
        <v>1349</v>
      </c>
      <c r="D14" s="1509"/>
      <c r="E14" s="1509"/>
      <c r="F14" s="1509"/>
      <c r="G14" s="1509"/>
      <c r="H14" s="1509"/>
      <c r="I14" s="1509"/>
      <c r="J14" s="1509"/>
      <c r="K14" s="1509"/>
      <c r="L14" s="1509"/>
      <c r="M14" s="1509"/>
      <c r="N14" s="1008"/>
      <c r="O14" s="1238"/>
    </row>
    <row r="15" spans="2:15" x14ac:dyDescent="0.25">
      <c r="B15" s="1237"/>
      <c r="C15" s="1284"/>
      <c r="D15" s="1284"/>
      <c r="E15" s="1284"/>
      <c r="F15" s="1284"/>
      <c r="G15" s="1284"/>
      <c r="H15" s="1284"/>
      <c r="I15" s="1284"/>
      <c r="J15" s="1284"/>
      <c r="K15" s="1284"/>
      <c r="L15" s="1284"/>
      <c r="M15" s="1284"/>
      <c r="N15" s="1284"/>
      <c r="O15" s="1238"/>
    </row>
    <row r="16" spans="2:15" x14ac:dyDescent="0.25">
      <c r="B16" s="1237"/>
      <c r="C16" s="714"/>
      <c r="D16" s="1250" t="s">
        <v>1</v>
      </c>
      <c r="E16" s="979"/>
      <c r="F16" s="979"/>
      <c r="G16" s="978" t="str">
        <f>IF('1A'!G5="","Enter Project Name on Form 1A",'1A'!G5)</f>
        <v xml:space="preserve">Building 9 </v>
      </c>
      <c r="H16" s="978"/>
      <c r="I16" s="978"/>
      <c r="J16" s="978"/>
      <c r="K16" s="978"/>
      <c r="L16" s="978"/>
      <c r="M16" s="978"/>
      <c r="N16" s="979"/>
      <c r="O16" s="1238"/>
    </row>
    <row r="17" spans="2:15" ht="30" customHeight="1" x14ac:dyDescent="0.25">
      <c r="B17" s="1237"/>
      <c r="C17" s="1250"/>
      <c r="D17" s="1250"/>
      <c r="E17" s="1250"/>
      <c r="F17" s="1250"/>
      <c r="G17" s="1250"/>
      <c r="H17" s="1250"/>
      <c r="I17" s="1250"/>
      <c r="J17" s="1250"/>
      <c r="K17" s="1250"/>
      <c r="L17" s="1250"/>
      <c r="M17" s="1239"/>
      <c r="N17" s="1240" t="s">
        <v>549</v>
      </c>
      <c r="O17" s="1238"/>
    </row>
    <row r="18" spans="2:15" x14ac:dyDescent="0.25">
      <c r="B18" s="1237"/>
      <c r="C18" s="185">
        <v>1</v>
      </c>
      <c r="D18" s="1241" t="s">
        <v>698</v>
      </c>
      <c r="E18" s="1241"/>
      <c r="F18" s="1242"/>
      <c r="G18" s="1243"/>
      <c r="H18" s="1243"/>
      <c r="I18" s="1243"/>
      <c r="J18" s="1243"/>
      <c r="K18" s="1243"/>
      <c r="L18" s="1243"/>
      <c r="M18" s="1244"/>
      <c r="N18" s="1231">
        <v>10</v>
      </c>
      <c r="O18" s="1238"/>
    </row>
    <row r="19" spans="2:15" ht="3.75" customHeight="1" x14ac:dyDescent="0.25">
      <c r="B19" s="1237"/>
      <c r="C19" s="1038"/>
      <c r="D19" s="599"/>
      <c r="E19" s="599"/>
      <c r="F19" s="1039"/>
      <c r="G19" s="599"/>
      <c r="H19" s="599"/>
      <c r="I19" s="599"/>
      <c r="J19" s="599"/>
      <c r="K19" s="599"/>
      <c r="L19" s="599"/>
      <c r="M19" s="599"/>
      <c r="N19" s="599"/>
      <c r="O19" s="1238"/>
    </row>
    <row r="20" spans="2:15" x14ac:dyDescent="0.25">
      <c r="B20" s="1237"/>
      <c r="C20" s="1038"/>
      <c r="D20" s="2704" t="s">
        <v>550</v>
      </c>
      <c r="E20" s="2704"/>
      <c r="F20" s="2704"/>
      <c r="G20" s="2704"/>
      <c r="H20" s="2704"/>
      <c r="I20" s="2704"/>
      <c r="J20" s="2704"/>
      <c r="K20" s="2704"/>
      <c r="L20" s="2704"/>
      <c r="M20" s="2704"/>
      <c r="N20" s="599"/>
      <c r="O20" s="1238"/>
    </row>
    <row r="21" spans="2:15" x14ac:dyDescent="0.25">
      <c r="B21" s="1237"/>
      <c r="C21" s="1038"/>
      <c r="D21" s="599"/>
      <c r="E21" s="1038"/>
      <c r="F21" s="1039"/>
      <c r="G21" s="599"/>
      <c r="H21" s="599"/>
      <c r="I21" s="599"/>
      <c r="J21" s="599"/>
      <c r="K21" s="599"/>
      <c r="L21" s="599"/>
      <c r="M21" s="599"/>
      <c r="N21" s="599"/>
      <c r="O21" s="1238"/>
    </row>
    <row r="22" spans="2:15" x14ac:dyDescent="0.25">
      <c r="B22" s="1237"/>
      <c r="C22" s="1038"/>
      <c r="D22" s="599"/>
      <c r="E22" s="185"/>
      <c r="F22" s="2709" t="s">
        <v>728</v>
      </c>
      <c r="G22" s="2709"/>
      <c r="H22" s="2709"/>
      <c r="I22" s="2709"/>
      <c r="J22" s="2709"/>
      <c r="K22" s="2709"/>
      <c r="L22" s="2709"/>
      <c r="M22" s="2709"/>
      <c r="N22" s="40"/>
      <c r="O22" s="1238"/>
    </row>
    <row r="23" spans="2:15" x14ac:dyDescent="0.25">
      <c r="B23" s="1237"/>
      <c r="C23" s="1038"/>
      <c r="D23" s="1038"/>
      <c r="E23" s="1038"/>
      <c r="F23" s="1038"/>
      <c r="G23" s="1038"/>
      <c r="H23" s="1038"/>
      <c r="I23" s="1038"/>
      <c r="J23" s="1285"/>
      <c r="K23" s="1039"/>
      <c r="L23" s="1038"/>
      <c r="M23" s="1038"/>
      <c r="N23" s="1038"/>
      <c r="O23" s="1238"/>
    </row>
    <row r="24" spans="2:15" x14ac:dyDescent="0.25">
      <c r="B24" s="1237"/>
      <c r="C24" s="185">
        <v>2</v>
      </c>
      <c r="D24" s="1241" t="s">
        <v>665</v>
      </c>
      <c r="E24" s="1241"/>
      <c r="F24" s="1242"/>
      <c r="G24" s="1243"/>
      <c r="H24" s="1243"/>
      <c r="I24" s="1243"/>
      <c r="J24" s="1243"/>
      <c r="K24" s="1243"/>
      <c r="L24" s="1243"/>
      <c r="M24" s="1244"/>
      <c r="N24" s="1231">
        <v>44</v>
      </c>
      <c r="O24" s="1238"/>
    </row>
    <row r="25" spans="2:15" ht="3.75" customHeight="1" x14ac:dyDescent="0.25">
      <c r="B25" s="1237"/>
      <c r="C25" s="1038"/>
      <c r="D25" s="599"/>
      <c r="E25" s="599"/>
      <c r="F25" s="1039"/>
      <c r="G25" s="599"/>
      <c r="H25" s="599"/>
      <c r="I25" s="599"/>
      <c r="J25" s="599"/>
      <c r="K25" s="599"/>
      <c r="L25" s="599"/>
      <c r="M25" s="1251"/>
      <c r="N25" s="599"/>
      <c r="O25" s="1238"/>
    </row>
    <row r="26" spans="2:15" x14ac:dyDescent="0.25">
      <c r="B26" s="1237"/>
      <c r="C26" s="1038"/>
      <c r="D26" s="2704" t="s">
        <v>601</v>
      </c>
      <c r="E26" s="2704"/>
      <c r="F26" s="2704"/>
      <c r="G26" s="2704"/>
      <c r="H26" s="2704"/>
      <c r="I26" s="2704"/>
      <c r="J26" s="2704"/>
      <c r="K26" s="2704"/>
      <c r="L26" s="2704"/>
      <c r="M26" s="2704"/>
      <c r="N26" s="1038"/>
      <c r="O26" s="1238"/>
    </row>
    <row r="27" spans="2:15" x14ac:dyDescent="0.25">
      <c r="B27" s="1237"/>
      <c r="C27" s="1038"/>
      <c r="D27" s="1039"/>
      <c r="E27" s="1039"/>
      <c r="F27" s="1038"/>
      <c r="G27" s="1038"/>
      <c r="H27" s="1038"/>
      <c r="I27" s="1038"/>
      <c r="J27" s="1038"/>
      <c r="K27" s="1038"/>
      <c r="L27" s="1038"/>
      <c r="M27" s="1038"/>
      <c r="N27" s="1038"/>
      <c r="O27" s="1238"/>
    </row>
    <row r="28" spans="2:15" x14ac:dyDescent="0.25">
      <c r="B28" s="1237"/>
      <c r="C28" s="1038"/>
      <c r="D28" s="1038"/>
      <c r="E28" s="1038"/>
      <c r="F28" s="2694" t="s">
        <v>690</v>
      </c>
      <c r="G28" s="2694"/>
      <c r="H28" s="599"/>
      <c r="I28" s="1245"/>
      <c r="J28" s="1252"/>
      <c r="K28" s="1253"/>
      <c r="L28" s="1038"/>
      <c r="M28" s="1038"/>
      <c r="N28" s="1038"/>
      <c r="O28" s="1238"/>
    </row>
    <row r="29" spans="2:15" x14ac:dyDescent="0.25">
      <c r="B29" s="1237"/>
      <c r="C29" s="1038"/>
      <c r="D29" s="1038"/>
      <c r="E29" s="1038"/>
      <c r="F29" s="1038"/>
      <c r="G29" s="1038"/>
      <c r="H29" s="1038"/>
      <c r="I29" s="1038"/>
      <c r="J29" s="1038"/>
      <c r="K29" s="1038"/>
      <c r="L29" s="1038"/>
      <c r="M29" s="1038"/>
      <c r="N29" s="1038"/>
      <c r="O29" s="1238"/>
    </row>
    <row r="30" spans="2:15" x14ac:dyDescent="0.25">
      <c r="B30" s="1237"/>
      <c r="C30" s="185">
        <v>3</v>
      </c>
      <c r="D30" s="1241" t="s">
        <v>666</v>
      </c>
      <c r="E30" s="1241"/>
      <c r="F30" s="1242"/>
      <c r="G30" s="1243"/>
      <c r="H30" s="1243"/>
      <c r="I30" s="1243"/>
      <c r="J30" s="1243"/>
      <c r="K30" s="1243"/>
      <c r="L30" s="1243"/>
      <c r="M30" s="1244"/>
      <c r="N30" s="1231">
        <v>0</v>
      </c>
      <c r="O30" s="1238"/>
    </row>
    <row r="31" spans="2:15" ht="3.75" customHeight="1" x14ac:dyDescent="0.25">
      <c r="B31" s="1237"/>
      <c r="C31" s="1038"/>
      <c r="D31" s="599"/>
      <c r="E31" s="599"/>
      <c r="F31" s="1039"/>
      <c r="G31" s="599"/>
      <c r="H31" s="599"/>
      <c r="I31" s="599"/>
      <c r="J31" s="599"/>
      <c r="K31" s="599"/>
      <c r="L31" s="599"/>
      <c r="M31" s="599"/>
      <c r="N31" s="599"/>
      <c r="O31" s="1238"/>
    </row>
    <row r="32" spans="2:15" ht="30" customHeight="1" x14ac:dyDescent="0.25">
      <c r="B32" s="1237"/>
      <c r="C32" s="1038"/>
      <c r="D32" s="2695" t="s">
        <v>602</v>
      </c>
      <c r="E32" s="2695"/>
      <c r="F32" s="2695"/>
      <c r="G32" s="2695"/>
      <c r="H32" s="2695"/>
      <c r="I32" s="2695"/>
      <c r="J32" s="2695"/>
      <c r="K32" s="2695"/>
      <c r="L32" s="2695"/>
      <c r="M32" s="2695"/>
      <c r="N32" s="1039"/>
      <c r="O32" s="1238"/>
    </row>
    <row r="33" spans="2:15" ht="7.5" customHeight="1" x14ac:dyDescent="0.25">
      <c r="B33" s="1237"/>
      <c r="C33" s="1038"/>
      <c r="D33" s="1038"/>
      <c r="E33" s="1038"/>
      <c r="F33" s="1257"/>
      <c r="G33" s="1257"/>
      <c r="H33" s="1257"/>
      <c r="I33" s="1257"/>
      <c r="J33" s="1039" t="s">
        <v>324</v>
      </c>
      <c r="K33" s="1257"/>
      <c r="L33" s="1257"/>
      <c r="M33" s="1257"/>
      <c r="N33" s="1257"/>
      <c r="O33" s="1258"/>
    </row>
    <row r="34" spans="2:15" x14ac:dyDescent="0.25">
      <c r="B34" s="1237"/>
      <c r="C34" s="1038"/>
      <c r="D34" s="297" t="s">
        <v>696</v>
      </c>
      <c r="E34" s="1039"/>
      <c r="F34" s="1038"/>
      <c r="G34" s="1245"/>
      <c r="H34" s="1245"/>
      <c r="I34" s="1245"/>
      <c r="J34" s="1245"/>
      <c r="K34" s="1245"/>
      <c r="L34" s="1038"/>
      <c r="M34" s="1038"/>
      <c r="N34" s="1038"/>
      <c r="O34" s="1238"/>
    </row>
    <row r="35" spans="2:15" ht="7.5" customHeight="1" x14ac:dyDescent="0.25">
      <c r="B35" s="1237"/>
      <c r="C35" s="1038"/>
      <c r="D35" s="1039"/>
      <c r="E35" s="1039"/>
      <c r="F35" s="1038"/>
      <c r="G35" s="1245"/>
      <c r="H35" s="1245"/>
      <c r="I35" s="1245"/>
      <c r="J35" s="1245"/>
      <c r="K35" s="1245"/>
      <c r="L35" s="1038"/>
      <c r="M35" s="1038"/>
      <c r="N35" s="1038"/>
      <c r="O35" s="1238"/>
    </row>
    <row r="36" spans="2:15" x14ac:dyDescent="0.25">
      <c r="B36" s="1237"/>
      <c r="C36" s="1038"/>
      <c r="D36" s="1038"/>
      <c r="E36" s="1038"/>
      <c r="F36" s="2694" t="s">
        <v>558</v>
      </c>
      <c r="G36" s="2694"/>
      <c r="H36" s="2694"/>
      <c r="I36" s="2694"/>
      <c r="J36" s="2694"/>
      <c r="K36" s="2694"/>
      <c r="L36" s="2694"/>
      <c r="M36" s="2694"/>
      <c r="N36" s="1259"/>
      <c r="O36" s="1238"/>
    </row>
    <row r="37" spans="2:15" ht="7.5" customHeight="1" x14ac:dyDescent="0.25">
      <c r="B37" s="1237"/>
      <c r="C37" s="1038"/>
      <c r="D37" s="1038"/>
      <c r="E37" s="1038"/>
      <c r="F37" s="1259"/>
      <c r="G37" s="1259"/>
      <c r="H37" s="1259"/>
      <c r="I37" s="1259"/>
      <c r="J37" s="1259"/>
      <c r="K37" s="1259"/>
      <c r="L37" s="1259"/>
      <c r="M37" s="1259"/>
      <c r="N37" s="1259"/>
      <c r="O37" s="1238"/>
    </row>
    <row r="38" spans="2:15" x14ac:dyDescent="0.25">
      <c r="B38" s="1237"/>
      <c r="C38" s="1038"/>
      <c r="D38" s="297" t="s">
        <v>697</v>
      </c>
      <c r="E38" s="1039"/>
      <c r="F38" s="1038"/>
      <c r="G38" s="1245"/>
      <c r="H38" s="1245"/>
      <c r="I38" s="1245"/>
      <c r="J38" s="1245"/>
      <c r="K38" s="1245"/>
      <c r="L38" s="1038"/>
      <c r="M38" s="1038"/>
      <c r="N38" s="1038"/>
      <c r="O38" s="1238"/>
    </row>
    <row r="39" spans="2:15" ht="7.5" customHeight="1" x14ac:dyDescent="0.25">
      <c r="B39" s="1237"/>
      <c r="C39" s="1038"/>
      <c r="D39" s="1039"/>
      <c r="E39" s="1039"/>
      <c r="F39" s="1038"/>
      <c r="G39" s="1245"/>
      <c r="H39" s="1245"/>
      <c r="I39" s="1245"/>
      <c r="J39" s="1245"/>
      <c r="K39" s="1245"/>
      <c r="L39" s="1038"/>
      <c r="M39" s="1038"/>
      <c r="N39" s="1038"/>
      <c r="O39" s="1238"/>
    </row>
    <row r="40" spans="2:15" x14ac:dyDescent="0.25">
      <c r="B40" s="1237"/>
      <c r="C40" s="1038"/>
      <c r="D40" s="1038"/>
      <c r="E40" s="1038"/>
      <c r="F40" s="2694" t="s">
        <v>558</v>
      </c>
      <c r="G40" s="2694"/>
      <c r="H40" s="2694"/>
      <c r="I40" s="2694"/>
      <c r="J40" s="2694"/>
      <c r="K40" s="2694"/>
      <c r="L40" s="2694"/>
      <c r="M40" s="2694"/>
      <c r="N40" s="1253"/>
      <c r="O40" s="1238"/>
    </row>
    <row r="41" spans="2:15" ht="7.5" customHeight="1" x14ac:dyDescent="0.25">
      <c r="B41" s="1237"/>
      <c r="C41" s="1250"/>
      <c r="D41" s="1250"/>
      <c r="E41" s="1250"/>
      <c r="F41" s="1259"/>
      <c r="G41" s="1259"/>
      <c r="H41" s="1250"/>
      <c r="I41" s="1259"/>
      <c r="J41" s="1259"/>
      <c r="K41" s="1259"/>
      <c r="L41" s="1259"/>
      <c r="M41" s="1262"/>
      <c r="N41" s="1259"/>
      <c r="O41" s="1238"/>
    </row>
    <row r="42" spans="2:15" x14ac:dyDescent="0.25">
      <c r="B42" s="1237"/>
      <c r="C42" s="1038"/>
      <c r="D42" s="1263" t="s">
        <v>699</v>
      </c>
      <c r="E42" s="1263"/>
      <c r="F42" s="1259"/>
      <c r="G42" s="1259"/>
      <c r="H42" s="1038"/>
      <c r="I42" s="1259"/>
      <c r="J42" s="1259"/>
      <c r="K42" s="1259"/>
      <c r="L42" s="1259"/>
      <c r="M42" s="1262"/>
      <c r="N42" s="1259"/>
      <c r="O42" s="1238"/>
    </row>
    <row r="43" spans="2:15" ht="7.5" customHeight="1" x14ac:dyDescent="0.25">
      <c r="B43" s="1237"/>
      <c r="C43" s="1038"/>
      <c r="D43" s="1263"/>
      <c r="E43" s="1263"/>
      <c r="F43" s="1259"/>
      <c r="G43" s="1259"/>
      <c r="H43" s="1038"/>
      <c r="I43" s="1259"/>
      <c r="J43" s="1259"/>
      <c r="K43" s="1259"/>
      <c r="L43" s="1259"/>
      <c r="M43" s="1262"/>
      <c r="N43" s="1259"/>
      <c r="O43" s="1238"/>
    </row>
    <row r="44" spans="2:15" x14ac:dyDescent="0.25">
      <c r="B44" s="1237"/>
      <c r="C44" s="1038"/>
      <c r="D44" s="1038"/>
      <c r="E44" s="1263"/>
      <c r="F44" s="2694" t="s">
        <v>558</v>
      </c>
      <c r="G44" s="2694"/>
      <c r="H44" s="2694"/>
      <c r="I44" s="2694"/>
      <c r="J44" s="2694"/>
      <c r="K44" s="2694"/>
      <c r="L44" s="2694"/>
      <c r="M44" s="2694"/>
      <c r="N44" s="1259"/>
      <c r="O44" s="1238"/>
    </row>
    <row r="45" spans="2:15" ht="7.5" customHeight="1" x14ac:dyDescent="0.25">
      <c r="B45" s="1237"/>
      <c r="C45" s="1250"/>
      <c r="D45" s="1250"/>
      <c r="E45" s="1263"/>
      <c r="F45" s="1259"/>
      <c r="G45" s="1259"/>
      <c r="H45" s="1259"/>
      <c r="I45" s="1259"/>
      <c r="J45" s="1259"/>
      <c r="K45" s="1259"/>
      <c r="L45" s="1259"/>
      <c r="M45" s="1259"/>
      <c r="N45" s="1259"/>
      <c r="O45" s="1238"/>
    </row>
    <row r="46" spans="2:15" x14ac:dyDescent="0.25">
      <c r="B46" s="1237"/>
      <c r="C46" s="1038"/>
      <c r="D46" s="1038"/>
      <c r="E46" s="1038"/>
      <c r="F46" s="1286" t="s">
        <v>603</v>
      </c>
      <c r="G46" s="714"/>
      <c r="H46" s="1038"/>
      <c r="I46" s="1259"/>
      <c r="J46" s="1259"/>
      <c r="K46" s="1259"/>
      <c r="L46" s="1259"/>
      <c r="M46" s="1262"/>
      <c r="N46" s="1259"/>
      <c r="O46" s="1238"/>
    </row>
    <row r="47" spans="2:15" x14ac:dyDescent="0.25">
      <c r="B47" s="1237"/>
      <c r="C47" s="1038"/>
      <c r="D47" s="1038"/>
      <c r="E47" s="1038"/>
      <c r="F47" s="1259"/>
      <c r="G47" s="1511"/>
      <c r="H47" s="1259" t="s">
        <v>604</v>
      </c>
      <c r="I47" s="1259"/>
      <c r="J47" s="1259"/>
      <c r="K47" s="1259"/>
      <c r="L47" s="1259"/>
      <c r="M47" s="1262"/>
      <c r="N47" s="1259"/>
      <c r="O47" s="1238"/>
    </row>
    <row r="48" spans="2:15" x14ac:dyDescent="0.25">
      <c r="B48" s="1237"/>
      <c r="C48" s="1038"/>
      <c r="D48" s="1038"/>
      <c r="E48" s="1038"/>
      <c r="F48" s="1259"/>
      <c r="G48" s="1511"/>
      <c r="H48" s="1259" t="s">
        <v>605</v>
      </c>
      <c r="I48" s="1259"/>
      <c r="J48" s="1259"/>
      <c r="K48" s="1259"/>
      <c r="L48" s="1259"/>
      <c r="M48" s="1262"/>
      <c r="N48" s="1259"/>
      <c r="O48" s="1238"/>
    </row>
    <row r="49" spans="2:15" x14ac:dyDescent="0.25">
      <c r="B49" s="1237"/>
      <c r="C49" s="1038"/>
      <c r="D49" s="1038"/>
      <c r="E49" s="1038"/>
      <c r="F49" s="1259"/>
      <c r="G49" s="1511"/>
      <c r="H49" s="1259" t="s">
        <v>606</v>
      </c>
      <c r="I49" s="1259"/>
      <c r="J49" s="1259"/>
      <c r="K49" s="1259"/>
      <c r="L49" s="1259"/>
      <c r="M49" s="1262"/>
      <c r="N49" s="1259"/>
      <c r="O49" s="1238"/>
    </row>
    <row r="50" spans="2:15" x14ac:dyDescent="0.25">
      <c r="B50" s="1237"/>
      <c r="C50" s="1038"/>
      <c r="D50" s="1038"/>
      <c r="E50" s="1038"/>
      <c r="F50" s="1259"/>
      <c r="G50" s="1511"/>
      <c r="H50" s="1250" t="s">
        <v>607</v>
      </c>
      <c r="I50" s="1259"/>
      <c r="J50" s="1259"/>
      <c r="K50" s="1259"/>
      <c r="L50" s="1259"/>
      <c r="M50" s="1262"/>
      <c r="N50" s="1259"/>
      <c r="O50" s="1238"/>
    </row>
    <row r="51" spans="2:15" x14ac:dyDescent="0.25">
      <c r="B51" s="1237"/>
      <c r="C51" s="1038"/>
      <c r="D51" s="1038"/>
      <c r="E51" s="1038"/>
      <c r="F51" s="1259"/>
      <c r="G51" s="1511"/>
      <c r="H51" s="1250" t="s">
        <v>608</v>
      </c>
      <c r="I51" s="1259"/>
      <c r="J51" s="1259"/>
      <c r="K51" s="1259"/>
      <c r="L51" s="1259"/>
      <c r="M51" s="1262"/>
      <c r="N51" s="1259"/>
      <c r="O51" s="1238"/>
    </row>
    <row r="52" spans="2:15" x14ac:dyDescent="0.25">
      <c r="B52" s="1237"/>
      <c r="C52" s="1038"/>
      <c r="D52" s="1038"/>
      <c r="E52" s="1038"/>
      <c r="F52" s="1259"/>
      <c r="G52" s="1287"/>
      <c r="H52" s="1038"/>
      <c r="I52" s="1259"/>
      <c r="J52" s="1259"/>
      <c r="K52" s="1259"/>
      <c r="L52" s="1259"/>
      <c r="M52" s="1262"/>
      <c r="N52" s="1259"/>
      <c r="O52" s="1238"/>
    </row>
    <row r="53" spans="2:15" x14ac:dyDescent="0.25">
      <c r="B53" s="1237"/>
      <c r="C53" s="185">
        <v>4</v>
      </c>
      <c r="D53" s="1241" t="s">
        <v>670</v>
      </c>
      <c r="E53" s="1241"/>
      <c r="F53" s="1242"/>
      <c r="G53" s="1243"/>
      <c r="H53" s="1243"/>
      <c r="I53" s="1243"/>
      <c r="J53" s="1243"/>
      <c r="K53" s="1243"/>
      <c r="L53" s="1243"/>
      <c r="M53" s="1244"/>
      <c r="N53" s="1231">
        <v>0</v>
      </c>
      <c r="O53" s="1238"/>
    </row>
    <row r="54" spans="2:15" ht="3.75" customHeight="1" x14ac:dyDescent="0.25">
      <c r="B54" s="1237"/>
      <c r="C54" s="1038"/>
      <c r="D54" s="599"/>
      <c r="E54" s="599"/>
      <c r="F54" s="1039"/>
      <c r="G54" s="599"/>
      <c r="H54" s="599"/>
      <c r="I54" s="599"/>
      <c r="J54" s="599"/>
      <c r="K54" s="599"/>
      <c r="L54" s="599"/>
      <c r="M54" s="1251"/>
      <c r="N54" s="599"/>
      <c r="O54" s="1238"/>
    </row>
    <row r="55" spans="2:15" ht="30" customHeight="1" x14ac:dyDescent="0.25">
      <c r="B55" s="1237"/>
      <c r="C55" s="1038"/>
      <c r="D55" s="2716" t="s">
        <v>609</v>
      </c>
      <c r="E55" s="2716"/>
      <c r="F55" s="2716"/>
      <c r="G55" s="2716"/>
      <c r="H55" s="2716"/>
      <c r="I55" s="2716"/>
      <c r="J55" s="2716"/>
      <c r="K55" s="2716"/>
      <c r="L55" s="2716"/>
      <c r="M55" s="2716"/>
      <c r="N55" s="1038"/>
      <c r="O55" s="1238"/>
    </row>
    <row r="56" spans="2:15" ht="7.5" customHeight="1" x14ac:dyDescent="0.25">
      <c r="B56" s="1237"/>
      <c r="C56" s="1038"/>
      <c r="D56" s="1039"/>
      <c r="E56" s="1039"/>
      <c r="F56" s="1263"/>
      <c r="G56" s="1038"/>
      <c r="H56" s="1038"/>
      <c r="I56" s="1038"/>
      <c r="J56" s="1038"/>
      <c r="K56" s="1038"/>
      <c r="L56" s="1038"/>
      <c r="M56" s="1038"/>
      <c r="N56" s="1038"/>
      <c r="O56" s="1238"/>
    </row>
    <row r="57" spans="2:15" x14ac:dyDescent="0.25">
      <c r="B57" s="1237"/>
      <c r="C57" s="1038"/>
      <c r="D57" s="1038"/>
      <c r="E57" s="1038"/>
      <c r="F57" s="2710" t="s">
        <v>558</v>
      </c>
      <c r="G57" s="2710"/>
      <c r="H57" s="2710"/>
      <c r="I57" s="2710"/>
      <c r="J57" s="2710"/>
      <c r="K57" s="2710"/>
      <c r="L57" s="2710"/>
      <c r="M57" s="2710"/>
      <c r="N57" s="1288"/>
      <c r="O57" s="1238"/>
    </row>
    <row r="58" spans="2:15" ht="7.5" customHeight="1" x14ac:dyDescent="0.25">
      <c r="B58" s="1237"/>
      <c r="C58" s="1038"/>
      <c r="D58" s="1038"/>
      <c r="E58" s="1038"/>
      <c r="F58" s="1288"/>
      <c r="G58" s="1288"/>
      <c r="H58" s="1288"/>
      <c r="I58" s="1288"/>
      <c r="J58" s="1288"/>
      <c r="K58" s="1288"/>
      <c r="L58" s="1288"/>
      <c r="M58" s="1288"/>
      <c r="N58" s="1288"/>
      <c r="O58" s="1238"/>
    </row>
    <row r="59" spans="2:15" x14ac:dyDescent="0.25">
      <c r="B59" s="1237"/>
      <c r="C59" s="1038"/>
      <c r="D59" s="1038"/>
      <c r="E59" s="1038"/>
      <c r="F59" s="1038"/>
      <c r="G59" s="1263" t="s">
        <v>610</v>
      </c>
      <c r="H59" s="1038"/>
      <c r="I59" s="1038"/>
      <c r="J59" s="1038"/>
      <c r="K59" s="1038"/>
      <c r="L59" s="1038"/>
      <c r="M59" s="1038"/>
      <c r="N59" s="1038"/>
      <c r="O59" s="1238"/>
    </row>
    <row r="60" spans="2:15" x14ac:dyDescent="0.25">
      <c r="B60" s="1237"/>
      <c r="C60" s="1038"/>
      <c r="D60" s="1038"/>
      <c r="E60" s="1038"/>
      <c r="F60" s="1038"/>
      <c r="G60" s="1260" t="s">
        <v>611</v>
      </c>
      <c r="H60" s="1038"/>
      <c r="I60" s="1264"/>
      <c r="J60" s="1038"/>
      <c r="K60" s="1512">
        <v>0</v>
      </c>
      <c r="L60" s="1289"/>
      <c r="M60" s="1289"/>
      <c r="N60" s="1290"/>
      <c r="O60" s="1238"/>
    </row>
    <row r="61" spans="2:15" x14ac:dyDescent="0.25">
      <c r="B61" s="1237"/>
      <c r="C61" s="1038"/>
      <c r="D61" s="1038"/>
      <c r="E61" s="1038"/>
      <c r="F61" s="1038"/>
      <c r="G61" s="1515" t="s">
        <v>612</v>
      </c>
      <c r="H61" s="1516"/>
      <c r="I61" s="1517"/>
      <c r="J61" s="1518"/>
      <c r="K61" s="1513">
        <f>'1B'!L41</f>
        <v>40</v>
      </c>
      <c r="L61" s="1289"/>
      <c r="M61" s="1289"/>
      <c r="N61" s="1290"/>
      <c r="O61" s="1238"/>
    </row>
    <row r="62" spans="2:15" x14ac:dyDescent="0.25">
      <c r="B62" s="1237"/>
      <c r="C62" s="1038"/>
      <c r="D62" s="1038"/>
      <c r="E62" s="1038"/>
      <c r="F62" s="1038"/>
      <c r="G62" s="1260" t="s">
        <v>613</v>
      </c>
      <c r="H62" s="1265"/>
      <c r="I62" s="1264"/>
      <c r="J62" s="1038"/>
      <c r="K62" s="1514">
        <f>IFERROR(K60/K61,"0%")</f>
        <v>0</v>
      </c>
      <c r="L62" s="1274"/>
      <c r="M62" s="1274"/>
      <c r="N62" s="1294"/>
      <c r="O62" s="1238"/>
    </row>
    <row r="63" spans="2:15" ht="15" customHeight="1" x14ac:dyDescent="0.25">
      <c r="B63" s="1237"/>
      <c r="C63" s="1250"/>
      <c r="D63" s="1250"/>
      <c r="E63" s="1250"/>
      <c r="F63" s="1273"/>
      <c r="G63" s="1250"/>
      <c r="H63" s="1250"/>
      <c r="I63" s="1265"/>
      <c r="J63" s="1264"/>
      <c r="K63" s="1274"/>
      <c r="L63" s="1274"/>
      <c r="M63" s="1274"/>
      <c r="N63" s="1274"/>
      <c r="O63" s="1238"/>
    </row>
    <row r="64" spans="2:15" x14ac:dyDescent="0.25">
      <c r="B64" s="1237"/>
      <c r="C64" s="185">
        <v>5</v>
      </c>
      <c r="D64" s="1241" t="s">
        <v>701</v>
      </c>
      <c r="E64" s="1241"/>
      <c r="F64" s="1242"/>
      <c r="G64" s="1243"/>
      <c r="H64" s="1243"/>
      <c r="I64" s="1243"/>
      <c r="J64" s="1243"/>
      <c r="K64" s="1243"/>
      <c r="L64" s="1243"/>
      <c r="M64" s="1244"/>
      <c r="N64" s="1233">
        <v>10</v>
      </c>
      <c r="O64" s="1238"/>
    </row>
    <row r="65" spans="2:15" ht="3.75" customHeight="1" x14ac:dyDescent="0.25">
      <c r="B65" s="1237"/>
      <c r="C65" s="1038"/>
      <c r="D65" s="599"/>
      <c r="E65" s="599"/>
      <c r="F65" s="1039"/>
      <c r="G65" s="599"/>
      <c r="H65" s="599"/>
      <c r="I65" s="599"/>
      <c r="J65" s="599"/>
      <c r="K65" s="599"/>
      <c r="L65" s="599"/>
      <c r="M65" s="1251"/>
      <c r="N65" s="599"/>
      <c r="O65" s="1238"/>
    </row>
    <row r="66" spans="2:15" ht="30" customHeight="1" x14ac:dyDescent="0.25">
      <c r="B66" s="1237"/>
      <c r="C66" s="1038"/>
      <c r="D66" s="2695" t="s">
        <v>614</v>
      </c>
      <c r="E66" s="2695"/>
      <c r="F66" s="2695"/>
      <c r="G66" s="2695"/>
      <c r="H66" s="2695"/>
      <c r="I66" s="2695"/>
      <c r="J66" s="2695"/>
      <c r="K66" s="2695"/>
      <c r="L66" s="2695"/>
      <c r="M66" s="2695"/>
      <c r="N66" s="1039"/>
      <c r="O66" s="1238"/>
    </row>
    <row r="67" spans="2:15" ht="7.5" customHeight="1" x14ac:dyDescent="0.25">
      <c r="B67" s="1237"/>
      <c r="C67" s="1038"/>
      <c r="D67" s="1039"/>
      <c r="E67" s="1039"/>
      <c r="F67" s="1038"/>
      <c r="G67" s="1038"/>
      <c r="H67" s="1038"/>
      <c r="I67" s="1038"/>
      <c r="J67" s="1038"/>
      <c r="K67" s="1038"/>
      <c r="L67" s="1038"/>
      <c r="M67" s="1038"/>
      <c r="N67" s="1038"/>
      <c r="O67" s="1238"/>
    </row>
    <row r="68" spans="2:15" x14ac:dyDescent="0.25">
      <c r="B68" s="1237"/>
      <c r="C68" s="1038"/>
      <c r="D68" s="1039"/>
      <c r="E68" s="1039"/>
      <c r="F68" s="2711" t="s">
        <v>778</v>
      </c>
      <c r="G68" s="2712"/>
      <c r="H68" s="2712"/>
      <c r="I68" s="2712"/>
      <c r="J68" s="2712"/>
      <c r="K68" s="2712"/>
      <c r="L68" s="2712"/>
      <c r="M68" s="2713"/>
      <c r="N68" s="1259"/>
      <c r="O68" s="1238"/>
    </row>
    <row r="69" spans="2:15" ht="7.5" customHeight="1" x14ac:dyDescent="0.25">
      <c r="B69" s="1237"/>
      <c r="C69" s="1038"/>
      <c r="D69" s="1039"/>
      <c r="E69" s="1039"/>
      <c r="F69" s="1259"/>
      <c r="G69" s="1259"/>
      <c r="H69" s="1259"/>
      <c r="I69" s="1259"/>
      <c r="J69" s="1259"/>
      <c r="K69" s="1259"/>
      <c r="L69" s="1259"/>
      <c r="M69" s="1259"/>
      <c r="N69" s="1259"/>
      <c r="O69" s="1238"/>
    </row>
    <row r="70" spans="2:15" x14ac:dyDescent="0.25">
      <c r="B70" s="1237"/>
      <c r="C70" s="1038"/>
      <c r="D70" s="1038"/>
      <c r="E70" s="1038"/>
      <c r="F70" s="1038"/>
      <c r="G70" s="1263" t="s">
        <v>615</v>
      </c>
      <c r="H70" s="1038"/>
      <c r="I70" s="1038"/>
      <c r="J70" s="1038"/>
      <c r="K70" s="1038"/>
      <c r="L70" s="1038"/>
      <c r="M70" s="1038"/>
      <c r="N70" s="1038"/>
      <c r="O70" s="1238"/>
    </row>
    <row r="71" spans="2:15" x14ac:dyDescent="0.25">
      <c r="B71" s="1237"/>
      <c r="C71" s="1038"/>
      <c r="D71" s="1038"/>
      <c r="E71" s="1038"/>
      <c r="F71" s="1038"/>
      <c r="G71" s="1260" t="s">
        <v>616</v>
      </c>
      <c r="H71" s="1038"/>
      <c r="I71" s="1264"/>
      <c r="J71" s="2699">
        <f>5750000+7932912</f>
        <v>13682912</v>
      </c>
      <c r="K71" s="2699"/>
      <c r="L71" s="1295"/>
      <c r="M71" s="1295"/>
      <c r="N71" s="1038"/>
      <c r="O71" s="1238"/>
    </row>
    <row r="72" spans="2:15" x14ac:dyDescent="0.25">
      <c r="B72" s="1237"/>
      <c r="C72" s="1038"/>
      <c r="D72" s="1038"/>
      <c r="E72" s="1038"/>
      <c r="F72" s="1038"/>
      <c r="G72" s="1515" t="s">
        <v>700</v>
      </c>
      <c r="H72" s="1516"/>
      <c r="I72" s="1517"/>
      <c r="J72" s="2714">
        <v>34605772</v>
      </c>
      <c r="K72" s="2714"/>
      <c r="L72" s="1295"/>
      <c r="M72" s="1295"/>
      <c r="N72" s="1038"/>
      <c r="O72" s="1238"/>
    </row>
    <row r="73" spans="2:15" x14ac:dyDescent="0.25">
      <c r="B73" s="1237"/>
      <c r="C73" s="1038"/>
      <c r="D73" s="1038"/>
      <c r="E73" s="1038"/>
      <c r="F73" s="1038"/>
      <c r="G73" s="1260" t="s">
        <v>565</v>
      </c>
      <c r="H73" s="1265"/>
      <c r="I73" s="1264"/>
      <c r="J73" s="2715">
        <f>IFERROR(J71/J72,"0%")</f>
        <v>0.39539392445861343</v>
      </c>
      <c r="K73" s="2715"/>
      <c r="L73" s="1274"/>
      <c r="M73" s="1274"/>
      <c r="N73" s="1038"/>
      <c r="O73" s="1238"/>
    </row>
    <row r="74" spans="2:15" ht="15.75" thickBot="1" x14ac:dyDescent="0.3">
      <c r="B74" s="1267"/>
      <c r="C74" s="1268"/>
      <c r="D74" s="1268"/>
      <c r="E74" s="1268"/>
      <c r="F74" s="1268"/>
      <c r="G74" s="1268"/>
      <c r="H74" s="1296"/>
      <c r="I74" s="1269"/>
      <c r="J74" s="1297"/>
      <c r="K74" s="1297"/>
      <c r="L74" s="1297"/>
      <c r="M74" s="1297"/>
      <c r="N74" s="1268"/>
      <c r="O74" s="1272"/>
    </row>
    <row r="75" spans="2:15" ht="9" customHeight="1" x14ac:dyDescent="0.25">
      <c r="B75" s="1234"/>
      <c r="C75" s="1235"/>
      <c r="D75" s="1235"/>
      <c r="E75" s="1235"/>
      <c r="F75" s="1235"/>
      <c r="G75" s="1235"/>
      <c r="H75" s="1235"/>
      <c r="I75" s="1235"/>
      <c r="J75" s="1235"/>
      <c r="K75" s="1235"/>
      <c r="L75" s="1235"/>
      <c r="M75" s="1235"/>
      <c r="N75" s="1235"/>
      <c r="O75" s="1236"/>
    </row>
    <row r="76" spans="2:15" ht="18.75" x14ac:dyDescent="0.3">
      <c r="B76" s="1237"/>
      <c r="C76" s="2323" t="s">
        <v>1070</v>
      </c>
      <c r="D76" s="2323"/>
      <c r="E76" s="2323"/>
      <c r="F76" s="2323"/>
      <c r="G76" s="2323"/>
      <c r="H76" s="2323"/>
      <c r="I76" s="2323"/>
      <c r="J76" s="2323"/>
      <c r="K76" s="2323"/>
      <c r="L76" s="2323"/>
      <c r="M76" s="2323"/>
      <c r="N76" s="1008"/>
      <c r="O76" s="1238"/>
    </row>
    <row r="77" spans="2:15" x14ac:dyDescent="0.25">
      <c r="B77" s="1237"/>
      <c r="C77" s="1284"/>
      <c r="D77" s="1284"/>
      <c r="E77" s="1284"/>
      <c r="F77" s="1284"/>
      <c r="G77" s="1284"/>
      <c r="H77" s="1284"/>
      <c r="I77" s="1284"/>
      <c r="J77" s="1284"/>
      <c r="K77" s="1284"/>
      <c r="L77" s="1284"/>
      <c r="M77" s="1284"/>
      <c r="N77" s="1284"/>
      <c r="O77" s="1238"/>
    </row>
    <row r="78" spans="2:15" x14ac:dyDescent="0.25">
      <c r="B78" s="1237"/>
      <c r="C78" s="714"/>
      <c r="D78" s="1250" t="s">
        <v>1</v>
      </c>
      <c r="E78" s="979"/>
      <c r="F78" s="979"/>
      <c r="G78" s="978" t="str">
        <f>G16</f>
        <v xml:space="preserve">Building 9 </v>
      </c>
      <c r="H78" s="978"/>
      <c r="I78" s="978"/>
      <c r="J78" s="978"/>
      <c r="K78" s="978"/>
      <c r="L78" s="978"/>
      <c r="M78" s="978"/>
      <c r="N78" s="979"/>
      <c r="O78" s="1238"/>
    </row>
    <row r="79" spans="2:15" ht="30" customHeight="1" x14ac:dyDescent="0.25">
      <c r="B79" s="1237"/>
      <c r="C79" s="1250"/>
      <c r="D79" s="1250"/>
      <c r="E79" s="1250"/>
      <c r="F79" s="1250"/>
      <c r="G79" s="1250"/>
      <c r="H79" s="1250"/>
      <c r="I79" s="1250"/>
      <c r="J79" s="1250"/>
      <c r="K79" s="1250"/>
      <c r="L79" s="1250"/>
      <c r="M79" s="1239"/>
      <c r="N79" s="1240" t="s">
        <v>549</v>
      </c>
      <c r="O79" s="1238"/>
    </row>
    <row r="80" spans="2:15" x14ac:dyDescent="0.25">
      <c r="B80" s="1237"/>
      <c r="C80" s="185">
        <v>6</v>
      </c>
      <c r="D80" s="1241" t="s">
        <v>702</v>
      </c>
      <c r="E80" s="1241"/>
      <c r="F80" s="1242"/>
      <c r="G80" s="1243"/>
      <c r="H80" s="1243"/>
      <c r="I80" s="1243"/>
      <c r="J80" s="1243"/>
      <c r="K80" s="1243"/>
      <c r="L80" s="1243"/>
      <c r="M80" s="1244"/>
      <c r="N80" s="1231">
        <v>0</v>
      </c>
      <c r="O80" s="1238"/>
    </row>
    <row r="81" spans="2:15" ht="3.75" customHeight="1" x14ac:dyDescent="0.25">
      <c r="B81" s="1237"/>
      <c r="C81" s="1038"/>
      <c r="D81" s="599"/>
      <c r="E81" s="599"/>
      <c r="F81" s="1039"/>
      <c r="G81" s="599"/>
      <c r="H81" s="599"/>
      <c r="I81" s="599"/>
      <c r="J81" s="599"/>
      <c r="K81" s="599"/>
      <c r="L81" s="599"/>
      <c r="M81" s="1251"/>
      <c r="N81" s="599"/>
      <c r="O81" s="1238"/>
    </row>
    <row r="82" spans="2:15" ht="30" customHeight="1" x14ac:dyDescent="0.25">
      <c r="B82" s="1237"/>
      <c r="C82" s="1038"/>
      <c r="D82" s="2695" t="s">
        <v>617</v>
      </c>
      <c r="E82" s="2695"/>
      <c r="F82" s="2695"/>
      <c r="G82" s="2695"/>
      <c r="H82" s="2695"/>
      <c r="I82" s="2695"/>
      <c r="J82" s="2695"/>
      <c r="K82" s="2695"/>
      <c r="L82" s="2695"/>
      <c r="M82" s="2695"/>
      <c r="N82" s="1039"/>
      <c r="O82" s="1238"/>
    </row>
    <row r="83" spans="2:15" ht="7.5" customHeight="1" x14ac:dyDescent="0.25">
      <c r="B83" s="1237"/>
      <c r="C83" s="1038"/>
      <c r="D83" s="1039"/>
      <c r="E83" s="1039"/>
      <c r="F83" s="1038"/>
      <c r="G83" s="1038"/>
      <c r="H83" s="1038"/>
      <c r="I83" s="1038"/>
      <c r="J83" s="1038"/>
      <c r="K83" s="1038"/>
      <c r="L83" s="1038"/>
      <c r="M83" s="1038"/>
      <c r="N83" s="1038"/>
      <c r="O83" s="1238"/>
    </row>
    <row r="84" spans="2:15" x14ac:dyDescent="0.25">
      <c r="B84" s="1237"/>
      <c r="C84" s="1038"/>
      <c r="D84" s="1038"/>
      <c r="E84" s="1038"/>
      <c r="F84" s="2694" t="s">
        <v>558</v>
      </c>
      <c r="G84" s="2694"/>
      <c r="H84" s="2694"/>
      <c r="I84" s="2694"/>
      <c r="J84" s="2694"/>
      <c r="K84" s="2694"/>
      <c r="L84" s="2694"/>
      <c r="M84" s="2694"/>
      <c r="N84" s="1259"/>
      <c r="O84" s="1238"/>
    </row>
    <row r="85" spans="2:15" ht="7.5" customHeight="1" x14ac:dyDescent="0.25">
      <c r="B85" s="1237"/>
      <c r="C85" s="1038"/>
      <c r="D85" s="1038"/>
      <c r="E85" s="1038"/>
      <c r="F85" s="1259"/>
      <c r="G85" s="1259"/>
      <c r="H85" s="1259"/>
      <c r="I85" s="1259"/>
      <c r="J85" s="1259"/>
      <c r="K85" s="1259"/>
      <c r="L85" s="1259"/>
      <c r="M85" s="1259"/>
      <c r="N85" s="1038"/>
      <c r="O85" s="1238"/>
    </row>
    <row r="86" spans="2:15" x14ac:dyDescent="0.25">
      <c r="B86" s="1237"/>
      <c r="C86" s="1038"/>
      <c r="D86" s="1038"/>
      <c r="E86" s="1038"/>
      <c r="F86" s="1038"/>
      <c r="G86" s="1263" t="s">
        <v>618</v>
      </c>
      <c r="H86" s="1038"/>
      <c r="I86" s="1038"/>
      <c r="J86" s="1038"/>
      <c r="K86" s="1038"/>
      <c r="L86" s="1038"/>
      <c r="M86" s="1038"/>
      <c r="N86" s="1038"/>
      <c r="O86" s="1238"/>
    </row>
    <row r="87" spans="2:15" x14ac:dyDescent="0.25">
      <c r="B87" s="1237"/>
      <c r="C87" s="1038"/>
      <c r="D87" s="1038"/>
      <c r="E87" s="1038"/>
      <c r="F87" s="1038"/>
      <c r="G87" s="1260" t="s">
        <v>619</v>
      </c>
      <c r="H87" s="1038"/>
      <c r="I87" s="1264"/>
      <c r="J87" s="1038"/>
      <c r="K87" s="2699">
        <v>0</v>
      </c>
      <c r="L87" s="2699"/>
      <c r="M87" s="1295"/>
      <c r="N87" s="1038"/>
      <c r="O87" s="1238"/>
    </row>
    <row r="88" spans="2:15" x14ac:dyDescent="0.25">
      <c r="B88" s="1237"/>
      <c r="C88" s="1038"/>
      <c r="D88" s="1038"/>
      <c r="E88" s="1038"/>
      <c r="F88" s="1038"/>
      <c r="G88" s="1291" t="s">
        <v>620</v>
      </c>
      <c r="H88" s="1292"/>
      <c r="I88" s="1293"/>
      <c r="J88" s="1298"/>
      <c r="K88" s="2699">
        <v>5336182</v>
      </c>
      <c r="L88" s="2699"/>
      <c r="M88" s="1295"/>
      <c r="N88" s="1038"/>
      <c r="O88" s="1238"/>
    </row>
    <row r="89" spans="2:15" x14ac:dyDescent="0.25">
      <c r="B89" s="1237"/>
      <c r="C89" s="1038"/>
      <c r="D89" s="1038"/>
      <c r="E89" s="1038"/>
      <c r="F89" s="1038"/>
      <c r="G89" s="1260" t="s">
        <v>621</v>
      </c>
      <c r="H89" s="1265"/>
      <c r="I89" s="1264"/>
      <c r="J89" s="1038"/>
      <c r="K89" s="2700">
        <f>K87+K88</f>
        <v>5336182</v>
      </c>
      <c r="L89" s="2700"/>
      <c r="M89" s="1274"/>
      <c r="N89" s="1038"/>
      <c r="O89" s="1238"/>
    </row>
    <row r="90" spans="2:15" ht="7.5" customHeight="1" x14ac:dyDescent="0.25">
      <c r="B90" s="1237"/>
      <c r="C90" s="1038"/>
      <c r="D90" s="1038"/>
      <c r="E90" s="1038"/>
      <c r="F90" s="1038"/>
      <c r="G90" s="1038"/>
      <c r="H90" s="1265"/>
      <c r="I90" s="1264"/>
      <c r="J90" s="1274"/>
      <c r="K90" s="1274"/>
      <c r="L90" s="1274"/>
      <c r="M90" s="1274"/>
      <c r="N90" s="1038"/>
      <c r="O90" s="1238"/>
    </row>
    <row r="91" spans="2:15" x14ac:dyDescent="0.25">
      <c r="B91" s="1237"/>
      <c r="C91" s="1250"/>
      <c r="D91" s="1250"/>
      <c r="E91" s="1250"/>
      <c r="F91" s="1250"/>
      <c r="G91" s="1260" t="s">
        <v>622</v>
      </c>
      <c r="H91" s="1265"/>
      <c r="I91" s="1264"/>
      <c r="J91" s="1274"/>
      <c r="K91" s="2702">
        <f>IFERROR(K87/K89,"0%")</f>
        <v>0</v>
      </c>
      <c r="L91" s="2702"/>
      <c r="M91" s="1274"/>
      <c r="N91" s="1250"/>
      <c r="O91" s="1238"/>
    </row>
    <row r="92" spans="2:15" x14ac:dyDescent="0.25">
      <c r="B92" s="1237"/>
      <c r="C92" s="1250"/>
      <c r="D92" s="1250"/>
      <c r="E92" s="1250"/>
      <c r="F92" s="1250"/>
      <c r="G92" s="1250"/>
      <c r="H92" s="1265"/>
      <c r="I92" s="1264"/>
      <c r="J92" s="1274"/>
      <c r="K92" s="1299"/>
      <c r="L92" s="1274"/>
      <c r="M92" s="1274"/>
      <c r="N92" s="1250"/>
      <c r="O92" s="1238"/>
    </row>
    <row r="93" spans="2:15" x14ac:dyDescent="0.25">
      <c r="B93" s="1237"/>
      <c r="C93" s="185">
        <v>7</v>
      </c>
      <c r="D93" s="1241" t="s">
        <v>671</v>
      </c>
      <c r="E93" s="1241"/>
      <c r="F93" s="1242"/>
      <c r="G93" s="1243"/>
      <c r="H93" s="1243"/>
      <c r="I93" s="1243"/>
      <c r="J93" s="1243"/>
      <c r="K93" s="1243"/>
      <c r="L93" s="1243"/>
      <c r="M93" s="1244"/>
      <c r="N93" s="1231"/>
      <c r="O93" s="1238"/>
    </row>
    <row r="94" spans="2:15" ht="3.75" customHeight="1" x14ac:dyDescent="0.25">
      <c r="B94" s="1237"/>
      <c r="C94" s="1038"/>
      <c r="D94" s="599"/>
      <c r="E94" s="599"/>
      <c r="F94" s="1039"/>
      <c r="G94" s="599"/>
      <c r="H94" s="599"/>
      <c r="I94" s="599"/>
      <c r="J94" s="599"/>
      <c r="K94" s="599"/>
      <c r="L94" s="599"/>
      <c r="M94" s="1251"/>
      <c r="N94" s="599"/>
      <c r="O94" s="1238"/>
    </row>
    <row r="95" spans="2:15" x14ac:dyDescent="0.25">
      <c r="B95" s="1237"/>
      <c r="C95" s="1038"/>
      <c r="D95" s="2704" t="s">
        <v>574</v>
      </c>
      <c r="E95" s="2704"/>
      <c r="F95" s="2704"/>
      <c r="G95" s="2704"/>
      <c r="H95" s="2704"/>
      <c r="I95" s="2704"/>
      <c r="J95" s="2704"/>
      <c r="K95" s="2704"/>
      <c r="L95" s="2704"/>
      <c r="M95" s="2704"/>
      <c r="N95" s="1039"/>
      <c r="O95" s="1238"/>
    </row>
    <row r="96" spans="2:15" ht="7.5" customHeight="1" x14ac:dyDescent="0.25">
      <c r="B96" s="1237"/>
      <c r="C96" s="1038"/>
      <c r="D96" s="1038"/>
      <c r="E96" s="1257"/>
      <c r="F96" s="1257"/>
      <c r="G96" s="1257"/>
      <c r="H96" s="1257"/>
      <c r="I96" s="1257"/>
      <c r="J96" s="1257"/>
      <c r="K96" s="1257"/>
      <c r="L96" s="1257"/>
      <c r="M96" s="1257"/>
      <c r="N96" s="1257"/>
      <c r="O96" s="1258"/>
    </row>
    <row r="97" spans="2:15" x14ac:dyDescent="0.25">
      <c r="B97" s="1237"/>
      <c r="C97" s="1038"/>
      <c r="D97" s="1038"/>
      <c r="E97" s="1038"/>
      <c r="F97" s="2701" t="s">
        <v>963</v>
      </c>
      <c r="G97" s="2701"/>
      <c r="H97" s="979"/>
      <c r="I97" s="979"/>
      <c r="J97" s="979"/>
      <c r="K97" s="979"/>
      <c r="L97" s="979"/>
      <c r="M97" s="979"/>
      <c r="N97" s="979"/>
      <c r="O97" s="1238"/>
    </row>
    <row r="98" spans="2:15" x14ac:dyDescent="0.25">
      <c r="B98" s="1237"/>
      <c r="C98" s="1038"/>
      <c r="D98" s="1038"/>
      <c r="E98" s="1038"/>
      <c r="F98" s="1038"/>
      <c r="G98" s="1038"/>
      <c r="H98" s="1265"/>
      <c r="I98" s="1264"/>
      <c r="J98" s="1300"/>
      <c r="K98" s="1300"/>
      <c r="L98" s="1274"/>
      <c r="M98" s="1274"/>
      <c r="N98" s="1038"/>
      <c r="O98" s="1238"/>
    </row>
    <row r="99" spans="2:15" x14ac:dyDescent="0.25">
      <c r="B99" s="1237"/>
      <c r="C99" s="185">
        <v>8</v>
      </c>
      <c r="D99" s="1241" t="s">
        <v>703</v>
      </c>
      <c r="E99" s="1241"/>
      <c r="F99" s="1242"/>
      <c r="G99" s="1243"/>
      <c r="H99" s="1243"/>
      <c r="I99" s="1243"/>
      <c r="J99" s="1243"/>
      <c r="K99" s="1243"/>
      <c r="L99" s="1243"/>
      <c r="M99" s="1244"/>
      <c r="N99" s="1231">
        <v>3</v>
      </c>
      <c r="O99" s="1238"/>
    </row>
    <row r="100" spans="2:15" ht="3.75" customHeight="1" x14ac:dyDescent="0.25">
      <c r="B100" s="1237"/>
      <c r="C100" s="1038"/>
      <c r="D100" s="599"/>
      <c r="E100" s="599"/>
      <c r="F100" s="1038"/>
      <c r="G100" s="599"/>
      <c r="H100" s="599"/>
      <c r="I100" s="599"/>
      <c r="J100" s="599"/>
      <c r="K100" s="599"/>
      <c r="L100" s="599"/>
      <c r="M100" s="1251"/>
      <c r="N100" s="599"/>
      <c r="O100" s="1238"/>
    </row>
    <row r="101" spans="2:15" x14ac:dyDescent="0.25">
      <c r="B101" s="1237"/>
      <c r="C101" s="1038"/>
      <c r="D101" s="2209" t="s">
        <v>623</v>
      </c>
      <c r="E101" s="2209"/>
      <c r="F101" s="2209"/>
      <c r="G101" s="2209"/>
      <c r="H101" s="2209"/>
      <c r="I101" s="2209"/>
      <c r="J101" s="2209"/>
      <c r="K101" s="2209"/>
      <c r="L101" s="2209"/>
      <c r="M101" s="2209"/>
      <c r="N101" s="1039"/>
      <c r="O101" s="1238"/>
    </row>
    <row r="102" spans="2:15" x14ac:dyDescent="0.25">
      <c r="B102" s="1237"/>
      <c r="C102" s="1038"/>
      <c r="D102" s="1039"/>
      <c r="E102" s="1039"/>
      <c r="F102" s="1259"/>
      <c r="G102" s="1259"/>
      <c r="H102" s="1038"/>
      <c r="I102" s="1259"/>
      <c r="J102" s="1259"/>
      <c r="K102" s="1259"/>
      <c r="L102" s="1259"/>
      <c r="M102" s="1262"/>
      <c r="N102" s="1259"/>
      <c r="O102" s="1238"/>
    </row>
    <row r="103" spans="2:15" x14ac:dyDescent="0.25">
      <c r="B103" s="1237"/>
      <c r="C103" s="185">
        <v>9</v>
      </c>
      <c r="D103" s="1241" t="s">
        <v>704</v>
      </c>
      <c r="E103" s="1241"/>
      <c r="F103" s="1242"/>
      <c r="G103" s="1243"/>
      <c r="H103" s="1243"/>
      <c r="I103" s="1243"/>
      <c r="J103" s="1243"/>
      <c r="K103" s="1243"/>
      <c r="L103" s="1243"/>
      <c r="M103" s="1244"/>
      <c r="N103" s="1231">
        <v>0</v>
      </c>
      <c r="O103" s="1238"/>
    </row>
    <row r="104" spans="2:15" ht="3.75" customHeight="1" x14ac:dyDescent="0.25">
      <c r="B104" s="1237"/>
      <c r="C104" s="1038"/>
      <c r="D104" s="1038"/>
      <c r="E104" s="1038"/>
      <c r="F104" s="1038"/>
      <c r="G104" s="1038"/>
      <c r="H104" s="1038"/>
      <c r="I104" s="1038"/>
      <c r="J104" s="1038"/>
      <c r="K104" s="1038"/>
      <c r="L104" s="1038"/>
      <c r="M104" s="1038"/>
      <c r="N104" s="1038"/>
      <c r="O104" s="1238"/>
    </row>
    <row r="105" spans="2:15" x14ac:dyDescent="0.25">
      <c r="B105" s="1237"/>
      <c r="C105" s="1038"/>
      <c r="D105" s="2209" t="s">
        <v>624</v>
      </c>
      <c r="E105" s="2209"/>
      <c r="F105" s="2209"/>
      <c r="G105" s="2209"/>
      <c r="H105" s="2209"/>
      <c r="I105" s="2209"/>
      <c r="J105" s="2209"/>
      <c r="K105" s="2209"/>
      <c r="L105" s="2209"/>
      <c r="M105" s="2209"/>
      <c r="N105" s="1039"/>
      <c r="O105" s="1238"/>
    </row>
    <row r="106" spans="2:15" x14ac:dyDescent="0.25">
      <c r="B106" s="1237"/>
      <c r="C106" s="1038"/>
      <c r="D106" s="1039"/>
      <c r="E106" s="1039"/>
      <c r="F106" s="1039"/>
      <c r="G106" s="1039"/>
      <c r="H106" s="1039"/>
      <c r="I106" s="1039"/>
      <c r="J106" s="1039"/>
      <c r="K106" s="1039"/>
      <c r="L106" s="1039"/>
      <c r="M106" s="1039"/>
      <c r="N106" s="1039"/>
      <c r="O106" s="1238"/>
    </row>
    <row r="107" spans="2:15" x14ac:dyDescent="0.25">
      <c r="B107" s="1237"/>
      <c r="C107" s="185">
        <v>10</v>
      </c>
      <c r="D107" s="1241" t="s">
        <v>705</v>
      </c>
      <c r="E107" s="1241"/>
      <c r="F107" s="1242"/>
      <c r="G107" s="1243"/>
      <c r="H107" s="1243"/>
      <c r="I107" s="1243"/>
      <c r="J107" s="1243"/>
      <c r="K107" s="1243"/>
      <c r="L107" s="1243"/>
      <c r="M107" s="1244"/>
      <c r="N107" s="1231">
        <v>3</v>
      </c>
      <c r="O107" s="1238"/>
    </row>
    <row r="108" spans="2:15" ht="3.75" customHeight="1" x14ac:dyDescent="0.25">
      <c r="B108" s="1237"/>
      <c r="C108" s="1038"/>
      <c r="D108" s="1038"/>
      <c r="E108" s="1038"/>
      <c r="F108" s="1038"/>
      <c r="G108" s="1038"/>
      <c r="H108" s="1038"/>
      <c r="I108" s="1038"/>
      <c r="J108" s="1038"/>
      <c r="K108" s="1038"/>
      <c r="L108" s="1038"/>
      <c r="M108" s="1038"/>
      <c r="N108" s="1038"/>
      <c r="O108" s="1238"/>
    </row>
    <row r="109" spans="2:15" ht="30" customHeight="1" x14ac:dyDescent="0.25">
      <c r="B109" s="1237"/>
      <c r="C109" s="1038"/>
      <c r="D109" s="2717" t="s">
        <v>625</v>
      </c>
      <c r="E109" s="2717"/>
      <c r="F109" s="2717"/>
      <c r="G109" s="2717"/>
      <c r="H109" s="2717"/>
      <c r="I109" s="2717"/>
      <c r="J109" s="2717"/>
      <c r="K109" s="2717"/>
      <c r="L109" s="2717"/>
      <c r="M109" s="2717"/>
      <c r="N109" s="1039"/>
      <c r="O109" s="1238"/>
    </row>
    <row r="110" spans="2:15" ht="7.5" customHeight="1" x14ac:dyDescent="0.25">
      <c r="B110" s="1237"/>
      <c r="C110" s="1038"/>
      <c r="D110" s="1039"/>
      <c r="E110" s="1039"/>
      <c r="F110" s="1039"/>
      <c r="G110" s="1039"/>
      <c r="H110" s="1039"/>
      <c r="I110" s="1039"/>
      <c r="J110" s="1039"/>
      <c r="K110" s="1039"/>
      <c r="L110" s="1039"/>
      <c r="M110" s="1039"/>
      <c r="N110" s="1039"/>
      <c r="O110" s="1238"/>
    </row>
    <row r="111" spans="2:15" x14ac:dyDescent="0.25">
      <c r="B111" s="1237"/>
      <c r="C111" s="1038"/>
      <c r="D111" s="1038"/>
      <c r="E111" s="1245"/>
      <c r="F111" s="2694" t="s">
        <v>1529</v>
      </c>
      <c r="G111" s="2694"/>
      <c r="H111" s="2694"/>
      <c r="I111" s="2694"/>
      <c r="J111" s="2694"/>
      <c r="K111" s="2694"/>
      <c r="L111" s="2694"/>
      <c r="M111" s="2694"/>
      <c r="N111" s="1259"/>
      <c r="O111" s="1238"/>
    </row>
    <row r="112" spans="2:15" x14ac:dyDescent="0.25">
      <c r="B112" s="1237"/>
      <c r="C112" s="1038"/>
      <c r="D112" s="1038"/>
      <c r="E112" s="1273"/>
      <c r="F112" s="1038"/>
      <c r="G112" s="1038"/>
      <c r="H112" s="1265"/>
      <c r="I112" s="1264"/>
      <c r="J112" s="1274"/>
      <c r="K112" s="1274"/>
      <c r="L112" s="1274"/>
      <c r="M112" s="1274"/>
      <c r="N112" s="1038"/>
      <c r="O112" s="1238"/>
    </row>
    <row r="113" spans="2:15" x14ac:dyDescent="0.25">
      <c r="B113" s="1237"/>
      <c r="C113" s="185">
        <v>11</v>
      </c>
      <c r="D113" s="1241" t="s">
        <v>695</v>
      </c>
      <c r="E113" s="1241"/>
      <c r="F113" s="1242"/>
      <c r="G113" s="1243"/>
      <c r="H113" s="1243"/>
      <c r="I113" s="1243"/>
      <c r="J113" s="1243"/>
      <c r="K113" s="1243"/>
      <c r="L113" s="1243"/>
      <c r="M113" s="1244"/>
      <c r="N113" s="1231">
        <v>0</v>
      </c>
      <c r="O113" s="1238"/>
    </row>
    <row r="114" spans="2:15" ht="3.75" customHeight="1" x14ac:dyDescent="0.25">
      <c r="B114" s="1237"/>
      <c r="C114" s="1038"/>
      <c r="D114" s="1038"/>
      <c r="E114" s="1038"/>
      <c r="F114" s="1038"/>
      <c r="G114" s="1038"/>
      <c r="H114" s="1038"/>
      <c r="I114" s="1038"/>
      <c r="J114" s="1038"/>
      <c r="K114" s="1038"/>
      <c r="L114" s="1038"/>
      <c r="M114" s="1038"/>
      <c r="N114" s="1038"/>
      <c r="O114" s="1238"/>
    </row>
    <row r="115" spans="2:15" ht="30" customHeight="1" x14ac:dyDescent="0.25">
      <c r="B115" s="1237"/>
      <c r="C115" s="1038"/>
      <c r="D115" s="2695" t="s">
        <v>626</v>
      </c>
      <c r="E115" s="2695"/>
      <c r="F115" s="2695"/>
      <c r="G115" s="2695"/>
      <c r="H115" s="2695"/>
      <c r="I115" s="2695"/>
      <c r="J115" s="2695"/>
      <c r="K115" s="2695"/>
      <c r="L115" s="2695"/>
      <c r="M115" s="2695"/>
      <c r="N115" s="1039"/>
      <c r="O115" s="1238"/>
    </row>
    <row r="116" spans="2:15" ht="7.5" customHeight="1" x14ac:dyDescent="0.25">
      <c r="B116" s="1237"/>
      <c r="C116" s="1038"/>
      <c r="D116" s="1039"/>
      <c r="E116" s="1038"/>
      <c r="F116" s="1038"/>
      <c r="G116" s="1038"/>
      <c r="H116" s="1038"/>
      <c r="I116" s="1038"/>
      <c r="J116" s="1038"/>
      <c r="K116" s="1038"/>
      <c r="L116" s="1038"/>
      <c r="M116" s="1038"/>
      <c r="N116" s="1038"/>
      <c r="O116" s="1238"/>
    </row>
    <row r="117" spans="2:15" x14ac:dyDescent="0.25">
      <c r="B117" s="1237"/>
      <c r="C117" s="1038"/>
      <c r="D117" s="1038"/>
      <c r="E117" s="1038"/>
      <c r="F117" s="2694"/>
      <c r="G117" s="2694"/>
      <c r="H117" s="2694"/>
      <c r="I117" s="2694"/>
      <c r="J117" s="2694"/>
      <c r="K117" s="2694"/>
      <c r="L117" s="2694"/>
      <c r="M117" s="2694"/>
      <c r="N117" s="1259"/>
      <c r="O117" s="1238"/>
    </row>
    <row r="118" spans="2:15" ht="15" customHeight="1" x14ac:dyDescent="0.25">
      <c r="B118" s="1237"/>
      <c r="C118" s="1250"/>
      <c r="D118" s="1250"/>
      <c r="E118" s="1250"/>
      <c r="F118" s="1250"/>
      <c r="G118" s="1250"/>
      <c r="H118" s="1250"/>
      <c r="I118" s="1250"/>
      <c r="J118" s="1250"/>
      <c r="K118" s="1250"/>
      <c r="L118" s="1250"/>
      <c r="M118" s="1262"/>
      <c r="N118" s="1259"/>
      <c r="O118" s="1238"/>
    </row>
    <row r="119" spans="2:15" x14ac:dyDescent="0.25">
      <c r="B119" s="1237"/>
      <c r="C119" s="185">
        <v>12</v>
      </c>
      <c r="D119" s="1241" t="s">
        <v>706</v>
      </c>
      <c r="E119" s="1241"/>
      <c r="F119" s="1242"/>
      <c r="G119" s="1243"/>
      <c r="H119" s="1243"/>
      <c r="I119" s="1243"/>
      <c r="J119" s="1243"/>
      <c r="K119" s="1243"/>
      <c r="L119" s="1243"/>
      <c r="M119" s="1244"/>
      <c r="N119" s="1233">
        <v>3</v>
      </c>
      <c r="O119" s="1238"/>
    </row>
    <row r="120" spans="2:15" ht="3.75" customHeight="1" x14ac:dyDescent="0.25">
      <c r="B120" s="1237"/>
      <c r="C120" s="1038"/>
      <c r="D120" s="599"/>
      <c r="E120" s="599"/>
      <c r="F120" s="1039"/>
      <c r="G120" s="599"/>
      <c r="H120" s="599"/>
      <c r="I120" s="599"/>
      <c r="J120" s="599"/>
      <c r="K120" s="599"/>
      <c r="L120" s="599"/>
      <c r="M120" s="1251"/>
      <c r="N120" s="599"/>
      <c r="O120" s="1238"/>
    </row>
    <row r="121" spans="2:15" ht="30" customHeight="1" x14ac:dyDescent="0.25">
      <c r="B121" s="1237"/>
      <c r="C121" s="1038"/>
      <c r="D121" s="2695" t="s">
        <v>627</v>
      </c>
      <c r="E121" s="2695"/>
      <c r="F121" s="2695"/>
      <c r="G121" s="2695"/>
      <c r="H121" s="2695"/>
      <c r="I121" s="2695"/>
      <c r="J121" s="2695"/>
      <c r="K121" s="2695"/>
      <c r="L121" s="2695"/>
      <c r="M121" s="2695"/>
      <c r="N121" s="1039"/>
      <c r="O121" s="1238"/>
    </row>
    <row r="122" spans="2:15" x14ac:dyDescent="0.25">
      <c r="B122" s="1237"/>
      <c r="C122" s="1038"/>
      <c r="D122" s="599"/>
      <c r="E122" s="599"/>
      <c r="F122" s="1259"/>
      <c r="G122" s="1259"/>
      <c r="H122" s="1259"/>
      <c r="I122" s="1259"/>
      <c r="J122" s="1259"/>
      <c r="K122" s="599"/>
      <c r="L122" s="1275"/>
      <c r="M122" s="1251"/>
      <c r="N122" s="599"/>
      <c r="O122" s="1238"/>
    </row>
    <row r="123" spans="2:15" x14ac:dyDescent="0.25">
      <c r="B123" s="1237"/>
      <c r="C123" s="185">
        <v>13</v>
      </c>
      <c r="D123" s="1241" t="s">
        <v>678</v>
      </c>
      <c r="E123" s="1241"/>
      <c r="F123" s="1242"/>
      <c r="G123" s="1243"/>
      <c r="H123" s="1243"/>
      <c r="I123" s="1243"/>
      <c r="J123" s="1243"/>
      <c r="K123" s="1243"/>
      <c r="L123" s="1243"/>
      <c r="M123" s="1244"/>
      <c r="N123" s="1231">
        <v>0</v>
      </c>
      <c r="O123" s="1238"/>
    </row>
    <row r="124" spans="2:15" ht="3.75" customHeight="1" x14ac:dyDescent="0.25">
      <c r="B124" s="1237"/>
      <c r="C124" s="1038"/>
      <c r="D124" s="599"/>
      <c r="E124" s="599"/>
      <c r="F124" s="1039"/>
      <c r="G124" s="599"/>
      <c r="H124" s="599"/>
      <c r="I124" s="599"/>
      <c r="J124" s="599"/>
      <c r="K124" s="599"/>
      <c r="L124" s="599"/>
      <c r="M124" s="1251"/>
      <c r="N124" s="599"/>
      <c r="O124" s="1238"/>
    </row>
    <row r="125" spans="2:15" ht="30" customHeight="1" x14ac:dyDescent="0.25">
      <c r="B125" s="1237"/>
      <c r="C125" s="1038"/>
      <c r="D125" s="2695" t="s">
        <v>628</v>
      </c>
      <c r="E125" s="2695"/>
      <c r="F125" s="2695"/>
      <c r="G125" s="2695"/>
      <c r="H125" s="2695"/>
      <c r="I125" s="2695"/>
      <c r="J125" s="2695"/>
      <c r="K125" s="2695"/>
      <c r="L125" s="2695"/>
      <c r="M125" s="2695"/>
      <c r="N125" s="1039"/>
      <c r="O125" s="1238"/>
    </row>
    <row r="126" spans="2:15" x14ac:dyDescent="0.25">
      <c r="B126" s="1237"/>
      <c r="C126" s="1038"/>
      <c r="D126" s="599"/>
      <c r="E126" s="599"/>
      <c r="F126" s="1259"/>
      <c r="G126" s="1259"/>
      <c r="H126" s="1259"/>
      <c r="I126" s="1259"/>
      <c r="J126" s="1259"/>
      <c r="K126" s="599"/>
      <c r="L126" s="1275"/>
      <c r="M126" s="1251"/>
      <c r="N126" s="599"/>
      <c r="O126" s="1238"/>
    </row>
    <row r="127" spans="2:15" x14ac:dyDescent="0.25">
      <c r="B127" s="1237"/>
      <c r="C127" s="185">
        <v>14</v>
      </c>
      <c r="D127" s="1241" t="s">
        <v>685</v>
      </c>
      <c r="E127" s="1241"/>
      <c r="F127" s="1242"/>
      <c r="G127" s="1243"/>
      <c r="H127" s="1243"/>
      <c r="I127" s="1243"/>
      <c r="J127" s="1243"/>
      <c r="K127" s="1243"/>
      <c r="L127" s="1243"/>
      <c r="M127" s="1244"/>
      <c r="N127" s="1231">
        <v>2</v>
      </c>
      <c r="O127" s="1238"/>
    </row>
    <row r="128" spans="2:15" ht="3.75" customHeight="1" x14ac:dyDescent="0.25">
      <c r="B128" s="1237"/>
      <c r="C128" s="1038"/>
      <c r="D128" s="599"/>
      <c r="E128" s="599"/>
      <c r="F128" s="1039"/>
      <c r="G128" s="599"/>
      <c r="H128" s="599"/>
      <c r="I128" s="599"/>
      <c r="J128" s="599"/>
      <c r="K128" s="599"/>
      <c r="L128" s="599"/>
      <c r="M128" s="1251"/>
      <c r="N128" s="599"/>
      <c r="O128" s="1238"/>
    </row>
    <row r="129" spans="2:15" x14ac:dyDescent="0.25">
      <c r="B129" s="1237"/>
      <c r="C129" s="1038"/>
      <c r="D129" s="2209" t="s">
        <v>629</v>
      </c>
      <c r="E129" s="2209"/>
      <c r="F129" s="2209"/>
      <c r="G129" s="2209"/>
      <c r="H129" s="2209"/>
      <c r="I129" s="2209"/>
      <c r="J129" s="2209"/>
      <c r="K129" s="2209"/>
      <c r="L129" s="2209"/>
      <c r="M129" s="2209"/>
      <c r="N129" s="1039"/>
      <c r="O129" s="1238"/>
    </row>
    <row r="130" spans="2:15" ht="7.5" customHeight="1" x14ac:dyDescent="0.25">
      <c r="B130" s="1237"/>
      <c r="C130" s="1038"/>
      <c r="D130" s="1257"/>
      <c r="E130" s="1257"/>
      <c r="F130" s="1257"/>
      <c r="G130" s="1257"/>
      <c r="H130" s="1257"/>
      <c r="I130" s="1257"/>
      <c r="J130" s="1257"/>
      <c r="K130" s="1257"/>
      <c r="L130" s="1257"/>
      <c r="M130" s="1257"/>
      <c r="N130" s="1257"/>
      <c r="O130" s="1238"/>
    </row>
    <row r="131" spans="2:15" x14ac:dyDescent="0.25">
      <c r="B131" s="1237"/>
      <c r="C131" s="1038"/>
      <c r="D131" s="1038"/>
      <c r="E131" s="1038"/>
      <c r="F131" s="2694" t="s">
        <v>798</v>
      </c>
      <c r="G131" s="2694"/>
      <c r="H131" s="2694"/>
      <c r="I131" s="2694"/>
      <c r="J131" s="2694"/>
      <c r="K131" s="2694"/>
      <c r="L131" s="2694"/>
      <c r="M131" s="2694"/>
      <c r="N131" s="1038"/>
      <c r="O131" s="1238"/>
    </row>
    <row r="132" spans="2:15" x14ac:dyDescent="0.25">
      <c r="B132" s="1237"/>
      <c r="C132" s="1038"/>
      <c r="D132" s="1038"/>
      <c r="E132" s="1038"/>
      <c r="F132" s="1038"/>
      <c r="G132" s="1038"/>
      <c r="H132" s="1259"/>
      <c r="I132" s="1259"/>
      <c r="J132" s="1259"/>
      <c r="K132" s="1259"/>
      <c r="L132" s="1259"/>
      <c r="M132" s="1259"/>
      <c r="N132" s="1038"/>
      <c r="O132" s="1238"/>
    </row>
    <row r="133" spans="2:15" x14ac:dyDescent="0.25">
      <c r="B133" s="1237"/>
      <c r="C133" s="185">
        <v>15</v>
      </c>
      <c r="D133" s="1241" t="s">
        <v>707</v>
      </c>
      <c r="E133" s="1241"/>
      <c r="F133" s="1242"/>
      <c r="G133" s="1243"/>
      <c r="H133" s="1243"/>
      <c r="I133" s="1243"/>
      <c r="J133" s="1243"/>
      <c r="K133" s="1243"/>
      <c r="L133" s="1243"/>
      <c r="M133" s="1244"/>
      <c r="N133" s="1231"/>
      <c r="O133" s="1238"/>
    </row>
    <row r="134" spans="2:15" ht="3.75" customHeight="1" x14ac:dyDescent="0.25">
      <c r="B134" s="1237"/>
      <c r="C134" s="1038"/>
      <c r="D134" s="599"/>
      <c r="E134" s="599"/>
      <c r="F134" s="1039"/>
      <c r="G134" s="599"/>
      <c r="H134" s="599"/>
      <c r="I134" s="599"/>
      <c r="J134" s="599"/>
      <c r="K134" s="599"/>
      <c r="L134" s="599"/>
      <c r="M134" s="1251"/>
      <c r="N134" s="599"/>
      <c r="O134" s="1238"/>
    </row>
    <row r="135" spans="2:15" ht="30" customHeight="1" x14ac:dyDescent="0.25">
      <c r="B135" s="1237"/>
      <c r="C135" s="1038"/>
      <c r="D135" s="2695" t="s">
        <v>630</v>
      </c>
      <c r="E135" s="2695"/>
      <c r="F135" s="2695"/>
      <c r="G135" s="2695"/>
      <c r="H135" s="2695"/>
      <c r="I135" s="2695"/>
      <c r="J135" s="2695"/>
      <c r="K135" s="2695"/>
      <c r="L135" s="2695"/>
      <c r="M135" s="2695"/>
      <c r="N135" s="1039"/>
      <c r="O135" s="1238"/>
    </row>
    <row r="136" spans="2:15" ht="15" customHeight="1" thickBot="1" x14ac:dyDescent="0.3">
      <c r="B136" s="1267"/>
      <c r="C136" s="1301"/>
      <c r="D136" s="1301"/>
      <c r="E136" s="1301"/>
      <c r="F136" s="1301"/>
      <c r="G136" s="1301"/>
      <c r="H136" s="1301"/>
      <c r="I136" s="1301"/>
      <c r="J136" s="1301"/>
      <c r="K136" s="1301"/>
      <c r="L136" s="1301"/>
      <c r="M136" s="1301"/>
      <c r="N136" s="1301"/>
      <c r="O136" s="1272"/>
    </row>
    <row r="137" spans="2:15" ht="9" customHeight="1" x14ac:dyDescent="0.25">
      <c r="B137" s="1234"/>
      <c r="C137" s="1235"/>
      <c r="D137" s="1235"/>
      <c r="E137" s="1235"/>
      <c r="F137" s="1235"/>
      <c r="G137" s="1235"/>
      <c r="H137" s="1235"/>
      <c r="I137" s="1235"/>
      <c r="J137" s="1235"/>
      <c r="K137" s="1235"/>
      <c r="L137" s="1235"/>
      <c r="M137" s="1235"/>
      <c r="N137" s="1235"/>
      <c r="O137" s="1236"/>
    </row>
    <row r="138" spans="2:15" ht="18.75" x14ac:dyDescent="0.3">
      <c r="B138" s="1237"/>
      <c r="C138" s="2323" t="s">
        <v>1071</v>
      </c>
      <c r="D138" s="2323"/>
      <c r="E138" s="2323"/>
      <c r="F138" s="2323"/>
      <c r="G138" s="2323"/>
      <c r="H138" s="2323"/>
      <c r="I138" s="2323"/>
      <c r="J138" s="2323"/>
      <c r="K138" s="2323"/>
      <c r="L138" s="2323"/>
      <c r="M138" s="2323"/>
      <c r="N138" s="1008"/>
      <c r="O138" s="1238"/>
    </row>
    <row r="139" spans="2:15" x14ac:dyDescent="0.25">
      <c r="B139" s="1237"/>
      <c r="C139" s="1284"/>
      <c r="D139" s="1284"/>
      <c r="E139" s="1284"/>
      <c r="F139" s="1284"/>
      <c r="G139" s="1284"/>
      <c r="H139" s="1284"/>
      <c r="I139" s="1284"/>
      <c r="J139" s="1284"/>
      <c r="K139" s="1284"/>
      <c r="L139" s="1284"/>
      <c r="M139" s="1284"/>
      <c r="N139" s="1284"/>
      <c r="O139" s="1238"/>
    </row>
    <row r="140" spans="2:15" x14ac:dyDescent="0.25">
      <c r="B140" s="1237"/>
      <c r="C140" s="714"/>
      <c r="D140" s="1250" t="s">
        <v>1</v>
      </c>
      <c r="E140" s="979"/>
      <c r="F140" s="979"/>
      <c r="G140" s="978" t="str">
        <f>G78</f>
        <v xml:space="preserve">Building 9 </v>
      </c>
      <c r="H140" s="978"/>
      <c r="I140" s="978"/>
      <c r="J140" s="978"/>
      <c r="K140" s="978"/>
      <c r="L140" s="978"/>
      <c r="M140" s="978"/>
      <c r="N140" s="979"/>
      <c r="O140" s="1238"/>
    </row>
    <row r="141" spans="2:15" ht="30" customHeight="1" x14ac:dyDescent="0.25">
      <c r="B141" s="1237"/>
      <c r="C141" s="1250"/>
      <c r="D141" s="1250"/>
      <c r="E141" s="1250"/>
      <c r="F141" s="1250"/>
      <c r="G141" s="1250"/>
      <c r="H141" s="1250"/>
      <c r="I141" s="1250"/>
      <c r="J141" s="1250"/>
      <c r="K141" s="1250"/>
      <c r="L141" s="1250"/>
      <c r="M141" s="1239"/>
      <c r="N141" s="1240" t="s">
        <v>549</v>
      </c>
      <c r="O141" s="1238"/>
    </row>
    <row r="142" spans="2:15" x14ac:dyDescent="0.25">
      <c r="B142" s="1237"/>
      <c r="C142" s="1038"/>
      <c r="D142" s="1257"/>
      <c r="E142" s="1257"/>
      <c r="F142" s="1257"/>
      <c r="G142" s="1257"/>
      <c r="H142" s="1257"/>
      <c r="I142" s="1257"/>
      <c r="J142" s="1257"/>
      <c r="K142" s="1257"/>
      <c r="L142" s="1257"/>
      <c r="M142" s="1257"/>
      <c r="N142" s="1257"/>
      <c r="O142" s="1238"/>
    </row>
    <row r="143" spans="2:15" x14ac:dyDescent="0.25">
      <c r="B143" s="1237"/>
      <c r="C143" s="185">
        <v>16</v>
      </c>
      <c r="D143" s="1241" t="s">
        <v>708</v>
      </c>
      <c r="E143" s="1241"/>
      <c r="F143" s="1242"/>
      <c r="G143" s="1243"/>
      <c r="H143" s="1243"/>
      <c r="I143" s="1243"/>
      <c r="J143" s="1243"/>
      <c r="K143" s="1243"/>
      <c r="L143" s="1243"/>
      <c r="M143" s="1244"/>
      <c r="N143" s="1231">
        <v>3</v>
      </c>
      <c r="O143" s="1238"/>
    </row>
    <row r="144" spans="2:15" ht="3.75" customHeight="1" x14ac:dyDescent="0.25">
      <c r="B144" s="1237"/>
      <c r="C144" s="1038"/>
      <c r="D144" s="599"/>
      <c r="E144" s="599"/>
      <c r="F144" s="1039"/>
      <c r="G144" s="599"/>
      <c r="H144" s="599"/>
      <c r="I144" s="599"/>
      <c r="J144" s="599"/>
      <c r="K144" s="599"/>
      <c r="L144" s="599"/>
      <c r="M144" s="1251"/>
      <c r="N144" s="599"/>
      <c r="O144" s="1238"/>
    </row>
    <row r="145" spans="2:15" ht="30" customHeight="1" x14ac:dyDescent="0.25">
      <c r="B145" s="1237"/>
      <c r="C145" s="1038"/>
      <c r="D145" s="2695" t="s">
        <v>631</v>
      </c>
      <c r="E145" s="2695"/>
      <c r="F145" s="2695"/>
      <c r="G145" s="2695"/>
      <c r="H145" s="2695"/>
      <c r="I145" s="2695"/>
      <c r="J145" s="2695"/>
      <c r="K145" s="2695"/>
      <c r="L145" s="2695"/>
      <c r="M145" s="2695"/>
      <c r="N145" s="1039"/>
      <c r="O145" s="1238"/>
    </row>
    <row r="146" spans="2:15" ht="7.5" customHeight="1" x14ac:dyDescent="0.25">
      <c r="B146" s="1237"/>
      <c r="C146" s="1038"/>
      <c r="D146" s="1257"/>
      <c r="E146" s="1257"/>
      <c r="F146" s="1257"/>
      <c r="G146" s="1257"/>
      <c r="H146" s="1257"/>
      <c r="I146" s="1257"/>
      <c r="J146" s="1257"/>
      <c r="K146" s="1257"/>
      <c r="L146" s="1257"/>
      <c r="M146" s="1257"/>
      <c r="N146" s="1257"/>
      <c r="O146" s="1238"/>
    </row>
    <row r="147" spans="2:15" x14ac:dyDescent="0.25">
      <c r="B147" s="1237"/>
      <c r="C147" s="1038"/>
      <c r="D147" s="1038"/>
      <c r="E147" s="1038"/>
      <c r="F147" s="1259"/>
      <c r="G147" s="1287" t="s">
        <v>632</v>
      </c>
      <c r="H147" s="1038"/>
      <c r="I147" s="1259"/>
      <c r="J147" s="1259"/>
      <c r="K147" s="1259"/>
      <c r="L147" s="1259"/>
      <c r="M147" s="1262"/>
      <c r="N147" s="1259"/>
      <c r="O147" s="1238"/>
    </row>
    <row r="148" spans="2:15" x14ac:dyDescent="0.25">
      <c r="B148" s="1237"/>
      <c r="C148" s="1038"/>
      <c r="D148" s="1038"/>
      <c r="E148" s="1038"/>
      <c r="F148" s="1259"/>
      <c r="G148" s="1511"/>
      <c r="H148" s="1259" t="s">
        <v>633</v>
      </c>
      <c r="I148" s="1259"/>
      <c r="J148" s="1259"/>
      <c r="K148" s="1259"/>
      <c r="L148" s="1259"/>
      <c r="M148" s="1262"/>
      <c r="N148" s="1259"/>
      <c r="O148" s="1238"/>
    </row>
    <row r="149" spans="2:15" x14ac:dyDescent="0.25">
      <c r="B149" s="1237"/>
      <c r="C149" s="1038"/>
      <c r="D149" s="1038"/>
      <c r="E149" s="1038"/>
      <c r="F149" s="1259"/>
      <c r="G149" s="1511" t="s">
        <v>1223</v>
      </c>
      <c r="H149" s="1259" t="s">
        <v>634</v>
      </c>
      <c r="I149" s="1259"/>
      <c r="J149" s="1259"/>
      <c r="K149" s="1259"/>
      <c r="L149" s="1259"/>
      <c r="M149" s="1262"/>
      <c r="N149" s="1259"/>
      <c r="O149" s="1238"/>
    </row>
    <row r="150" spans="2:15" x14ac:dyDescent="0.25">
      <c r="B150" s="1237"/>
      <c r="C150" s="1038"/>
      <c r="D150" s="1038"/>
      <c r="E150" s="1038"/>
      <c r="F150" s="1259"/>
      <c r="G150" s="1511" t="s">
        <v>1223</v>
      </c>
      <c r="H150" s="1259" t="s">
        <v>635</v>
      </c>
      <c r="I150" s="1259"/>
      <c r="J150" s="1259"/>
      <c r="K150" s="1259"/>
      <c r="L150" s="1259"/>
      <c r="M150" s="1262"/>
      <c r="N150" s="1259"/>
      <c r="O150" s="1238"/>
    </row>
    <row r="151" spans="2:15" x14ac:dyDescent="0.25">
      <c r="B151" s="1237"/>
      <c r="C151" s="1038"/>
      <c r="D151" s="1038"/>
      <c r="E151" s="1038"/>
      <c r="F151" s="1259"/>
      <c r="G151" s="1511" t="s">
        <v>1223</v>
      </c>
      <c r="H151" s="1250" t="s">
        <v>636</v>
      </c>
      <c r="I151" s="1259"/>
      <c r="J151" s="1259"/>
      <c r="K151" s="1259"/>
      <c r="L151" s="1259"/>
      <c r="M151" s="1262"/>
      <c r="N151" s="1259"/>
      <c r="O151" s="1238"/>
    </row>
    <row r="152" spans="2:15" ht="7.5" customHeight="1" thickBot="1" x14ac:dyDescent="0.3">
      <c r="B152" s="1237"/>
      <c r="C152" s="1038"/>
      <c r="D152" s="1038"/>
      <c r="E152" s="1038"/>
      <c r="F152" s="1278"/>
      <c r="G152" s="1302"/>
      <c r="H152" s="1302"/>
      <c r="I152" s="1302"/>
      <c r="J152" s="1302"/>
      <c r="K152" s="1302"/>
      <c r="L152" s="1302"/>
      <c r="M152" s="1038"/>
      <c r="N152" s="1038"/>
      <c r="O152" s="1238"/>
    </row>
    <row r="153" spans="2:15" ht="17.25" thickTop="1" thickBot="1" x14ac:dyDescent="0.3">
      <c r="B153" s="1237"/>
      <c r="C153" s="1303"/>
      <c r="D153" s="2706" t="s">
        <v>637</v>
      </c>
      <c r="E153" s="2707"/>
      <c r="F153" s="2707"/>
      <c r="G153" s="2707"/>
      <c r="H153" s="2707"/>
      <c r="I153" s="2707"/>
      <c r="J153" s="2707"/>
      <c r="K153" s="2707"/>
      <c r="L153" s="2707"/>
      <c r="M153" s="2708"/>
      <c r="N153" s="1304">
        <f>N18+N24+N30+N53+N64+N80+N93+N99+N103+N107+N113+N119+N123+N127+N133+N143</f>
        <v>78</v>
      </c>
      <c r="O153" s="1238"/>
    </row>
    <row r="154" spans="2:15" ht="9" customHeight="1" thickBot="1" x14ac:dyDescent="0.3">
      <c r="B154" s="1267"/>
      <c r="C154" s="1268"/>
      <c r="D154" s="1268"/>
      <c r="E154" s="1268"/>
      <c r="F154" s="1268"/>
      <c r="G154" s="1268"/>
      <c r="H154" s="1268"/>
      <c r="I154" s="1268"/>
      <c r="J154" s="1268"/>
      <c r="K154" s="1268"/>
      <c r="L154" s="1268"/>
      <c r="M154" s="1268"/>
      <c r="N154" s="1268"/>
      <c r="O154" s="1272"/>
    </row>
  </sheetData>
  <sheetProtection algorithmName="SHA-512" hashValue="yr6oDFDW1Im0yj4fC+oTQxek46mYKxkVfA50vdAWBjIS6cJK7R6/R9nV1sXtY6wKigIl074tErRogRzMBCP20Q==" saltValue="NpoAeG4WINc6lUwAjjZNDQ==" spinCount="100000" sheet="1" objects="1" scenarios="1" formatCells="0" formatColumns="0" formatRows="0"/>
  <mergeCells count="38">
    <mergeCell ref="D135:M135"/>
    <mergeCell ref="D145:M145"/>
    <mergeCell ref="D55:M55"/>
    <mergeCell ref="D66:M66"/>
    <mergeCell ref="D82:M82"/>
    <mergeCell ref="D95:M95"/>
    <mergeCell ref="D101:M101"/>
    <mergeCell ref="F131:M131"/>
    <mergeCell ref="K91:L91"/>
    <mergeCell ref="F97:G97"/>
    <mergeCell ref="F111:M111"/>
    <mergeCell ref="F117:M117"/>
    <mergeCell ref="D105:M105"/>
    <mergeCell ref="D129:M129"/>
    <mergeCell ref="D109:M109"/>
    <mergeCell ref="D115:M115"/>
    <mergeCell ref="J72:K72"/>
    <mergeCell ref="J73:K73"/>
    <mergeCell ref="F84:M84"/>
    <mergeCell ref="K87:L87"/>
    <mergeCell ref="K88:L88"/>
    <mergeCell ref="C76:M76"/>
    <mergeCell ref="D153:M153"/>
    <mergeCell ref="C138:M138"/>
    <mergeCell ref="F44:M44"/>
    <mergeCell ref="D20:M20"/>
    <mergeCell ref="D26:M26"/>
    <mergeCell ref="D32:M32"/>
    <mergeCell ref="F40:M40"/>
    <mergeCell ref="F22:M22"/>
    <mergeCell ref="F28:G28"/>
    <mergeCell ref="F36:M36"/>
    <mergeCell ref="D121:M121"/>
    <mergeCell ref="D125:M125"/>
    <mergeCell ref="K89:L89"/>
    <mergeCell ref="F57:M57"/>
    <mergeCell ref="F68:M68"/>
    <mergeCell ref="J71:K71"/>
  </mergeCells>
  <conditionalFormatting sqref="G148:G151">
    <cfRule type="cellIs" dxfId="0" priority="1" operator="equal">
      <formula>"X"</formula>
    </cfRule>
  </conditionalFormatting>
  <dataValidations count="13">
    <dataValidation type="list" allowBlank="1" showInputMessage="1" showErrorMessage="1" sqref="F22:M22">
      <formula1>LIH_Commit</formula1>
    </dataValidation>
    <dataValidation type="list" allowBlank="1" showInputMessage="1" showErrorMessage="1" sqref="F28:G28">
      <formula1>Years</formula1>
    </dataValidation>
    <dataValidation type="list" allowBlank="1" showInputMessage="1" showErrorMessage="1" sqref="F36:M36">
      <formula1>PriorityPopulations10</formula1>
    </dataValidation>
    <dataValidation type="list" allowBlank="1" showInputMessage="1" showErrorMessage="1" sqref="F40:M40">
      <formula1>PriorityPopulations20</formula1>
    </dataValidation>
    <dataValidation type="list" allowBlank="1" showInputMessage="1" showErrorMessage="1" sqref="F44:M44">
      <formula1>senior_housing_10</formula1>
    </dataValidation>
    <dataValidation type="list" allowBlank="1" showInputMessage="1" showErrorMessage="1" sqref="G47:G51 G148:G151">
      <formula1>"X"</formula1>
    </dataValidation>
    <dataValidation type="list" allowBlank="1" showInputMessage="1" showErrorMessage="1" sqref="F57:M57">
      <formula1>Project_Based_Rental_Assistance</formula1>
    </dataValidation>
    <dataValidation type="list" allowBlank="1" showInputMessage="1" showErrorMessage="1" sqref="F68:M68">
      <formula1>leveraging_public_resources_10</formula1>
    </dataValidation>
    <dataValidation type="list" allowBlank="1" showInputMessage="1" showErrorMessage="1" sqref="F84:M84">
      <formula1>leveraging_taxable_bonds_7</formula1>
    </dataValidation>
    <dataValidation type="list" allowBlank="1" showInputMessage="1" showErrorMessage="1" sqref="F97:G97">
      <formula1>DevFees</formula1>
    </dataValidation>
    <dataValidation type="list" allowBlank="1" showInputMessage="1" showErrorMessage="1" sqref="F111:M111">
      <formula1>property_type_10</formula1>
    </dataValidation>
    <dataValidation type="list" allowBlank="1" showInputMessage="1" showErrorMessage="1" sqref="F117:M117">
      <formula1>Location_eff</formula1>
    </dataValidation>
    <dataValidation type="list" allowBlank="1" showInputMessage="1" showErrorMessage="1" sqref="F131:M131">
      <formula1>NP_Sponsor_4_Perc</formula1>
    </dataValidation>
  </dataValidations>
  <pageMargins left="0.7" right="0.7" top="0.75" bottom="0.75" header="0.3" footer="0.3"/>
  <pageSetup scale="81" fitToHeight="3" orientation="portrait" r:id="rId1"/>
  <headerFooter>
    <oddFooter>&amp;LForm 11B
4%/Bond LIHTC Scoring Synopsis&amp;CCFA Forms&amp;REdition: 2015
Version: 1.0</oddFooter>
  </headerFooter>
  <rowBreaks count="2" manualBreakCount="2">
    <brk id="74" min="1" max="14" man="1"/>
    <brk id="136" min="1" max="14" man="1"/>
  </row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Q3"/>
  <sheetViews>
    <sheetView workbookViewId="0">
      <selection activeCell="C2" sqref="C2"/>
    </sheetView>
  </sheetViews>
  <sheetFormatPr defaultRowHeight="15" x14ac:dyDescent="0.25"/>
  <cols>
    <col min="1" max="1" width="15.28515625" bestFit="1" customWidth="1"/>
    <col min="2" max="2" width="23.5703125" bestFit="1" customWidth="1"/>
    <col min="3" max="3" width="13.140625" bestFit="1" customWidth="1"/>
    <col min="4" max="5" width="8.42578125" bestFit="1" customWidth="1"/>
    <col min="6" max="6" width="10.85546875" bestFit="1" customWidth="1"/>
    <col min="7" max="7" width="10.7109375" bestFit="1" customWidth="1"/>
    <col min="8" max="8" width="7.42578125" bestFit="1" customWidth="1"/>
    <col min="9" max="9" width="12.42578125" bestFit="1" customWidth="1"/>
    <col min="10" max="10" width="7.5703125" bestFit="1" customWidth="1"/>
    <col min="11" max="11" width="10.5703125" bestFit="1" customWidth="1"/>
    <col min="12" max="12" width="8" bestFit="1" customWidth="1"/>
    <col min="13" max="13" width="6.42578125" bestFit="1" customWidth="1"/>
    <col min="14" max="17" width="4.5703125" bestFit="1" customWidth="1"/>
    <col min="18" max="18" width="7.28515625" bestFit="1" customWidth="1"/>
    <col min="19" max="19" width="4.85546875" bestFit="1" customWidth="1"/>
    <col min="20" max="20" width="4" bestFit="1" customWidth="1"/>
    <col min="21" max="21" width="11.140625" bestFit="1" customWidth="1"/>
    <col min="22" max="26" width="4.7109375" bestFit="1" customWidth="1"/>
    <col min="27" max="27" width="5.28515625" bestFit="1" customWidth="1"/>
    <col min="28" max="28" width="6.7109375" bestFit="1" customWidth="1"/>
    <col min="29" max="33" width="4.7109375" bestFit="1" customWidth="1"/>
    <col min="34" max="34" width="5.28515625" bestFit="1" customWidth="1"/>
    <col min="35" max="35" width="9.42578125" bestFit="1" customWidth="1"/>
    <col min="36" max="36" width="13.28515625" bestFit="1" customWidth="1"/>
    <col min="37" max="44" width="4.42578125" bestFit="1" customWidth="1"/>
    <col min="45" max="45" width="11.28515625" bestFit="1" customWidth="1"/>
    <col min="46" max="46" width="7.85546875" bestFit="1" customWidth="1"/>
    <col min="47" max="47" width="15.28515625" bestFit="1" customWidth="1"/>
    <col min="48" max="48" width="16.140625" bestFit="1" customWidth="1"/>
    <col min="49" max="49" width="7.42578125" bestFit="1" customWidth="1"/>
    <col min="50" max="50" width="7.5703125" bestFit="1" customWidth="1"/>
    <col min="51" max="51" width="12.5703125" bestFit="1" customWidth="1"/>
    <col min="52" max="52" width="14.85546875" bestFit="1" customWidth="1"/>
    <col min="53" max="53" width="10.7109375" bestFit="1" customWidth="1"/>
    <col min="54" max="54" width="12.85546875" bestFit="1" customWidth="1"/>
    <col min="55" max="55" width="10.140625" bestFit="1" customWidth="1"/>
    <col min="56" max="56" width="10.28515625" bestFit="1" customWidth="1"/>
    <col min="57" max="57" width="11.140625" bestFit="1" customWidth="1"/>
    <col min="58" max="58" width="12" bestFit="1" customWidth="1"/>
    <col min="59" max="59" width="11" bestFit="1" customWidth="1"/>
    <col min="60" max="60" width="11.85546875" bestFit="1" customWidth="1"/>
    <col min="61" max="61" width="10.140625" bestFit="1" customWidth="1"/>
    <col min="62" max="62" width="10.28515625" bestFit="1" customWidth="1"/>
    <col min="63" max="63" width="11" bestFit="1" customWidth="1"/>
    <col min="64" max="64" width="11.140625" bestFit="1" customWidth="1"/>
    <col min="65" max="65" width="4.42578125" bestFit="1" customWidth="1"/>
    <col min="66" max="66" width="4.5703125" bestFit="1" customWidth="1"/>
    <col min="67" max="67" width="10.5703125" bestFit="1" customWidth="1"/>
    <col min="68" max="68" width="11.85546875" bestFit="1" customWidth="1"/>
    <col min="69" max="69" width="11.85546875" style="1522" customWidth="1"/>
    <col min="70" max="70" width="4.5703125" bestFit="1" customWidth="1"/>
    <col min="71" max="71" width="7.7109375" style="1522" bestFit="1" customWidth="1"/>
    <col min="72" max="73" width="11.42578125" bestFit="1" customWidth="1"/>
    <col min="74" max="74" width="7.42578125" bestFit="1" customWidth="1"/>
    <col min="75" max="75" width="10.42578125" bestFit="1" customWidth="1"/>
    <col min="76" max="76" width="14.28515625" bestFit="1" customWidth="1"/>
    <col min="77" max="77" width="10.85546875" bestFit="1" customWidth="1"/>
    <col min="78" max="78" width="9.42578125" bestFit="1" customWidth="1"/>
    <col min="79" max="79" width="11" bestFit="1" customWidth="1"/>
    <col min="80" max="80" width="13.85546875" customWidth="1"/>
    <col min="81" max="81" width="11.140625" bestFit="1" customWidth="1"/>
    <col min="82" max="82" width="9.85546875" bestFit="1" customWidth="1"/>
    <col min="83" max="83" width="9" bestFit="1" customWidth="1"/>
    <col min="84" max="84" width="12.7109375" bestFit="1" customWidth="1"/>
    <col min="85" max="85" width="13.140625" bestFit="1" customWidth="1"/>
    <col min="86" max="86" width="22.140625" bestFit="1" customWidth="1"/>
    <col min="87" max="87" width="11.140625" bestFit="1" customWidth="1"/>
    <col min="88" max="90" width="8.85546875" bestFit="1" customWidth="1"/>
    <col min="91" max="91" width="16.85546875" bestFit="1" customWidth="1"/>
    <col min="92" max="94" width="13.140625" bestFit="1" customWidth="1"/>
    <col min="95" max="95" width="8.28515625" bestFit="1" customWidth="1"/>
  </cols>
  <sheetData>
    <row r="1" spans="1:95" ht="31.5" x14ac:dyDescent="0.35">
      <c r="A1" s="1523" t="s">
        <v>1266</v>
      </c>
      <c r="B1" s="1523" t="s">
        <v>492</v>
      </c>
      <c r="C1" s="1523" t="s">
        <v>63</v>
      </c>
      <c r="D1" s="1523" t="s">
        <v>1267</v>
      </c>
      <c r="E1" s="1523" t="s">
        <v>1268</v>
      </c>
      <c r="F1" s="1523" t="s">
        <v>1269</v>
      </c>
      <c r="G1" s="1523" t="s">
        <v>1270</v>
      </c>
      <c r="H1" s="1523" t="s">
        <v>1271</v>
      </c>
      <c r="I1" s="1523" t="s">
        <v>532</v>
      </c>
      <c r="J1" s="1523" t="s">
        <v>1272</v>
      </c>
      <c r="K1" s="1524" t="s">
        <v>1273</v>
      </c>
      <c r="L1" s="1524" t="s">
        <v>1274</v>
      </c>
      <c r="M1" s="1524" t="s">
        <v>1275</v>
      </c>
      <c r="N1" s="1528">
        <v>0.3</v>
      </c>
      <c r="O1" s="1529">
        <v>0.4</v>
      </c>
      <c r="P1" s="1529">
        <v>0.5</v>
      </c>
      <c r="Q1" s="1529">
        <v>0.6</v>
      </c>
      <c r="R1" s="1529" t="s">
        <v>1341</v>
      </c>
      <c r="S1" s="1524" t="s">
        <v>1276</v>
      </c>
      <c r="T1" s="1524" t="s">
        <v>1277</v>
      </c>
      <c r="U1" s="1524" t="s">
        <v>1342</v>
      </c>
      <c r="V1" s="1524" t="s">
        <v>1278</v>
      </c>
      <c r="W1" s="1524" t="s">
        <v>1279</v>
      </c>
      <c r="X1" s="1524" t="s">
        <v>1280</v>
      </c>
      <c r="Y1" s="1524" t="s">
        <v>1281</v>
      </c>
      <c r="Z1" s="1524" t="s">
        <v>1282</v>
      </c>
      <c r="AA1" s="1524" t="s">
        <v>39</v>
      </c>
      <c r="AB1" s="1526" t="s">
        <v>1343</v>
      </c>
      <c r="AC1" s="1526" t="s">
        <v>1278</v>
      </c>
      <c r="AD1" s="1526" t="s">
        <v>1279</v>
      </c>
      <c r="AE1" s="1526" t="s">
        <v>1280</v>
      </c>
      <c r="AF1" s="1526" t="s">
        <v>1281</v>
      </c>
      <c r="AG1" s="1526" t="s">
        <v>1282</v>
      </c>
      <c r="AH1" s="1526" t="s">
        <v>39</v>
      </c>
      <c r="AI1" s="1536" t="s">
        <v>1283</v>
      </c>
      <c r="AJ1" s="1536" t="s">
        <v>1284</v>
      </c>
      <c r="AK1" s="1525" t="s">
        <v>1285</v>
      </c>
      <c r="AL1" s="1525" t="s">
        <v>1286</v>
      </c>
      <c r="AM1" s="1525" t="s">
        <v>1287</v>
      </c>
      <c r="AN1" s="1525" t="s">
        <v>1288</v>
      </c>
      <c r="AO1" s="1525" t="s">
        <v>1289</v>
      </c>
      <c r="AP1" s="1525" t="s">
        <v>1290</v>
      </c>
      <c r="AQ1" s="1525" t="s">
        <v>1291</v>
      </c>
      <c r="AR1" s="1525" t="s">
        <v>1292</v>
      </c>
      <c r="AS1" s="1523" t="s">
        <v>1293</v>
      </c>
      <c r="AT1" s="1523" t="s">
        <v>1294</v>
      </c>
      <c r="AU1" s="1523" t="s">
        <v>1295</v>
      </c>
      <c r="AV1" s="1523" t="s">
        <v>1296</v>
      </c>
      <c r="AW1" s="1534" t="s">
        <v>1297</v>
      </c>
      <c r="AX1" s="1534" t="s">
        <v>1298</v>
      </c>
      <c r="AY1" s="1534" t="s">
        <v>1299</v>
      </c>
      <c r="AZ1" s="1534" t="s">
        <v>1300</v>
      </c>
      <c r="BA1" s="1534" t="s">
        <v>1301</v>
      </c>
      <c r="BB1" s="1534" t="s">
        <v>1302</v>
      </c>
      <c r="BC1" s="1534" t="s">
        <v>1303</v>
      </c>
      <c r="BD1" s="1534" t="s">
        <v>1304</v>
      </c>
      <c r="BE1" s="1534" t="s">
        <v>1305</v>
      </c>
      <c r="BF1" s="1534" t="s">
        <v>1306</v>
      </c>
      <c r="BG1" s="1534" t="s">
        <v>1307</v>
      </c>
      <c r="BH1" s="1534" t="s">
        <v>1308</v>
      </c>
      <c r="BI1" s="1534" t="s">
        <v>1309</v>
      </c>
      <c r="BJ1" s="1534" t="s">
        <v>1310</v>
      </c>
      <c r="BK1" s="1534" t="s">
        <v>1311</v>
      </c>
      <c r="BL1" s="1534" t="s">
        <v>1312</v>
      </c>
      <c r="BM1" s="1534" t="s">
        <v>1313</v>
      </c>
      <c r="BN1" s="1534" t="s">
        <v>1314</v>
      </c>
      <c r="BO1" s="1523" t="s">
        <v>1315</v>
      </c>
      <c r="BP1" s="1524" t="s">
        <v>1344</v>
      </c>
      <c r="BQ1" s="1524" t="s">
        <v>1345</v>
      </c>
      <c r="BR1" s="1531" t="s">
        <v>1316</v>
      </c>
      <c r="BS1" s="1531" t="s">
        <v>1346</v>
      </c>
      <c r="BT1" s="1533" t="s">
        <v>1317</v>
      </c>
      <c r="BU1" s="1525" t="s">
        <v>1318</v>
      </c>
      <c r="BV1" s="1525" t="s">
        <v>932</v>
      </c>
      <c r="BW1" s="1525" t="s">
        <v>1319</v>
      </c>
      <c r="BX1" s="1525" t="s">
        <v>1320</v>
      </c>
      <c r="BY1" s="1525" t="s">
        <v>1321</v>
      </c>
      <c r="BZ1" s="1525" t="s">
        <v>1322</v>
      </c>
      <c r="CA1" s="1525" t="s">
        <v>1323</v>
      </c>
      <c r="CB1" s="1535" t="s">
        <v>1324</v>
      </c>
      <c r="CC1" s="1525" t="s">
        <v>1325</v>
      </c>
      <c r="CD1" s="1525" t="s">
        <v>1326</v>
      </c>
      <c r="CE1" s="1525" t="s">
        <v>1327</v>
      </c>
      <c r="CF1" s="1534" t="s">
        <v>1328</v>
      </c>
      <c r="CG1" s="1534" t="s">
        <v>1329</v>
      </c>
      <c r="CH1" s="1534" t="s">
        <v>1330</v>
      </c>
      <c r="CI1" s="1534" t="s">
        <v>1331</v>
      </c>
      <c r="CJ1" s="1534" t="s">
        <v>1332</v>
      </c>
      <c r="CK1" s="1534" t="s">
        <v>1333</v>
      </c>
      <c r="CL1" s="1534" t="s">
        <v>1334</v>
      </c>
      <c r="CM1" s="1536" t="s">
        <v>1335</v>
      </c>
      <c r="CN1" s="1525" t="s">
        <v>1336</v>
      </c>
      <c r="CO1" s="1525" t="s">
        <v>1337</v>
      </c>
      <c r="CP1" s="1525" t="s">
        <v>1338</v>
      </c>
      <c r="CQ1" s="1523" t="s">
        <v>1339</v>
      </c>
    </row>
    <row r="2" spans="1:95" x14ac:dyDescent="0.25">
      <c r="A2" s="1522" t="str">
        <f>IF('1A'!G12="","",'1A'!G12)</f>
        <v>Mercy Housing Northwest</v>
      </c>
      <c r="B2" s="1522" t="str">
        <f>IF('1A'!G19="","n/a",'1A'!G19)</f>
        <v>n/a</v>
      </c>
      <c r="C2" s="1522" t="str">
        <f>'1A'!G5</f>
        <v xml:space="preserve">Building 9 </v>
      </c>
      <c r="D2" s="1522" t="str">
        <f>'1A'!G33</f>
        <v>Seattle</v>
      </c>
      <c r="E2" s="1522" t="str">
        <f>'1A'!J33</f>
        <v>King</v>
      </c>
      <c r="F2" s="1532"/>
      <c r="G2" s="1522">
        <f>'1A'!G35</f>
        <v>46</v>
      </c>
      <c r="H2" s="1522" t="s">
        <v>1340</v>
      </c>
      <c r="I2" s="1532"/>
      <c r="J2" s="1532"/>
      <c r="K2" s="1532"/>
      <c r="L2" s="1532"/>
      <c r="M2" s="1522">
        <f>'1B'!L44</f>
        <v>40</v>
      </c>
      <c r="N2" s="1522">
        <f>'1B'!L31+'1B'!L32</f>
        <v>20</v>
      </c>
      <c r="O2" s="1522">
        <f>'1B'!L33+'1B'!L34</f>
        <v>0</v>
      </c>
      <c r="P2" s="1522">
        <f>'1B'!L35+'1B'!L36</f>
        <v>20</v>
      </c>
      <c r="Q2" s="1522">
        <f>'1B'!L37+'1B'!L38</f>
        <v>0</v>
      </c>
      <c r="R2" s="1522">
        <f>'1B'!L39+'1B'!L40</f>
        <v>0</v>
      </c>
      <c r="S2" s="1522">
        <f>'1B'!L43</f>
        <v>0</v>
      </c>
      <c r="T2" s="1522">
        <f>'1B'!L42</f>
        <v>0</v>
      </c>
      <c r="U2" s="1522">
        <f>'1B'!E44+'1B'!F44</f>
        <v>0</v>
      </c>
      <c r="V2" s="1522">
        <f>'1B'!G44</f>
        <v>5</v>
      </c>
      <c r="W2" s="1522">
        <f>'1B'!H44</f>
        <v>26</v>
      </c>
      <c r="X2" s="1522">
        <f>'1B'!I44</f>
        <v>9</v>
      </c>
      <c r="Y2" s="1522">
        <f>'1B'!J44</f>
        <v>0</v>
      </c>
      <c r="Z2" s="1522">
        <f>'1B'!K44</f>
        <v>0</v>
      </c>
      <c r="AA2" s="1522">
        <f>'1B'!D44</f>
        <v>0</v>
      </c>
      <c r="AB2" s="1522">
        <f>'1B'!E47+'1B'!F47</f>
        <v>0</v>
      </c>
      <c r="AC2" s="1522">
        <f>'1B'!G47</f>
        <v>576</v>
      </c>
      <c r="AD2" s="1522">
        <f>'1B'!H47</f>
        <v>861</v>
      </c>
      <c r="AE2" s="1522">
        <f>'1B'!I47</f>
        <v>1344</v>
      </c>
      <c r="AF2" s="1522">
        <f>'1B'!J47</f>
        <v>0</v>
      </c>
      <c r="AG2" s="1522">
        <f>'1B'!K47</f>
        <v>0</v>
      </c>
      <c r="AH2" s="1522">
        <f>'1B'!D47</f>
        <v>0</v>
      </c>
      <c r="AI2" s="1521">
        <f>'2B'!K34</f>
        <v>206671</v>
      </c>
      <c r="AJ2" s="1521">
        <f>'2B'!N34</f>
        <v>21175</v>
      </c>
      <c r="AK2" s="1522">
        <f>'2C'!H135</f>
        <v>0</v>
      </c>
      <c r="AL2" s="1522">
        <f>'2C'!H136</f>
        <v>13</v>
      </c>
      <c r="AM2" s="1522">
        <f>'2C'!H137</f>
        <v>10</v>
      </c>
      <c r="AN2" s="1522">
        <f>'2C'!H138</f>
        <v>4</v>
      </c>
      <c r="AO2" s="1522">
        <f>'2C'!H139</f>
        <v>10</v>
      </c>
      <c r="AP2" s="1522">
        <f>'2C'!H140</f>
        <v>5.5</v>
      </c>
      <c r="AQ2" s="1522">
        <f>'2C'!H141</f>
        <v>13</v>
      </c>
      <c r="AR2" s="1522">
        <f>'2C'!H142</f>
        <v>0</v>
      </c>
      <c r="AS2" s="1532"/>
      <c r="AT2" s="1522">
        <f>'5'!F48</f>
        <v>42736</v>
      </c>
      <c r="AU2" s="1522">
        <f>'5'!F59</f>
        <v>42767</v>
      </c>
      <c r="AV2" s="1522">
        <f>'5'!F60</f>
        <v>43313</v>
      </c>
      <c r="AW2" s="1537">
        <f>'6A'!J20</f>
        <v>0</v>
      </c>
      <c r="AX2" s="1537">
        <f>'6A'!K20</f>
        <v>0</v>
      </c>
      <c r="AY2" s="1537">
        <f>'6A'!J34</f>
        <v>0</v>
      </c>
      <c r="AZ2" s="1537">
        <f>'6A'!J35</f>
        <v>5584262</v>
      </c>
      <c r="BA2" s="1532"/>
      <c r="BB2" s="1532"/>
      <c r="BC2" s="1537">
        <f>'6A'!J45</f>
        <v>50565796</v>
      </c>
      <c r="BD2" s="1537">
        <f>'6A'!K45</f>
        <v>47047696</v>
      </c>
      <c r="BE2" s="1537">
        <f>'6A'!J56</f>
        <v>3708142</v>
      </c>
      <c r="BF2" s="1537">
        <f>'6A'!J57</f>
        <v>500000</v>
      </c>
      <c r="BG2" s="1532"/>
      <c r="BH2" s="1532"/>
      <c r="BI2" s="1537">
        <f>'6A'!J88</f>
        <v>624022</v>
      </c>
      <c r="BJ2" s="1537">
        <f>'6A'!K88</f>
        <v>624022</v>
      </c>
      <c r="BK2" s="1537">
        <f>'6A'!J89</f>
        <v>44800.4</v>
      </c>
      <c r="BL2" s="1537">
        <f>'6A'!K89</f>
        <v>44800.4</v>
      </c>
      <c r="BM2" s="1537">
        <f>'6A'!J118</f>
        <v>62440403</v>
      </c>
      <c r="BN2" s="1537">
        <f>'6A'!K118</f>
        <v>58922303</v>
      </c>
      <c r="BO2" s="1532"/>
      <c r="BP2" s="1522">
        <f>'11A'!N162</f>
        <v>159</v>
      </c>
      <c r="BQ2" s="1522">
        <f>'11B'!N153</f>
        <v>78</v>
      </c>
      <c r="BR2" s="1530">
        <f>IF((BP2+BQ2)=0,"n/a",'6D'!G40)</f>
        <v>1.0948905412000001</v>
      </c>
      <c r="BS2" s="1530" t="str">
        <f>IF('7A'!F20=0,"n/a","YES")</f>
        <v>YES</v>
      </c>
      <c r="BT2" s="1532"/>
      <c r="BU2" s="1527">
        <f>'7A'!F48</f>
        <v>8982482.0000048</v>
      </c>
      <c r="BV2" s="1532"/>
      <c r="BW2" s="1527">
        <f>'7A'!F50</f>
        <v>58922303</v>
      </c>
      <c r="BX2" s="1527">
        <f>'7A'!F58</f>
        <v>3518100</v>
      </c>
      <c r="BY2" s="1527">
        <f>'7A'!E42+'7A'!E56</f>
        <v>29898351</v>
      </c>
      <c r="BZ2" s="1527">
        <f>'7A'!F42+'7A'!F56</f>
        <v>13545795</v>
      </c>
      <c r="CA2" s="1532"/>
      <c r="CB2" s="1538">
        <f>'8B'!H28</f>
        <v>0</v>
      </c>
      <c r="CC2" s="1539">
        <f>'8B'!H18</f>
        <v>0</v>
      </c>
      <c r="CD2" s="1539">
        <f>'8B'!H36</f>
        <v>0</v>
      </c>
      <c r="CE2" s="1538">
        <f>'8E'!I42</f>
        <v>1015090.2</v>
      </c>
      <c r="CF2" s="1539">
        <f>'8E'!I46</f>
        <v>163790</v>
      </c>
      <c r="CG2" s="1539">
        <f>'8E'!I47</f>
        <v>50688</v>
      </c>
      <c r="CH2" s="1539">
        <f>'8E'!I67</f>
        <v>508021</v>
      </c>
      <c r="CI2" s="1539">
        <f>'8E'!I69</f>
        <v>30800</v>
      </c>
      <c r="CJ2" s="1539">
        <f>'8E'!I70</f>
        <v>0</v>
      </c>
      <c r="CK2" s="1539">
        <f>'8E'!J70</f>
        <v>0</v>
      </c>
      <c r="CL2" s="1539">
        <f>'8E'!I73</f>
        <v>64895.999999999985</v>
      </c>
      <c r="CM2" s="1522">
        <f>'8E'!I86</f>
        <v>1.1915458073038498</v>
      </c>
      <c r="CN2" s="1539">
        <f>'8E'!I97</f>
        <v>0</v>
      </c>
      <c r="CO2" s="1539">
        <f>'8E'!J97</f>
        <v>0</v>
      </c>
      <c r="CP2" s="1539">
        <f>'8E'!K97</f>
        <v>0</v>
      </c>
      <c r="CQ2" s="1522" t="str">
        <f>IF('8D'!K43=0,"N","Y")</f>
        <v>Y</v>
      </c>
    </row>
    <row r="3" spans="1:95" x14ac:dyDescent="0.25">
      <c r="A3" s="1522"/>
      <c r="B3" s="1522"/>
      <c r="C3" s="1522"/>
      <c r="D3" s="1522"/>
      <c r="E3" s="1522"/>
      <c r="F3" s="1522"/>
      <c r="G3" s="1522"/>
      <c r="H3" s="1522"/>
      <c r="I3" s="1522"/>
      <c r="J3" s="1522"/>
      <c r="K3" s="1522"/>
      <c r="L3" s="1522"/>
      <c r="M3" s="1522"/>
      <c r="N3" s="1522"/>
      <c r="O3" s="1522"/>
      <c r="P3" s="1522"/>
      <c r="Q3" s="1522"/>
      <c r="R3" s="1522"/>
      <c r="S3" s="1522"/>
      <c r="T3" s="1522"/>
      <c r="U3" s="1522"/>
      <c r="V3" s="1522"/>
      <c r="W3" s="1522"/>
      <c r="X3" s="1522"/>
      <c r="Y3" s="1522"/>
      <c r="Z3" s="1522"/>
      <c r="AA3" s="1522"/>
      <c r="AB3" s="1522"/>
      <c r="AC3" s="1522"/>
      <c r="AD3" s="1522"/>
      <c r="AE3" s="1522"/>
      <c r="AF3" s="1522"/>
      <c r="AG3" s="1522"/>
      <c r="AH3" s="1522"/>
      <c r="AI3" s="1522"/>
      <c r="AJ3" s="1522"/>
      <c r="AK3" s="1522"/>
      <c r="AL3" s="1522"/>
      <c r="AM3" s="1522"/>
      <c r="AN3" s="1522"/>
      <c r="AO3" s="1522"/>
      <c r="AP3" s="1522"/>
      <c r="AQ3" s="1522"/>
      <c r="AR3" s="1522"/>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c r="BP3" s="1522"/>
      <c r="BR3" s="1522"/>
      <c r="BT3" s="1522"/>
      <c r="BU3" s="1522"/>
      <c r="BV3" s="1522"/>
      <c r="BW3" s="1522"/>
      <c r="BX3" s="1522"/>
      <c r="BY3" s="1522"/>
      <c r="BZ3" s="1522"/>
      <c r="CA3" s="1522"/>
      <c r="CB3" s="1522"/>
      <c r="CC3" s="1522"/>
      <c r="CD3" s="1522"/>
      <c r="CE3" s="1522"/>
      <c r="CF3" s="1522"/>
      <c r="CG3" s="1522"/>
      <c r="CH3" s="1522"/>
      <c r="CI3" s="1522"/>
      <c r="CJ3" s="1522"/>
      <c r="CK3" s="1522"/>
      <c r="CL3" s="1522"/>
      <c r="CM3" s="1522"/>
      <c r="CN3" s="1522"/>
      <c r="CO3" s="1522"/>
      <c r="CP3" s="1522"/>
      <c r="CQ3" s="1522"/>
    </row>
  </sheetData>
  <sheetProtection sheet="1" objects="1" scenarios="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2"/>
  <sheetViews>
    <sheetView topLeftCell="A70" workbookViewId="0">
      <selection activeCell="E116" sqref="D116:E116"/>
    </sheetView>
  </sheetViews>
  <sheetFormatPr defaultRowHeight="15" x14ac:dyDescent="0.25"/>
  <cols>
    <col min="1" max="1" width="34" bestFit="1" customWidth="1"/>
    <col min="2" max="2" width="61.42578125" customWidth="1"/>
    <col min="5" max="5" width="41.140625" bestFit="1" customWidth="1"/>
    <col min="6" max="6" width="63.7109375" customWidth="1"/>
  </cols>
  <sheetData>
    <row r="1" spans="1:6" x14ac:dyDescent="0.25">
      <c r="A1" s="639">
        <v>0.04</v>
      </c>
      <c r="B1" s="640"/>
      <c r="C1" s="641"/>
      <c r="D1" s="641"/>
      <c r="E1" s="637">
        <v>0.09</v>
      </c>
      <c r="F1" s="638"/>
    </row>
    <row r="2" spans="1:6" x14ac:dyDescent="0.25">
      <c r="A2" s="632" t="s">
        <v>725</v>
      </c>
      <c r="B2" s="631" t="s">
        <v>600</v>
      </c>
      <c r="C2" s="641"/>
      <c r="D2" s="641"/>
      <c r="E2" s="643" t="s">
        <v>800</v>
      </c>
      <c r="F2" s="644" t="s">
        <v>556</v>
      </c>
    </row>
    <row r="3" spans="1:6" x14ac:dyDescent="0.25">
      <c r="A3" s="631" t="s">
        <v>1061</v>
      </c>
      <c r="B3" s="631" t="s">
        <v>726</v>
      </c>
      <c r="C3" s="641"/>
      <c r="D3" s="641"/>
      <c r="E3" s="644" t="s">
        <v>801</v>
      </c>
      <c r="F3" s="644" t="s">
        <v>802</v>
      </c>
    </row>
    <row r="4" spans="1:6" x14ac:dyDescent="0.25">
      <c r="B4" s="631" t="s">
        <v>727</v>
      </c>
      <c r="C4" s="641"/>
      <c r="D4" s="641"/>
      <c r="E4" s="642"/>
      <c r="F4" s="644" t="s">
        <v>803</v>
      </c>
    </row>
    <row r="5" spans="1:6" x14ac:dyDescent="0.25">
      <c r="B5" s="631" t="s">
        <v>728</v>
      </c>
      <c r="C5" s="641"/>
      <c r="D5" s="641"/>
      <c r="E5" s="642"/>
      <c r="F5" s="644" t="s">
        <v>804</v>
      </c>
    </row>
    <row r="6" spans="1:6" x14ac:dyDescent="0.25">
      <c r="B6" s="631" t="s">
        <v>729</v>
      </c>
      <c r="C6" s="641"/>
      <c r="D6" s="641"/>
      <c r="E6" s="643"/>
      <c r="F6" s="644" t="s">
        <v>805</v>
      </c>
    </row>
    <row r="7" spans="1:6" x14ac:dyDescent="0.25">
      <c r="B7" s="631" t="s">
        <v>730</v>
      </c>
      <c r="C7" s="641"/>
      <c r="D7" s="641"/>
      <c r="E7" s="643"/>
      <c r="F7" s="644" t="s">
        <v>806</v>
      </c>
    </row>
    <row r="8" spans="1:6" x14ac:dyDescent="0.25">
      <c r="B8" s="631" t="s">
        <v>731</v>
      </c>
      <c r="C8" s="641"/>
      <c r="D8" s="641"/>
      <c r="E8" s="643"/>
      <c r="F8" s="644" t="s">
        <v>807</v>
      </c>
    </row>
    <row r="9" spans="1:6" x14ac:dyDescent="0.25">
      <c r="C9" s="641"/>
      <c r="D9" s="641"/>
      <c r="E9" s="643"/>
      <c r="F9" s="644" t="s">
        <v>808</v>
      </c>
    </row>
    <row r="10" spans="1:6" x14ac:dyDescent="0.25">
      <c r="C10" s="641"/>
      <c r="D10" s="641"/>
      <c r="E10" s="643"/>
      <c r="F10" s="644" t="s">
        <v>809</v>
      </c>
    </row>
    <row r="11" spans="1:6" x14ac:dyDescent="0.25">
      <c r="A11" s="632" t="s">
        <v>732</v>
      </c>
      <c r="B11" s="633">
        <v>0</v>
      </c>
      <c r="C11" s="641"/>
      <c r="D11" s="641"/>
      <c r="E11" s="643"/>
      <c r="F11" s="644" t="s">
        <v>810</v>
      </c>
    </row>
    <row r="12" spans="1:6" x14ac:dyDescent="0.25">
      <c r="A12" s="631" t="s">
        <v>1057</v>
      </c>
      <c r="B12" s="633">
        <v>0.1</v>
      </c>
      <c r="C12" s="641"/>
      <c r="D12" s="641"/>
      <c r="E12" s="643"/>
      <c r="F12" s="644" t="s">
        <v>811</v>
      </c>
    </row>
    <row r="13" spans="1:6" x14ac:dyDescent="0.25">
      <c r="B13" s="633">
        <v>0.3</v>
      </c>
      <c r="C13" s="641"/>
      <c r="D13" s="641"/>
      <c r="E13" s="643"/>
      <c r="F13" s="644" t="s">
        <v>812</v>
      </c>
    </row>
    <row r="14" spans="1:6" x14ac:dyDescent="0.25">
      <c r="B14" s="633">
        <v>0.5</v>
      </c>
      <c r="C14" s="641"/>
      <c r="D14" s="641"/>
      <c r="E14" s="643"/>
      <c r="F14" s="644" t="s">
        <v>813</v>
      </c>
    </row>
    <row r="15" spans="1:6" x14ac:dyDescent="0.25">
      <c r="B15" s="633">
        <v>0.7</v>
      </c>
      <c r="C15" s="641"/>
      <c r="D15" s="641"/>
      <c r="E15" s="643"/>
      <c r="F15" s="644" t="s">
        <v>814</v>
      </c>
    </row>
    <row r="16" spans="1:6" x14ac:dyDescent="0.25">
      <c r="B16" s="633">
        <v>0.9</v>
      </c>
      <c r="C16" s="641"/>
      <c r="D16" s="641"/>
      <c r="E16" s="643"/>
      <c r="F16" s="644" t="s">
        <v>815</v>
      </c>
    </row>
    <row r="17" spans="1:6" x14ac:dyDescent="0.25">
      <c r="B17" s="633">
        <v>1</v>
      </c>
      <c r="C17" s="641"/>
      <c r="D17" s="641"/>
      <c r="E17" s="643"/>
      <c r="F17" s="642"/>
    </row>
    <row r="18" spans="1:6" x14ac:dyDescent="0.25">
      <c r="C18" s="641"/>
      <c r="D18" s="641"/>
      <c r="E18" s="643" t="s">
        <v>816</v>
      </c>
      <c r="F18" s="644" t="s">
        <v>554</v>
      </c>
    </row>
    <row r="19" spans="1:6" x14ac:dyDescent="0.25">
      <c r="A19" s="632" t="s">
        <v>1058</v>
      </c>
      <c r="B19" s="631" t="s">
        <v>558</v>
      </c>
      <c r="C19" s="641"/>
      <c r="D19" s="641"/>
      <c r="E19" s="644" t="s">
        <v>817</v>
      </c>
      <c r="F19" s="644" t="s">
        <v>818</v>
      </c>
    </row>
    <row r="20" spans="1:6" x14ac:dyDescent="0.25">
      <c r="B20" s="634" t="s">
        <v>735</v>
      </c>
      <c r="C20" s="641"/>
      <c r="D20" s="641"/>
      <c r="E20" s="642"/>
      <c r="F20" s="644" t="s">
        <v>819</v>
      </c>
    </row>
    <row r="21" spans="1:6" x14ac:dyDescent="0.25">
      <c r="B21" s="634" t="s">
        <v>736</v>
      </c>
      <c r="C21" s="641"/>
      <c r="D21" s="641"/>
      <c r="E21" s="642"/>
      <c r="F21" s="644" t="s">
        <v>820</v>
      </c>
    </row>
    <row r="22" spans="1:6" x14ac:dyDescent="0.25">
      <c r="B22" s="634" t="s">
        <v>737</v>
      </c>
      <c r="C22" s="641"/>
      <c r="D22" s="641"/>
      <c r="E22" s="642"/>
      <c r="F22" s="644" t="s">
        <v>821</v>
      </c>
    </row>
    <row r="23" spans="1:6" x14ac:dyDescent="0.25">
      <c r="B23" s="634" t="s">
        <v>738</v>
      </c>
      <c r="C23" s="641"/>
      <c r="D23" s="641"/>
      <c r="E23" s="642"/>
      <c r="F23" s="644" t="s">
        <v>822</v>
      </c>
    </row>
    <row r="24" spans="1:6" x14ac:dyDescent="0.25">
      <c r="B24" s="634" t="s">
        <v>739</v>
      </c>
      <c r="C24" s="641"/>
      <c r="D24" s="641"/>
      <c r="E24" s="642"/>
      <c r="F24" s="644" t="s">
        <v>823</v>
      </c>
    </row>
    <row r="25" spans="1:6" x14ac:dyDescent="0.25">
      <c r="B25" s="634" t="s">
        <v>740</v>
      </c>
      <c r="C25" s="641"/>
      <c r="D25" s="641"/>
      <c r="E25" s="642"/>
      <c r="F25" s="644" t="s">
        <v>824</v>
      </c>
    </row>
    <row r="26" spans="1:6" x14ac:dyDescent="0.25">
      <c r="B26" s="634" t="s">
        <v>741</v>
      </c>
      <c r="C26" s="641"/>
      <c r="D26" s="641"/>
      <c r="E26" s="642"/>
      <c r="F26" s="644" t="s">
        <v>825</v>
      </c>
    </row>
    <row r="27" spans="1:6" x14ac:dyDescent="0.25">
      <c r="B27" s="634" t="s">
        <v>742</v>
      </c>
      <c r="C27" s="641"/>
      <c r="D27" s="641"/>
      <c r="E27" s="642"/>
      <c r="F27" s="644" t="s">
        <v>826</v>
      </c>
    </row>
    <row r="28" spans="1:6" x14ac:dyDescent="0.25">
      <c r="B28" s="634" t="s">
        <v>743</v>
      </c>
      <c r="C28" s="641"/>
      <c r="D28" s="641"/>
      <c r="E28" s="642"/>
      <c r="F28" s="644" t="s">
        <v>827</v>
      </c>
    </row>
    <row r="29" spans="1:6" x14ac:dyDescent="0.25">
      <c r="B29" s="634" t="s">
        <v>744</v>
      </c>
      <c r="C29" s="641"/>
      <c r="D29" s="641"/>
      <c r="E29" s="642"/>
      <c r="F29" s="644" t="s">
        <v>828</v>
      </c>
    </row>
    <row r="30" spans="1:6" x14ac:dyDescent="0.25">
      <c r="B30" s="634" t="s">
        <v>745</v>
      </c>
      <c r="C30" s="641"/>
      <c r="D30" s="641"/>
      <c r="E30" s="642"/>
      <c r="F30" s="644" t="s">
        <v>829</v>
      </c>
    </row>
    <row r="31" spans="1:6" x14ac:dyDescent="0.25">
      <c r="B31" s="634" t="s">
        <v>746</v>
      </c>
      <c r="C31" s="641"/>
      <c r="D31" s="641"/>
      <c r="E31" s="642"/>
      <c r="F31" s="644" t="s">
        <v>830</v>
      </c>
    </row>
    <row r="32" spans="1:6" x14ac:dyDescent="0.25">
      <c r="B32" s="634" t="s">
        <v>747</v>
      </c>
      <c r="C32" s="641"/>
      <c r="D32" s="641"/>
      <c r="E32" s="642"/>
      <c r="F32" s="644" t="s">
        <v>831</v>
      </c>
    </row>
    <row r="33" spans="1:6" x14ac:dyDescent="0.25">
      <c r="B33" s="634" t="s">
        <v>748</v>
      </c>
      <c r="C33" s="641"/>
      <c r="D33" s="641"/>
      <c r="E33" s="642"/>
      <c r="F33" s="644" t="s">
        <v>832</v>
      </c>
    </row>
    <row r="34" spans="1:6" x14ac:dyDescent="0.25">
      <c r="B34" s="634" t="s">
        <v>749</v>
      </c>
      <c r="C34" s="641"/>
      <c r="D34" s="641"/>
      <c r="E34" s="642"/>
      <c r="F34" s="644" t="s">
        <v>833</v>
      </c>
    </row>
    <row r="35" spans="1:6" x14ac:dyDescent="0.25">
      <c r="B35" s="634" t="s">
        <v>750</v>
      </c>
      <c r="C35" s="641"/>
      <c r="D35" s="641"/>
      <c r="E35" s="642"/>
      <c r="F35" s="644" t="s">
        <v>834</v>
      </c>
    </row>
    <row r="36" spans="1:6" x14ac:dyDescent="0.25">
      <c r="B36" s="634" t="s">
        <v>751</v>
      </c>
      <c r="C36" s="641"/>
      <c r="D36" s="641"/>
      <c r="E36" s="642"/>
      <c r="F36" s="644" t="s">
        <v>835</v>
      </c>
    </row>
    <row r="37" spans="1:6" x14ac:dyDescent="0.25">
      <c r="B37" s="634" t="s">
        <v>752</v>
      </c>
      <c r="C37" s="641"/>
      <c r="D37" s="641"/>
      <c r="E37" s="642"/>
      <c r="F37" s="644" t="s">
        <v>836</v>
      </c>
    </row>
    <row r="38" spans="1:6" x14ac:dyDescent="0.25">
      <c r="B38" s="634" t="s">
        <v>753</v>
      </c>
      <c r="C38" s="641"/>
      <c r="D38" s="641"/>
      <c r="E38" s="642"/>
      <c r="F38" s="644" t="s">
        <v>837</v>
      </c>
    </row>
    <row r="39" spans="1:6" x14ac:dyDescent="0.25">
      <c r="B39" s="634" t="s">
        <v>754</v>
      </c>
      <c r="C39" s="641"/>
      <c r="D39" s="641"/>
    </row>
    <row r="40" spans="1:6" x14ac:dyDescent="0.25">
      <c r="B40" s="634" t="s">
        <v>755</v>
      </c>
      <c r="C40" s="641"/>
      <c r="D40" s="641"/>
      <c r="E40" s="643" t="s">
        <v>838</v>
      </c>
      <c r="F40" s="644" t="s">
        <v>552</v>
      </c>
    </row>
    <row r="41" spans="1:6" x14ac:dyDescent="0.25">
      <c r="B41" s="634" t="s">
        <v>756</v>
      </c>
      <c r="C41" s="641"/>
      <c r="D41" s="641"/>
      <c r="E41" s="644" t="s">
        <v>839</v>
      </c>
      <c r="F41" s="644" t="s">
        <v>840</v>
      </c>
    </row>
    <row r="42" spans="1:6" x14ac:dyDescent="0.25">
      <c r="C42" s="641"/>
      <c r="D42" s="641"/>
      <c r="E42" s="642"/>
      <c r="F42" s="644" t="s">
        <v>841</v>
      </c>
    </row>
    <row r="43" spans="1:6" x14ac:dyDescent="0.25">
      <c r="A43" s="634" t="s">
        <v>757</v>
      </c>
      <c r="B43" s="634" t="s">
        <v>558</v>
      </c>
      <c r="C43" s="641"/>
      <c r="D43" s="641"/>
      <c r="E43" s="642"/>
      <c r="F43" s="644" t="s">
        <v>842</v>
      </c>
    </row>
    <row r="44" spans="1:6" x14ac:dyDescent="0.25">
      <c r="B44" s="635" t="s">
        <v>758</v>
      </c>
      <c r="C44" s="641"/>
      <c r="D44" s="641"/>
      <c r="E44" s="642"/>
      <c r="F44" s="644" t="s">
        <v>843</v>
      </c>
    </row>
    <row r="45" spans="1:6" x14ac:dyDescent="0.25">
      <c r="B45" s="635" t="s">
        <v>759</v>
      </c>
      <c r="C45" s="641"/>
      <c r="D45" s="641"/>
      <c r="E45" s="642"/>
      <c r="F45" s="644" t="s">
        <v>844</v>
      </c>
    </row>
    <row r="46" spans="1:6" x14ac:dyDescent="0.25">
      <c r="B46" s="635" t="s">
        <v>760</v>
      </c>
      <c r="C46" s="641"/>
      <c r="D46" s="641"/>
      <c r="E46" s="642"/>
      <c r="F46" s="644" t="s">
        <v>845</v>
      </c>
    </row>
    <row r="47" spans="1:6" x14ac:dyDescent="0.25">
      <c r="C47" s="641"/>
      <c r="D47" s="641"/>
      <c r="E47" s="642"/>
      <c r="F47" s="644" t="s">
        <v>846</v>
      </c>
    </row>
    <row r="48" spans="1:6" x14ac:dyDescent="0.25">
      <c r="A48" s="634" t="s">
        <v>761</v>
      </c>
      <c r="B48" s="634" t="s">
        <v>558</v>
      </c>
      <c r="C48" s="641"/>
      <c r="D48" s="641"/>
      <c r="E48" s="642"/>
      <c r="F48" s="644" t="s">
        <v>847</v>
      </c>
    </row>
    <row r="49" spans="1:6" x14ac:dyDescent="0.25">
      <c r="B49" s="635" t="s">
        <v>762</v>
      </c>
      <c r="C49" s="641"/>
      <c r="D49" s="641"/>
      <c r="F49" s="644" t="s">
        <v>848</v>
      </c>
    </row>
    <row r="50" spans="1:6" x14ac:dyDescent="0.25">
      <c r="B50" s="635" t="s">
        <v>763</v>
      </c>
      <c r="C50" s="641"/>
      <c r="D50" s="641"/>
      <c r="F50" s="644" t="s">
        <v>849</v>
      </c>
    </row>
    <row r="51" spans="1:6" x14ac:dyDescent="0.25">
      <c r="B51" s="635" t="s">
        <v>764</v>
      </c>
      <c r="C51" s="641"/>
      <c r="D51" s="641"/>
      <c r="F51" s="644" t="s">
        <v>850</v>
      </c>
    </row>
    <row r="52" spans="1:6" x14ac:dyDescent="0.25">
      <c r="C52" s="641"/>
      <c r="D52" s="641"/>
      <c r="F52" s="644" t="s">
        <v>851</v>
      </c>
    </row>
    <row r="53" spans="1:6" x14ac:dyDescent="0.25">
      <c r="A53" s="631" t="s">
        <v>765</v>
      </c>
      <c r="B53" s="631" t="s">
        <v>558</v>
      </c>
      <c r="C53" s="641"/>
      <c r="D53" s="641"/>
      <c r="F53" s="644" t="s">
        <v>852</v>
      </c>
    </row>
    <row r="54" spans="1:6" x14ac:dyDescent="0.25">
      <c r="A54" s="631" t="s">
        <v>766</v>
      </c>
      <c r="B54" s="631" t="s">
        <v>767</v>
      </c>
      <c r="C54" s="641"/>
      <c r="D54" s="641"/>
      <c r="F54" s="644" t="s">
        <v>853</v>
      </c>
    </row>
    <row r="55" spans="1:6" x14ac:dyDescent="0.25">
      <c r="C55" s="641"/>
      <c r="D55" s="641"/>
      <c r="F55" s="644" t="s">
        <v>854</v>
      </c>
    </row>
    <row r="56" spans="1:6" x14ac:dyDescent="0.25">
      <c r="C56" s="641"/>
      <c r="D56" s="641"/>
      <c r="F56" s="644" t="s">
        <v>855</v>
      </c>
    </row>
    <row r="57" spans="1:6" x14ac:dyDescent="0.25">
      <c r="C57" s="641"/>
      <c r="D57" s="641"/>
      <c r="F57" s="644" t="s">
        <v>856</v>
      </c>
    </row>
    <row r="58" spans="1:6" x14ac:dyDescent="0.25">
      <c r="A58" s="634" t="s">
        <v>768</v>
      </c>
      <c r="B58" s="634" t="s">
        <v>558</v>
      </c>
      <c r="C58" s="641"/>
      <c r="D58" s="641"/>
      <c r="F58" s="644" t="s">
        <v>857</v>
      </c>
    </row>
    <row r="59" spans="1:6" x14ac:dyDescent="0.25">
      <c r="A59" s="634" t="s">
        <v>769</v>
      </c>
      <c r="B59" s="634" t="s">
        <v>770</v>
      </c>
      <c r="C59" s="641"/>
      <c r="D59" s="641"/>
      <c r="F59" s="644" t="s">
        <v>858</v>
      </c>
    </row>
    <row r="60" spans="1:6" x14ac:dyDescent="0.25">
      <c r="B60" s="634" t="s">
        <v>771</v>
      </c>
      <c r="C60" s="641"/>
      <c r="D60" s="641"/>
      <c r="F60" s="644" t="s">
        <v>859</v>
      </c>
    </row>
    <row r="61" spans="1:6" x14ac:dyDescent="0.25">
      <c r="B61" s="634" t="s">
        <v>772</v>
      </c>
      <c r="C61" s="641"/>
      <c r="D61" s="641"/>
      <c r="F61" s="644" t="s">
        <v>860</v>
      </c>
    </row>
    <row r="62" spans="1:6" x14ac:dyDescent="0.25">
      <c r="B62" s="634" t="s">
        <v>773</v>
      </c>
      <c r="C62" s="641"/>
      <c r="D62" s="641"/>
      <c r="F62" s="644" t="s">
        <v>861</v>
      </c>
    </row>
    <row r="63" spans="1:6" x14ac:dyDescent="0.25">
      <c r="C63" s="641"/>
      <c r="D63" s="641"/>
      <c r="F63" s="644" t="s">
        <v>862</v>
      </c>
    </row>
    <row r="64" spans="1:6" x14ac:dyDescent="0.25">
      <c r="C64" s="641"/>
      <c r="D64" s="641"/>
      <c r="F64" s="644" t="s">
        <v>863</v>
      </c>
    </row>
    <row r="65" spans="1:6" x14ac:dyDescent="0.25">
      <c r="A65" s="631" t="s">
        <v>774</v>
      </c>
      <c r="B65" s="631" t="s">
        <v>558</v>
      </c>
      <c r="C65" s="641"/>
      <c r="D65" s="641"/>
      <c r="E65" s="642"/>
      <c r="F65" s="644" t="s">
        <v>864</v>
      </c>
    </row>
    <row r="66" spans="1:6" x14ac:dyDescent="0.25">
      <c r="A66" s="631" t="s">
        <v>775</v>
      </c>
      <c r="B66" s="631" t="s">
        <v>776</v>
      </c>
      <c r="C66" s="641"/>
      <c r="D66" s="641"/>
      <c r="E66" s="642"/>
      <c r="F66" s="644" t="s">
        <v>865</v>
      </c>
    </row>
    <row r="67" spans="1:6" x14ac:dyDescent="0.25">
      <c r="B67" s="631" t="s">
        <v>777</v>
      </c>
      <c r="C67" s="641"/>
      <c r="D67" s="641"/>
      <c r="E67" s="642"/>
      <c r="F67" s="644" t="s">
        <v>866</v>
      </c>
    </row>
    <row r="68" spans="1:6" x14ac:dyDescent="0.25">
      <c r="B68" s="631" t="s">
        <v>778</v>
      </c>
      <c r="C68" s="641"/>
      <c r="D68" s="641"/>
    </row>
    <row r="69" spans="1:6" x14ac:dyDescent="0.25">
      <c r="C69" s="641"/>
      <c r="D69" s="641"/>
      <c r="E69" s="643" t="s">
        <v>867</v>
      </c>
      <c r="F69" s="644" t="s">
        <v>554</v>
      </c>
    </row>
    <row r="70" spans="1:6" x14ac:dyDescent="0.25">
      <c r="A70" s="631" t="s">
        <v>779</v>
      </c>
      <c r="B70" s="631" t="s">
        <v>558</v>
      </c>
      <c r="C70" s="641"/>
      <c r="D70" s="641"/>
      <c r="E70" s="644" t="s">
        <v>868</v>
      </c>
      <c r="F70" s="644" t="s">
        <v>869</v>
      </c>
    </row>
    <row r="71" spans="1:6" x14ac:dyDescent="0.25">
      <c r="A71" s="631" t="s">
        <v>780</v>
      </c>
      <c r="B71" s="631" t="s">
        <v>781</v>
      </c>
      <c r="C71" s="641"/>
      <c r="D71" s="641"/>
      <c r="E71" s="642"/>
      <c r="F71" s="644" t="s">
        <v>870</v>
      </c>
    </row>
    <row r="72" spans="1:6" x14ac:dyDescent="0.25">
      <c r="B72" s="631" t="s">
        <v>782</v>
      </c>
      <c r="C72" s="641"/>
      <c r="D72" s="641"/>
      <c r="E72" s="642"/>
      <c r="F72" s="644" t="s">
        <v>871</v>
      </c>
    </row>
    <row r="73" spans="1:6" x14ac:dyDescent="0.25">
      <c r="B73" s="631" t="s">
        <v>783</v>
      </c>
      <c r="C73" s="641"/>
      <c r="D73" s="641"/>
      <c r="E73" s="642"/>
      <c r="F73" s="644" t="s">
        <v>872</v>
      </c>
    </row>
    <row r="74" spans="1:6" x14ac:dyDescent="0.25">
      <c r="B74" s="631" t="s">
        <v>784</v>
      </c>
      <c r="C74" s="641"/>
      <c r="D74" s="641"/>
      <c r="E74" s="642"/>
      <c r="F74" s="644" t="s">
        <v>873</v>
      </c>
    </row>
    <row r="75" spans="1:6" x14ac:dyDescent="0.25">
      <c r="B75" s="631" t="s">
        <v>785</v>
      </c>
      <c r="C75" s="641"/>
      <c r="D75" s="641"/>
      <c r="E75" s="642"/>
      <c r="F75" s="644" t="s">
        <v>874</v>
      </c>
    </row>
    <row r="76" spans="1:6" x14ac:dyDescent="0.25">
      <c r="B76" s="631" t="s">
        <v>786</v>
      </c>
      <c r="C76" s="641"/>
      <c r="D76" s="641"/>
      <c r="E76" s="642"/>
      <c r="F76" s="644" t="s">
        <v>875</v>
      </c>
    </row>
    <row r="77" spans="1:6" x14ac:dyDescent="0.25">
      <c r="B77" s="631" t="s">
        <v>787</v>
      </c>
      <c r="C77" s="641"/>
      <c r="D77" s="641"/>
      <c r="E77" s="642"/>
      <c r="F77" s="644" t="s">
        <v>876</v>
      </c>
    </row>
    <row r="78" spans="1:6" x14ac:dyDescent="0.25">
      <c r="C78" s="641"/>
      <c r="D78" s="641"/>
      <c r="E78" s="642"/>
      <c r="F78" s="644" t="s">
        <v>877</v>
      </c>
    </row>
    <row r="79" spans="1:6" x14ac:dyDescent="0.25">
      <c r="C79" s="641"/>
      <c r="D79" s="641"/>
      <c r="E79" s="642"/>
      <c r="F79" s="644" t="s">
        <v>878</v>
      </c>
    </row>
    <row r="80" spans="1:6" x14ac:dyDescent="0.25">
      <c r="A80" s="631"/>
      <c r="B80" s="631"/>
      <c r="C80" s="641"/>
      <c r="D80" s="641"/>
      <c r="E80" s="642"/>
      <c r="F80" s="644" t="s">
        <v>879</v>
      </c>
    </row>
    <row r="81" spans="1:6" x14ac:dyDescent="0.25">
      <c r="B81" s="631"/>
      <c r="C81" s="641"/>
      <c r="D81" s="641"/>
      <c r="E81" s="642"/>
      <c r="F81" s="644" t="s">
        <v>880</v>
      </c>
    </row>
    <row r="82" spans="1:6" x14ac:dyDescent="0.25">
      <c r="B82" s="631"/>
      <c r="C82" s="641"/>
      <c r="D82" s="641"/>
      <c r="E82" s="642"/>
      <c r="F82" s="644" t="s">
        <v>881</v>
      </c>
    </row>
    <row r="83" spans="1:6" x14ac:dyDescent="0.25">
      <c r="B83" s="631"/>
      <c r="C83" s="641"/>
      <c r="D83" s="641"/>
      <c r="E83" s="642"/>
      <c r="F83" s="644" t="s">
        <v>882</v>
      </c>
    </row>
    <row r="84" spans="1:6" x14ac:dyDescent="0.25">
      <c r="B84" s="631"/>
      <c r="C84" s="641"/>
      <c r="D84" s="641"/>
      <c r="E84" s="642"/>
      <c r="F84" s="644" t="s">
        <v>883</v>
      </c>
    </row>
    <row r="85" spans="1:6" x14ac:dyDescent="0.25">
      <c r="B85" s="631"/>
      <c r="C85" s="641"/>
      <c r="D85" s="641"/>
      <c r="E85" s="642"/>
      <c r="F85" s="644" t="s">
        <v>884</v>
      </c>
    </row>
    <row r="86" spans="1:6" x14ac:dyDescent="0.25">
      <c r="C86" s="641"/>
      <c r="D86" s="641"/>
      <c r="E86" s="642"/>
      <c r="F86" s="644" t="s">
        <v>885</v>
      </c>
    </row>
    <row r="87" spans="1:6" x14ac:dyDescent="0.25">
      <c r="C87" s="641"/>
      <c r="D87" s="641"/>
      <c r="E87" s="642"/>
      <c r="F87" s="644" t="s">
        <v>886</v>
      </c>
    </row>
    <row r="88" spans="1:6" x14ac:dyDescent="0.25">
      <c r="A88" s="631" t="s">
        <v>789</v>
      </c>
      <c r="B88" s="631" t="s">
        <v>558</v>
      </c>
      <c r="C88" s="641"/>
      <c r="D88" s="641"/>
      <c r="E88" s="642"/>
      <c r="F88" s="644" t="s">
        <v>887</v>
      </c>
    </row>
    <row r="89" spans="1:6" x14ac:dyDescent="0.25">
      <c r="A89" s="631" t="s">
        <v>790</v>
      </c>
      <c r="B89" s="632" t="s">
        <v>791</v>
      </c>
      <c r="C89" s="641"/>
      <c r="D89" s="641"/>
      <c r="E89" s="642"/>
      <c r="F89" s="644" t="s">
        <v>888</v>
      </c>
    </row>
    <row r="90" spans="1:6" x14ac:dyDescent="0.25">
      <c r="B90" s="632" t="s">
        <v>792</v>
      </c>
      <c r="C90" s="641"/>
      <c r="D90" s="641"/>
    </row>
    <row r="91" spans="1:6" x14ac:dyDescent="0.25">
      <c r="B91" s="632" t="s">
        <v>793</v>
      </c>
      <c r="C91" s="641"/>
      <c r="D91" s="641"/>
      <c r="E91" s="643" t="s">
        <v>732</v>
      </c>
      <c r="F91" s="645">
        <v>0</v>
      </c>
    </row>
    <row r="92" spans="1:6" x14ac:dyDescent="0.25">
      <c r="B92" s="632" t="s">
        <v>794</v>
      </c>
      <c r="C92" s="641"/>
      <c r="D92" s="641"/>
      <c r="E92" s="644" t="s">
        <v>733</v>
      </c>
      <c r="F92" s="645">
        <v>0.1</v>
      </c>
    </row>
    <row r="93" spans="1:6" x14ac:dyDescent="0.25">
      <c r="C93" s="641"/>
      <c r="D93" s="641"/>
      <c r="E93" s="642"/>
      <c r="F93" s="645">
        <v>0.2</v>
      </c>
    </row>
    <row r="94" spans="1:6" x14ac:dyDescent="0.25">
      <c r="C94" s="641"/>
      <c r="D94" s="641"/>
      <c r="E94" s="642"/>
      <c r="F94" s="645">
        <v>0.25</v>
      </c>
    </row>
    <row r="95" spans="1:6" x14ac:dyDescent="0.25">
      <c r="A95" s="634"/>
      <c r="B95" s="631"/>
      <c r="C95" s="641"/>
      <c r="D95" s="641"/>
      <c r="E95" s="642"/>
      <c r="F95" s="645">
        <v>0.3</v>
      </c>
    </row>
    <row r="96" spans="1:6" x14ac:dyDescent="0.25">
      <c r="A96" s="634"/>
      <c r="B96" s="634"/>
      <c r="C96" s="641"/>
      <c r="D96" s="641"/>
      <c r="E96" s="642"/>
      <c r="F96" s="645">
        <v>0.4</v>
      </c>
    </row>
    <row r="97" spans="1:6" x14ac:dyDescent="0.25">
      <c r="B97" s="634"/>
      <c r="C97" s="641"/>
      <c r="D97" s="641"/>
      <c r="E97" s="642"/>
      <c r="F97" s="645">
        <v>0.5</v>
      </c>
    </row>
    <row r="98" spans="1:6" x14ac:dyDescent="0.25">
      <c r="B98" s="634"/>
      <c r="C98" s="641"/>
      <c r="D98" s="641"/>
      <c r="E98" s="642"/>
      <c r="F98" s="645">
        <v>0.6</v>
      </c>
    </row>
    <row r="99" spans="1:6" x14ac:dyDescent="0.25">
      <c r="C99" s="641"/>
      <c r="D99" s="641"/>
      <c r="E99" s="642"/>
      <c r="F99" s="645">
        <v>0.75</v>
      </c>
    </row>
    <row r="100" spans="1:6" x14ac:dyDescent="0.25">
      <c r="A100" t="s">
        <v>797</v>
      </c>
      <c r="C100" s="641"/>
      <c r="D100" s="641"/>
      <c r="E100" s="642"/>
      <c r="F100" s="645">
        <v>1</v>
      </c>
    </row>
    <row r="101" spans="1:6" x14ac:dyDescent="0.25">
      <c r="A101" s="634" t="s">
        <v>1059</v>
      </c>
      <c r="B101" s="631" t="s">
        <v>558</v>
      </c>
      <c r="C101" s="641"/>
      <c r="D101" s="641"/>
    </row>
    <row r="102" spans="1:6" x14ac:dyDescent="0.25">
      <c r="B102" s="634" t="s">
        <v>798</v>
      </c>
      <c r="C102" s="641"/>
      <c r="D102" s="641"/>
      <c r="E102" s="643" t="s">
        <v>734</v>
      </c>
      <c r="F102" s="644" t="s">
        <v>558</v>
      </c>
    </row>
    <row r="103" spans="1:6" x14ac:dyDescent="0.25">
      <c r="B103" s="634" t="s">
        <v>799</v>
      </c>
      <c r="C103" s="641"/>
      <c r="D103" s="641"/>
      <c r="E103" s="642"/>
      <c r="F103" s="646" t="s">
        <v>889</v>
      </c>
    </row>
    <row r="104" spans="1:6" x14ac:dyDescent="0.25">
      <c r="C104" s="641"/>
      <c r="D104" s="641"/>
      <c r="E104" s="642"/>
      <c r="F104" s="646" t="s">
        <v>890</v>
      </c>
    </row>
    <row r="105" spans="1:6" x14ac:dyDescent="0.25">
      <c r="C105" s="641"/>
      <c r="D105" s="641"/>
      <c r="E105" s="642"/>
      <c r="F105" s="646" t="s">
        <v>891</v>
      </c>
    </row>
    <row r="106" spans="1:6" x14ac:dyDescent="0.25">
      <c r="A106" s="631"/>
      <c r="B106" s="636"/>
      <c r="C106" s="641"/>
      <c r="D106" s="641"/>
      <c r="E106" s="642"/>
      <c r="F106" s="646" t="s">
        <v>892</v>
      </c>
    </row>
    <row r="107" spans="1:6" x14ac:dyDescent="0.25">
      <c r="B107" s="636"/>
      <c r="C107" s="641"/>
      <c r="D107" s="641"/>
      <c r="E107" s="642"/>
      <c r="F107" s="646" t="s">
        <v>893</v>
      </c>
    </row>
    <row r="108" spans="1:6" x14ac:dyDescent="0.25">
      <c r="C108" s="641"/>
      <c r="D108" s="641"/>
      <c r="E108" s="642"/>
      <c r="F108" s="646" t="s">
        <v>894</v>
      </c>
    </row>
    <row r="109" spans="1:6" x14ac:dyDescent="0.25">
      <c r="A109" s="631"/>
      <c r="B109" s="636"/>
      <c r="C109" s="641"/>
      <c r="D109" s="641"/>
      <c r="E109" s="642"/>
      <c r="F109" s="646" t="s">
        <v>895</v>
      </c>
    </row>
    <row r="110" spans="1:6" x14ac:dyDescent="0.25">
      <c r="B110" s="636"/>
      <c r="C110" s="641"/>
      <c r="D110" s="641"/>
      <c r="E110" s="642"/>
      <c r="F110" s="646" t="s">
        <v>896</v>
      </c>
    </row>
    <row r="111" spans="1:6" x14ac:dyDescent="0.25">
      <c r="B111" s="636"/>
      <c r="C111" s="641"/>
      <c r="D111" s="641"/>
      <c r="E111" s="642"/>
      <c r="F111" s="646" t="s">
        <v>897</v>
      </c>
    </row>
    <row r="112" spans="1:6" x14ac:dyDescent="0.25">
      <c r="B112" s="636"/>
      <c r="C112" s="641"/>
      <c r="D112" s="641"/>
      <c r="E112" s="642"/>
      <c r="F112" s="646" t="s">
        <v>898</v>
      </c>
    </row>
    <row r="113" spans="1:6" x14ac:dyDescent="0.25">
      <c r="B113" s="636"/>
      <c r="C113" s="641"/>
      <c r="D113" s="641"/>
      <c r="E113" s="642"/>
      <c r="F113" s="646" t="s">
        <v>899</v>
      </c>
    </row>
    <row r="114" spans="1:6" x14ac:dyDescent="0.25">
      <c r="C114" s="641"/>
      <c r="D114" s="641"/>
      <c r="E114" s="642"/>
      <c r="F114" s="646" t="s">
        <v>900</v>
      </c>
    </row>
    <row r="115" spans="1:6" x14ac:dyDescent="0.25">
      <c r="A115" s="631"/>
      <c r="B115" s="636"/>
      <c r="C115" s="641"/>
      <c r="D115" s="641"/>
      <c r="E115" s="642"/>
      <c r="F115" s="646" t="s">
        <v>901</v>
      </c>
    </row>
    <row r="116" spans="1:6" x14ac:dyDescent="0.25">
      <c r="B116" s="636"/>
      <c r="C116" s="641"/>
      <c r="D116" s="641"/>
      <c r="E116" s="642"/>
      <c r="F116" s="646" t="s">
        <v>902</v>
      </c>
    </row>
    <row r="117" spans="1:6" x14ac:dyDescent="0.25">
      <c r="B117" s="636"/>
      <c r="C117" s="641"/>
      <c r="D117" s="641"/>
      <c r="E117" s="642"/>
      <c r="F117" s="646" t="s">
        <v>903</v>
      </c>
    </row>
    <row r="118" spans="1:6" x14ac:dyDescent="0.25">
      <c r="B118" s="636"/>
      <c r="C118" s="641"/>
      <c r="D118" s="641"/>
      <c r="E118" s="642"/>
      <c r="F118" s="646" t="s">
        <v>904</v>
      </c>
    </row>
    <row r="119" spans="1:6" x14ac:dyDescent="0.25">
      <c r="B119" s="636"/>
      <c r="C119" s="641"/>
      <c r="D119" s="641"/>
      <c r="E119" s="642"/>
      <c r="F119" s="646" t="s">
        <v>905</v>
      </c>
    </row>
    <row r="120" spans="1:6" x14ac:dyDescent="0.25">
      <c r="B120" s="636"/>
      <c r="C120" s="641"/>
      <c r="D120" s="641"/>
      <c r="E120" s="642"/>
      <c r="F120" s="646" t="s">
        <v>906</v>
      </c>
    </row>
    <row r="121" spans="1:6" x14ac:dyDescent="0.25">
      <c r="A121" s="631"/>
      <c r="C121" s="641"/>
      <c r="D121" s="641"/>
      <c r="E121" s="642"/>
      <c r="F121" s="646" t="s">
        <v>907</v>
      </c>
    </row>
    <row r="122" spans="1:6" x14ac:dyDescent="0.25">
      <c r="C122" s="641"/>
      <c r="D122" s="641"/>
      <c r="E122" s="642"/>
      <c r="F122" s="646" t="s">
        <v>908</v>
      </c>
    </row>
    <row r="123" spans="1:6" x14ac:dyDescent="0.25">
      <c r="C123" s="641"/>
      <c r="D123" s="641"/>
      <c r="E123" s="642"/>
      <c r="F123" s="646" t="s">
        <v>909</v>
      </c>
    </row>
    <row r="124" spans="1:6" x14ac:dyDescent="0.25">
      <c r="C124" s="641"/>
      <c r="D124" s="641"/>
      <c r="E124" s="642"/>
      <c r="F124" s="646" t="s">
        <v>690</v>
      </c>
    </row>
    <row r="125" spans="1:6" x14ac:dyDescent="0.25">
      <c r="C125" s="641"/>
      <c r="D125" s="641"/>
    </row>
    <row r="126" spans="1:6" x14ac:dyDescent="0.25">
      <c r="C126" s="641"/>
      <c r="D126" s="641"/>
      <c r="E126" s="646" t="s">
        <v>910</v>
      </c>
      <c r="F126" s="646" t="s">
        <v>558</v>
      </c>
    </row>
    <row r="127" spans="1:6" x14ac:dyDescent="0.25">
      <c r="C127" s="641"/>
      <c r="D127" s="641"/>
      <c r="E127" s="646"/>
      <c r="F127" s="647" t="s">
        <v>691</v>
      </c>
    </row>
    <row r="128" spans="1:6" x14ac:dyDescent="0.25">
      <c r="C128" s="641"/>
      <c r="D128" s="641"/>
      <c r="E128" s="646"/>
      <c r="F128" s="647"/>
    </row>
    <row r="129" spans="3:6" x14ac:dyDescent="0.25">
      <c r="C129" s="641"/>
      <c r="D129" s="641"/>
      <c r="E129" s="646"/>
      <c r="F129" s="646"/>
    </row>
    <row r="130" spans="3:6" x14ac:dyDescent="0.25">
      <c r="C130" s="641"/>
      <c r="D130" s="641"/>
      <c r="E130" s="646" t="s">
        <v>911</v>
      </c>
      <c r="F130" s="646" t="s">
        <v>558</v>
      </c>
    </row>
    <row r="131" spans="3:6" x14ac:dyDescent="0.25">
      <c r="C131" s="641"/>
      <c r="D131" s="641"/>
      <c r="E131" s="646"/>
      <c r="F131" s="646" t="s">
        <v>912</v>
      </c>
    </row>
    <row r="132" spans="3:6" x14ac:dyDescent="0.25">
      <c r="C132" s="641"/>
      <c r="D132" s="641"/>
      <c r="E132" s="646"/>
      <c r="F132" s="647" t="s">
        <v>913</v>
      </c>
    </row>
    <row r="133" spans="3:6" x14ac:dyDescent="0.25">
      <c r="C133" s="641"/>
      <c r="D133" s="641"/>
      <c r="E133" s="646"/>
      <c r="F133" s="647" t="s">
        <v>914</v>
      </c>
    </row>
    <row r="134" spans="3:6" x14ac:dyDescent="0.25">
      <c r="C134" s="641"/>
      <c r="D134" s="641"/>
      <c r="E134" s="646"/>
      <c r="F134" s="647" t="s">
        <v>915</v>
      </c>
    </row>
    <row r="135" spans="3:6" x14ac:dyDescent="0.25">
      <c r="C135" s="641"/>
      <c r="D135" s="641"/>
      <c r="E135" s="646"/>
      <c r="F135" s="647" t="s">
        <v>916</v>
      </c>
    </row>
    <row r="136" spans="3:6" x14ac:dyDescent="0.25">
      <c r="C136" s="641"/>
      <c r="D136" s="641"/>
      <c r="E136" s="646"/>
      <c r="F136" s="648" t="s">
        <v>917</v>
      </c>
    </row>
    <row r="137" spans="3:6" x14ac:dyDescent="0.25">
      <c r="C137" s="641"/>
      <c r="D137" s="641"/>
      <c r="E137" s="646"/>
      <c r="F137" s="648" t="s">
        <v>918</v>
      </c>
    </row>
    <row r="138" spans="3:6" x14ac:dyDescent="0.25">
      <c r="C138" s="641"/>
      <c r="D138" s="641"/>
      <c r="E138" s="646"/>
      <c r="F138" s="648" t="s">
        <v>688</v>
      </c>
    </row>
    <row r="139" spans="3:6" x14ac:dyDescent="0.25">
      <c r="C139" s="641"/>
      <c r="D139" s="641"/>
      <c r="E139" s="646"/>
      <c r="F139" s="646"/>
    </row>
    <row r="140" spans="3:6" x14ac:dyDescent="0.25">
      <c r="C140" s="641"/>
      <c r="D140" s="641"/>
      <c r="E140" s="646" t="s">
        <v>919</v>
      </c>
      <c r="F140" s="646" t="s">
        <v>591</v>
      </c>
    </row>
    <row r="141" spans="3:6" x14ac:dyDescent="0.25">
      <c r="C141" s="641"/>
      <c r="D141" s="641"/>
      <c r="E141" s="646" t="s">
        <v>920</v>
      </c>
      <c r="F141" s="646" t="s">
        <v>921</v>
      </c>
    </row>
    <row r="142" spans="3:6" x14ac:dyDescent="0.25">
      <c r="C142" s="641"/>
      <c r="D142" s="641"/>
      <c r="E142" s="642"/>
      <c r="F142" s="646" t="s">
        <v>922</v>
      </c>
    </row>
    <row r="143" spans="3:6" x14ac:dyDescent="0.25">
      <c r="C143" s="641"/>
      <c r="D143" s="641"/>
      <c r="E143" s="646"/>
      <c r="F143" s="646" t="s">
        <v>923</v>
      </c>
    </row>
    <row r="144" spans="3:6" x14ac:dyDescent="0.25">
      <c r="C144" s="641"/>
      <c r="D144" s="641"/>
      <c r="E144" s="646"/>
      <c r="F144" s="646" t="s">
        <v>924</v>
      </c>
    </row>
    <row r="145" spans="3:6" x14ac:dyDescent="0.25">
      <c r="C145" s="641"/>
      <c r="D145" s="641"/>
      <c r="E145" s="646"/>
      <c r="F145" s="646" t="s">
        <v>925</v>
      </c>
    </row>
    <row r="146" spans="3:6" x14ac:dyDescent="0.25">
      <c r="C146" s="641"/>
      <c r="D146" s="641"/>
      <c r="E146" s="646"/>
      <c r="F146" s="646" t="s">
        <v>926</v>
      </c>
    </row>
    <row r="147" spans="3:6" x14ac:dyDescent="0.25">
      <c r="C147" s="641"/>
      <c r="D147" s="641"/>
      <c r="E147" s="646"/>
      <c r="F147" s="646" t="s">
        <v>927</v>
      </c>
    </row>
    <row r="148" spans="3:6" x14ac:dyDescent="0.25">
      <c r="C148" s="641"/>
      <c r="D148" s="641"/>
      <c r="E148" s="646"/>
      <c r="F148" s="642"/>
    </row>
    <row r="149" spans="3:6" x14ac:dyDescent="0.25">
      <c r="C149" s="641"/>
      <c r="D149" s="641"/>
      <c r="E149" s="646" t="s">
        <v>928</v>
      </c>
      <c r="F149" s="644" t="s">
        <v>929</v>
      </c>
    </row>
    <row r="150" spans="3:6" x14ac:dyDescent="0.25">
      <c r="C150" s="641"/>
      <c r="D150" s="641"/>
      <c r="E150" s="646" t="s">
        <v>930</v>
      </c>
      <c r="F150" s="648" t="s">
        <v>931</v>
      </c>
    </row>
    <row r="151" spans="3:6" x14ac:dyDescent="0.25">
      <c r="C151" s="641"/>
      <c r="D151" s="641"/>
      <c r="E151" s="642"/>
      <c r="F151" s="648" t="s">
        <v>932</v>
      </c>
    </row>
    <row r="152" spans="3:6" x14ac:dyDescent="0.25">
      <c r="C152" s="641"/>
      <c r="D152" s="641"/>
      <c r="E152" s="646"/>
      <c r="F152" s="648">
        <v>2060</v>
      </c>
    </row>
    <row r="153" spans="3:6" x14ac:dyDescent="0.25">
      <c r="C153" s="641"/>
      <c r="D153" s="641"/>
      <c r="E153" s="646"/>
      <c r="F153" s="648">
        <v>2163</v>
      </c>
    </row>
    <row r="154" spans="3:6" x14ac:dyDescent="0.25">
      <c r="C154" s="641"/>
      <c r="D154" s="641"/>
      <c r="E154" s="646"/>
      <c r="F154" s="648" t="s">
        <v>933</v>
      </c>
    </row>
    <row r="155" spans="3:6" x14ac:dyDescent="0.25">
      <c r="C155" s="641"/>
      <c r="D155" s="641"/>
      <c r="E155" s="646"/>
      <c r="F155" s="646" t="s">
        <v>934</v>
      </c>
    </row>
    <row r="156" spans="3:6" x14ac:dyDescent="0.25">
      <c r="C156" s="641"/>
      <c r="D156" s="641"/>
      <c r="E156" s="646"/>
      <c r="F156" s="646" t="s">
        <v>935</v>
      </c>
    </row>
    <row r="157" spans="3:6" x14ac:dyDescent="0.25">
      <c r="C157" s="641"/>
      <c r="D157" s="641"/>
      <c r="E157" s="646"/>
      <c r="F157" s="646" t="s">
        <v>936</v>
      </c>
    </row>
    <row r="158" spans="3:6" x14ac:dyDescent="0.25">
      <c r="C158" s="641"/>
      <c r="D158" s="641"/>
      <c r="E158" s="646"/>
      <c r="F158" s="646" t="s">
        <v>937</v>
      </c>
    </row>
    <row r="159" spans="3:6" x14ac:dyDescent="0.25">
      <c r="C159" s="641"/>
      <c r="D159" s="641"/>
      <c r="E159" s="646"/>
      <c r="F159" s="646" t="s">
        <v>938</v>
      </c>
    </row>
    <row r="160" spans="3:6" x14ac:dyDescent="0.25">
      <c r="C160" s="641"/>
      <c r="D160" s="641"/>
      <c r="E160" s="646"/>
      <c r="F160" s="646" t="s">
        <v>939</v>
      </c>
    </row>
    <row r="161" spans="3:6" x14ac:dyDescent="0.25">
      <c r="C161" s="641"/>
      <c r="D161" s="641"/>
      <c r="E161" s="646"/>
      <c r="F161" s="646" t="s">
        <v>940</v>
      </c>
    </row>
    <row r="162" spans="3:6" x14ac:dyDescent="0.25">
      <c r="C162" s="641"/>
      <c r="D162" s="641"/>
      <c r="E162" s="646"/>
      <c r="F162" s="646"/>
    </row>
    <row r="163" spans="3:6" x14ac:dyDescent="0.25">
      <c r="C163" s="641"/>
      <c r="D163" s="641"/>
      <c r="E163" s="646" t="s">
        <v>941</v>
      </c>
      <c r="F163" s="646" t="s">
        <v>929</v>
      </c>
    </row>
    <row r="164" spans="3:6" x14ac:dyDescent="0.25">
      <c r="C164" s="641"/>
      <c r="D164" s="641"/>
      <c r="E164" s="646" t="s">
        <v>942</v>
      </c>
      <c r="F164" s="646" t="s">
        <v>206</v>
      </c>
    </row>
    <row r="165" spans="3:6" x14ac:dyDescent="0.25">
      <c r="C165" s="641"/>
      <c r="D165" s="641"/>
      <c r="E165" s="642"/>
      <c r="F165" s="646" t="s">
        <v>943</v>
      </c>
    </row>
    <row r="166" spans="3:6" x14ac:dyDescent="0.25">
      <c r="C166" s="641"/>
      <c r="D166" s="641"/>
      <c r="E166" s="646"/>
      <c r="F166" s="646" t="s">
        <v>933</v>
      </c>
    </row>
    <row r="167" spans="3:6" x14ac:dyDescent="0.25">
      <c r="C167" s="641"/>
      <c r="D167" s="641"/>
      <c r="E167" s="646"/>
      <c r="F167" s="646" t="s">
        <v>768</v>
      </c>
    </row>
    <row r="168" spans="3:6" x14ac:dyDescent="0.25">
      <c r="C168" s="641"/>
      <c r="D168" s="641"/>
      <c r="E168" s="646"/>
      <c r="F168" s="646" t="s">
        <v>944</v>
      </c>
    </row>
    <row r="169" spans="3:6" x14ac:dyDescent="0.25">
      <c r="C169" s="641"/>
      <c r="D169" s="641"/>
      <c r="E169" s="646"/>
      <c r="F169" s="646" t="s">
        <v>945</v>
      </c>
    </row>
    <row r="170" spans="3:6" x14ac:dyDescent="0.25">
      <c r="C170" s="641"/>
      <c r="D170" s="641"/>
      <c r="E170" s="646"/>
      <c r="F170" s="646"/>
    </row>
    <row r="171" spans="3:6" x14ac:dyDescent="0.25">
      <c r="C171" s="641"/>
      <c r="D171" s="641"/>
      <c r="E171" s="646" t="s">
        <v>946</v>
      </c>
      <c r="F171" s="644" t="s">
        <v>554</v>
      </c>
    </row>
    <row r="172" spans="3:6" x14ac:dyDescent="0.25">
      <c r="C172" s="641"/>
      <c r="D172" s="641"/>
      <c r="E172" s="646" t="s">
        <v>947</v>
      </c>
      <c r="F172" s="648" t="s">
        <v>948</v>
      </c>
    </row>
    <row r="173" spans="3:6" x14ac:dyDescent="0.25">
      <c r="C173" s="641"/>
      <c r="D173" s="641"/>
      <c r="E173" s="646"/>
      <c r="F173" s="648" t="s">
        <v>949</v>
      </c>
    </row>
    <row r="174" spans="3:6" x14ac:dyDescent="0.25">
      <c r="C174" s="641"/>
      <c r="D174" s="641"/>
      <c r="E174" s="646"/>
      <c r="F174" s="648" t="s">
        <v>950</v>
      </c>
    </row>
    <row r="175" spans="3:6" x14ac:dyDescent="0.25">
      <c r="C175" s="641"/>
      <c r="D175" s="641"/>
      <c r="E175" s="646"/>
      <c r="F175" s="648" t="s">
        <v>951</v>
      </c>
    </row>
    <row r="176" spans="3:6" x14ac:dyDescent="0.25">
      <c r="C176" s="641"/>
      <c r="D176" s="641"/>
      <c r="E176" s="646"/>
      <c r="F176" s="648" t="s">
        <v>952</v>
      </c>
    </row>
    <row r="177" spans="3:6" x14ac:dyDescent="0.25">
      <c r="C177" s="641"/>
      <c r="D177" s="641"/>
      <c r="E177" s="646"/>
      <c r="F177" s="646" t="s">
        <v>953</v>
      </c>
    </row>
    <row r="178" spans="3:6" x14ac:dyDescent="0.25">
      <c r="C178" s="641"/>
      <c r="D178" s="641"/>
      <c r="E178" s="646"/>
      <c r="F178" s="646"/>
    </row>
    <row r="179" spans="3:6" x14ac:dyDescent="0.25">
      <c r="C179" s="641"/>
      <c r="D179" s="641"/>
      <c r="E179" s="646" t="s">
        <v>954</v>
      </c>
      <c r="F179" s="646" t="s">
        <v>955</v>
      </c>
    </row>
    <row r="180" spans="3:6" x14ac:dyDescent="0.25">
      <c r="C180" s="641"/>
      <c r="D180" s="641"/>
      <c r="E180" s="646" t="s">
        <v>956</v>
      </c>
      <c r="F180" s="646" t="s">
        <v>957</v>
      </c>
    </row>
    <row r="181" spans="3:6" x14ac:dyDescent="0.25">
      <c r="C181" s="641"/>
      <c r="D181" s="641"/>
      <c r="E181" s="646"/>
      <c r="F181" s="646" t="s">
        <v>689</v>
      </c>
    </row>
    <row r="182" spans="3:6" x14ac:dyDescent="0.25">
      <c r="C182" s="641"/>
      <c r="D182" s="641"/>
      <c r="E182" s="646"/>
      <c r="F182" s="646"/>
    </row>
    <row r="183" spans="3:6" x14ac:dyDescent="0.25">
      <c r="C183" s="641"/>
      <c r="D183" s="641"/>
      <c r="E183" s="646" t="s">
        <v>958</v>
      </c>
      <c r="F183" s="644" t="s">
        <v>959</v>
      </c>
    </row>
    <row r="184" spans="3:6" x14ac:dyDescent="0.25">
      <c r="C184" s="641"/>
      <c r="D184" s="641"/>
      <c r="E184" s="646"/>
      <c r="F184" s="646" t="s">
        <v>960</v>
      </c>
    </row>
    <row r="185" spans="3:6" x14ac:dyDescent="0.25">
      <c r="C185" s="641"/>
      <c r="D185" s="641"/>
      <c r="E185" s="646"/>
      <c r="F185" s="646" t="s">
        <v>961</v>
      </c>
    </row>
    <row r="186" spans="3:6" x14ac:dyDescent="0.25">
      <c r="C186" s="641"/>
      <c r="D186" s="641"/>
      <c r="E186" s="646"/>
      <c r="F186" s="646" t="s">
        <v>962</v>
      </c>
    </row>
    <row r="187" spans="3:6" x14ac:dyDescent="0.25">
      <c r="C187" s="641"/>
      <c r="D187" s="641"/>
      <c r="E187" s="646"/>
      <c r="F187" s="649"/>
    </row>
    <row r="188" spans="3:6" x14ac:dyDescent="0.25">
      <c r="C188" s="641"/>
      <c r="D188" s="641"/>
      <c r="E188" s="646"/>
      <c r="F188" s="646"/>
    </row>
    <row r="189" spans="3:6" x14ac:dyDescent="0.25">
      <c r="C189" s="641"/>
      <c r="D189" s="641"/>
      <c r="E189" s="646" t="s">
        <v>788</v>
      </c>
      <c r="F189" s="646" t="s">
        <v>963</v>
      </c>
    </row>
    <row r="190" spans="3:6" x14ac:dyDescent="0.25">
      <c r="C190" s="641"/>
      <c r="D190" s="641"/>
      <c r="E190" s="646"/>
      <c r="F190" s="646" t="s">
        <v>964</v>
      </c>
    </row>
    <row r="191" spans="3:6" x14ac:dyDescent="0.25">
      <c r="C191" s="641"/>
      <c r="D191" s="641"/>
      <c r="E191" s="646"/>
      <c r="F191" s="646" t="s">
        <v>965</v>
      </c>
    </row>
    <row r="192" spans="3:6" x14ac:dyDescent="0.25">
      <c r="C192" s="641"/>
      <c r="D192" s="641"/>
      <c r="E192" s="646"/>
      <c r="F192" s="646" t="s">
        <v>966</v>
      </c>
    </row>
    <row r="193" spans="3:6" x14ac:dyDescent="0.25">
      <c r="C193" s="641"/>
      <c r="D193" s="641"/>
      <c r="E193" s="646"/>
      <c r="F193" s="646" t="s">
        <v>967</v>
      </c>
    </row>
    <row r="194" spans="3:6" x14ac:dyDescent="0.25">
      <c r="C194" s="641"/>
      <c r="D194" s="641"/>
      <c r="E194" s="646"/>
      <c r="F194" s="646" t="s">
        <v>575</v>
      </c>
    </row>
    <row r="195" spans="3:6" x14ac:dyDescent="0.25">
      <c r="C195" s="641"/>
      <c r="D195" s="641"/>
      <c r="E195" s="646"/>
      <c r="F195" s="646"/>
    </row>
    <row r="196" spans="3:6" x14ac:dyDescent="0.25">
      <c r="C196" s="641"/>
      <c r="D196" s="641"/>
      <c r="E196" s="646"/>
      <c r="F196" s="646"/>
    </row>
    <row r="197" spans="3:6" x14ac:dyDescent="0.25">
      <c r="C197" s="641"/>
      <c r="D197" s="641"/>
      <c r="E197" s="646" t="s">
        <v>968</v>
      </c>
      <c r="F197" s="646" t="s">
        <v>969</v>
      </c>
    </row>
    <row r="198" spans="3:6" x14ac:dyDescent="0.25">
      <c r="C198" s="641"/>
      <c r="D198" s="641"/>
      <c r="E198" s="646"/>
      <c r="F198" s="646" t="s">
        <v>970</v>
      </c>
    </row>
    <row r="199" spans="3:6" x14ac:dyDescent="0.25">
      <c r="C199" s="641"/>
      <c r="D199" s="641"/>
      <c r="E199" s="646"/>
      <c r="F199" s="646" t="s">
        <v>971</v>
      </c>
    </row>
    <row r="200" spans="3:6" x14ac:dyDescent="0.25">
      <c r="C200" s="641"/>
      <c r="D200" s="641"/>
      <c r="E200" s="646"/>
      <c r="F200" s="646"/>
    </row>
    <row r="201" spans="3:6" x14ac:dyDescent="0.25">
      <c r="C201" s="641"/>
      <c r="D201" s="641"/>
      <c r="E201" s="646" t="s">
        <v>675</v>
      </c>
      <c r="F201" s="646" t="s">
        <v>972</v>
      </c>
    </row>
    <row r="202" spans="3:6" x14ac:dyDescent="0.25">
      <c r="C202" s="641"/>
      <c r="D202" s="641"/>
      <c r="E202" s="646" t="s">
        <v>973</v>
      </c>
      <c r="F202" s="646" t="s">
        <v>974</v>
      </c>
    </row>
    <row r="203" spans="3:6" x14ac:dyDescent="0.25">
      <c r="C203" s="641"/>
      <c r="D203" s="641"/>
      <c r="E203" s="646"/>
      <c r="F203" s="646" t="s">
        <v>975</v>
      </c>
    </row>
    <row r="204" spans="3:6" x14ac:dyDescent="0.25">
      <c r="C204" s="641"/>
      <c r="D204" s="641"/>
      <c r="E204" s="646"/>
      <c r="F204" s="646" t="s">
        <v>976</v>
      </c>
    </row>
    <row r="205" spans="3:6" x14ac:dyDescent="0.25">
      <c r="C205" s="641"/>
      <c r="D205" s="641"/>
      <c r="E205" s="646"/>
      <c r="F205" s="646" t="s">
        <v>977</v>
      </c>
    </row>
    <row r="206" spans="3:6" x14ac:dyDescent="0.25">
      <c r="C206" s="641"/>
      <c r="D206" s="641"/>
      <c r="E206" s="646"/>
      <c r="F206" s="646" t="s">
        <v>978</v>
      </c>
    </row>
    <row r="207" spans="3:6" x14ac:dyDescent="0.25">
      <c r="C207" s="641"/>
      <c r="D207" s="641"/>
      <c r="E207" s="646"/>
      <c r="F207" s="646" t="s">
        <v>979</v>
      </c>
    </row>
    <row r="208" spans="3:6" x14ac:dyDescent="0.25">
      <c r="C208" s="641"/>
      <c r="D208" s="641"/>
      <c r="E208" s="646"/>
      <c r="F208" s="646" t="s">
        <v>980</v>
      </c>
    </row>
    <row r="209" spans="3:6" x14ac:dyDescent="0.25">
      <c r="C209" s="641"/>
      <c r="D209" s="641"/>
      <c r="E209" s="646"/>
      <c r="F209" s="646" t="s">
        <v>981</v>
      </c>
    </row>
    <row r="210" spans="3:6" x14ac:dyDescent="0.25">
      <c r="C210" s="641"/>
      <c r="D210" s="641"/>
      <c r="E210" s="646"/>
      <c r="F210" s="646" t="s">
        <v>982</v>
      </c>
    </row>
    <row r="211" spans="3:6" x14ac:dyDescent="0.25">
      <c r="C211" s="641"/>
      <c r="D211" s="641"/>
      <c r="E211" s="646"/>
      <c r="F211" s="646" t="s">
        <v>983</v>
      </c>
    </row>
    <row r="212" spans="3:6" x14ac:dyDescent="0.25">
      <c r="C212" s="641"/>
      <c r="D212" s="641"/>
      <c r="E212" s="646"/>
      <c r="F212" s="646" t="s">
        <v>984</v>
      </c>
    </row>
    <row r="213" spans="3:6" x14ac:dyDescent="0.25">
      <c r="C213" s="641"/>
      <c r="D213" s="641"/>
      <c r="E213" s="646"/>
      <c r="F213" s="646" t="s">
        <v>985</v>
      </c>
    </row>
    <row r="214" spans="3:6" x14ac:dyDescent="0.25">
      <c r="C214" s="641"/>
      <c r="D214" s="641"/>
      <c r="E214" s="646"/>
      <c r="F214" s="646" t="s">
        <v>986</v>
      </c>
    </row>
    <row r="215" spans="3:6" x14ac:dyDescent="0.25">
      <c r="C215" s="641"/>
      <c r="D215" s="641"/>
      <c r="E215" s="646"/>
      <c r="F215" s="646"/>
    </row>
    <row r="216" spans="3:6" x14ac:dyDescent="0.25">
      <c r="C216" s="641"/>
      <c r="D216" s="641"/>
      <c r="E216" s="646" t="s">
        <v>795</v>
      </c>
      <c r="F216" s="644" t="s">
        <v>558</v>
      </c>
    </row>
    <row r="217" spans="3:6" x14ac:dyDescent="0.25">
      <c r="C217" s="641"/>
      <c r="D217" s="641"/>
      <c r="E217" s="646" t="s">
        <v>796</v>
      </c>
      <c r="F217" s="646" t="s">
        <v>987</v>
      </c>
    </row>
    <row r="218" spans="3:6" x14ac:dyDescent="0.25">
      <c r="C218" s="641"/>
      <c r="D218" s="641"/>
      <c r="E218" s="646"/>
      <c r="F218" s="646" t="s">
        <v>988</v>
      </c>
    </row>
    <row r="219" spans="3:6" x14ac:dyDescent="0.25">
      <c r="C219" s="641"/>
      <c r="D219" s="641"/>
      <c r="E219" s="646"/>
      <c r="F219" s="646" t="s">
        <v>989</v>
      </c>
    </row>
    <row r="220" spans="3:6" x14ac:dyDescent="0.25">
      <c r="C220" s="641"/>
      <c r="D220" s="641"/>
      <c r="E220" s="646"/>
      <c r="F220" s="646"/>
    </row>
    <row r="221" spans="3:6" x14ac:dyDescent="0.25">
      <c r="C221" s="641"/>
      <c r="D221" s="641"/>
      <c r="E221" s="646" t="s">
        <v>990</v>
      </c>
      <c r="F221" s="646" t="s">
        <v>991</v>
      </c>
    </row>
    <row r="222" spans="3:6" x14ac:dyDescent="0.25">
      <c r="C222" s="641"/>
      <c r="D222" s="641"/>
      <c r="E222" s="646" t="s">
        <v>992</v>
      </c>
      <c r="F222" s="646" t="s">
        <v>993</v>
      </c>
    </row>
    <row r="223" spans="3:6" x14ac:dyDescent="0.25">
      <c r="C223" s="641"/>
      <c r="D223" s="641"/>
      <c r="E223" s="646"/>
      <c r="F223" s="646" t="s">
        <v>927</v>
      </c>
    </row>
    <row r="224" spans="3:6" x14ac:dyDescent="0.25">
      <c r="C224" s="641"/>
      <c r="D224" s="641"/>
      <c r="E224" s="646"/>
      <c r="F224" s="646"/>
    </row>
    <row r="225" spans="3:6" x14ac:dyDescent="0.25">
      <c r="C225" s="641"/>
      <c r="D225" s="641"/>
      <c r="E225" s="646" t="s">
        <v>994</v>
      </c>
      <c r="F225" s="646" t="s">
        <v>995</v>
      </c>
    </row>
    <row r="226" spans="3:6" x14ac:dyDescent="0.25">
      <c r="C226" s="641"/>
      <c r="D226" s="641"/>
      <c r="E226" s="646" t="s">
        <v>996</v>
      </c>
      <c r="F226" s="646" t="s">
        <v>993</v>
      </c>
    </row>
    <row r="227" spans="3:6" x14ac:dyDescent="0.25">
      <c r="C227" s="641"/>
      <c r="D227" s="641"/>
      <c r="E227" s="646"/>
      <c r="F227" s="646" t="s">
        <v>927</v>
      </c>
    </row>
    <row r="228" spans="3:6" x14ac:dyDescent="0.25">
      <c r="C228" s="641"/>
      <c r="D228" s="641"/>
      <c r="E228" s="646"/>
      <c r="F228" s="646"/>
    </row>
    <row r="229" spans="3:6" x14ac:dyDescent="0.25">
      <c r="C229" s="641"/>
      <c r="D229" s="641"/>
      <c r="E229" s="646" t="s">
        <v>684</v>
      </c>
      <c r="F229" s="646" t="s">
        <v>594</v>
      </c>
    </row>
    <row r="230" spans="3:6" x14ac:dyDescent="0.25">
      <c r="C230" s="641"/>
      <c r="D230" s="641"/>
      <c r="E230" s="646" t="s">
        <v>997</v>
      </c>
      <c r="F230" s="646" t="s">
        <v>998</v>
      </c>
    </row>
    <row r="231" spans="3:6" x14ac:dyDescent="0.25">
      <c r="C231" s="641"/>
      <c r="D231" s="641"/>
      <c r="E231" s="642"/>
      <c r="F231" s="646" t="s">
        <v>999</v>
      </c>
    </row>
    <row r="232" spans="3:6" x14ac:dyDescent="0.25">
      <c r="C232" s="641"/>
      <c r="D232" s="641"/>
      <c r="E232" s="646"/>
      <c r="F232" s="644" t="s">
        <v>1000</v>
      </c>
    </row>
    <row r="233" spans="3:6" x14ac:dyDescent="0.25">
      <c r="C233" s="641"/>
      <c r="D233" s="641"/>
      <c r="E233" s="646"/>
      <c r="F233" s="644" t="s">
        <v>1001</v>
      </c>
    </row>
    <row r="234" spans="3:6" x14ac:dyDescent="0.25">
      <c r="C234" s="641"/>
      <c r="D234" s="641"/>
      <c r="E234" s="646"/>
      <c r="F234" s="646"/>
    </row>
    <row r="235" spans="3:6" x14ac:dyDescent="0.25">
      <c r="C235" s="641"/>
      <c r="D235" s="641"/>
      <c r="E235" s="646" t="s">
        <v>684</v>
      </c>
      <c r="F235" s="646" t="s">
        <v>595</v>
      </c>
    </row>
    <row r="236" spans="3:6" x14ac:dyDescent="0.25">
      <c r="C236" s="641"/>
      <c r="D236" s="641"/>
      <c r="E236" s="646" t="s">
        <v>1002</v>
      </c>
      <c r="F236" s="646" t="s">
        <v>1003</v>
      </c>
    </row>
    <row r="237" spans="3:6" x14ac:dyDescent="0.25">
      <c r="C237" s="641"/>
      <c r="D237" s="641"/>
      <c r="E237" s="642"/>
      <c r="F237" s="646" t="s">
        <v>1004</v>
      </c>
    </row>
    <row r="238" spans="3:6" x14ac:dyDescent="0.25">
      <c r="C238" s="641"/>
      <c r="D238" s="641"/>
      <c r="E238" s="646"/>
      <c r="F238" s="646" t="s">
        <v>1005</v>
      </c>
    </row>
    <row r="239" spans="3:6" x14ac:dyDescent="0.25">
      <c r="C239" s="641"/>
      <c r="D239" s="641"/>
      <c r="E239" s="646"/>
      <c r="F239" s="646" t="s">
        <v>1006</v>
      </c>
    </row>
    <row r="240" spans="3:6" x14ac:dyDescent="0.25">
      <c r="C240" s="641"/>
      <c r="D240" s="641"/>
      <c r="E240" s="646"/>
      <c r="F240" s="646" t="s">
        <v>1007</v>
      </c>
    </row>
    <row r="241" spans="3:6" x14ac:dyDescent="0.25">
      <c r="C241" s="641"/>
      <c r="D241" s="641"/>
      <c r="E241" s="646"/>
      <c r="F241" s="646" t="s">
        <v>1008</v>
      </c>
    </row>
    <row r="242" spans="3:6" x14ac:dyDescent="0.25">
      <c r="C242" s="641"/>
      <c r="D242" s="641"/>
      <c r="E242" s="646"/>
      <c r="F242" s="646" t="s">
        <v>1009</v>
      </c>
    </row>
    <row r="243" spans="3:6" x14ac:dyDescent="0.25">
      <c r="C243" s="641"/>
      <c r="D243" s="641"/>
      <c r="E243" s="646"/>
      <c r="F243" s="646" t="s">
        <v>1010</v>
      </c>
    </row>
    <row r="244" spans="3:6" x14ac:dyDescent="0.25">
      <c r="C244" s="641"/>
      <c r="D244" s="641"/>
      <c r="E244" s="646"/>
      <c r="F244" s="646" t="s">
        <v>1011</v>
      </c>
    </row>
    <row r="245" spans="3:6" x14ac:dyDescent="0.25">
      <c r="C245" s="641"/>
      <c r="D245" s="641"/>
      <c r="E245" s="646"/>
      <c r="F245" s="646" t="s">
        <v>1012</v>
      </c>
    </row>
    <row r="246" spans="3:6" x14ac:dyDescent="0.25">
      <c r="C246" s="641"/>
      <c r="D246" s="641"/>
      <c r="E246" s="646"/>
      <c r="F246" s="646" t="s">
        <v>1013</v>
      </c>
    </row>
    <row r="247" spans="3:6" x14ac:dyDescent="0.25">
      <c r="C247" s="641"/>
      <c r="D247" s="641"/>
      <c r="E247" s="646"/>
      <c r="F247" s="646" t="s">
        <v>1014</v>
      </c>
    </row>
    <row r="248" spans="3:6" x14ac:dyDescent="0.25">
      <c r="C248" s="641"/>
      <c r="D248" s="641"/>
      <c r="E248" s="646"/>
      <c r="F248" s="646" t="s">
        <v>1015</v>
      </c>
    </row>
    <row r="249" spans="3:6" x14ac:dyDescent="0.25">
      <c r="C249" s="641"/>
      <c r="D249" s="641"/>
      <c r="E249" s="646"/>
      <c r="F249" s="646" t="s">
        <v>1016</v>
      </c>
    </row>
    <row r="250" spans="3:6" x14ac:dyDescent="0.25">
      <c r="C250" s="641"/>
      <c r="D250" s="641"/>
      <c r="E250" s="646"/>
      <c r="F250" s="646" t="s">
        <v>1017</v>
      </c>
    </row>
    <row r="251" spans="3:6" x14ac:dyDescent="0.25">
      <c r="C251" s="641"/>
      <c r="D251" s="641"/>
      <c r="E251" s="646"/>
      <c r="F251" s="646" t="s">
        <v>1018</v>
      </c>
    </row>
    <row r="252" spans="3:6" x14ac:dyDescent="0.25">
      <c r="C252" s="641"/>
      <c r="D252" s="641"/>
      <c r="E252" s="646"/>
      <c r="F252" s="646" t="s">
        <v>1019</v>
      </c>
    </row>
    <row r="253" spans="3:6" x14ac:dyDescent="0.25">
      <c r="C253" s="641"/>
      <c r="D253" s="641"/>
      <c r="E253" s="646"/>
      <c r="F253" s="646" t="s">
        <v>1020</v>
      </c>
    </row>
    <row r="254" spans="3:6" x14ac:dyDescent="0.25">
      <c r="C254" s="641"/>
      <c r="D254" s="641"/>
      <c r="E254" s="646"/>
      <c r="F254" s="646" t="s">
        <v>1021</v>
      </c>
    </row>
    <row r="255" spans="3:6" x14ac:dyDescent="0.25">
      <c r="C255" s="641"/>
      <c r="D255" s="641"/>
      <c r="E255" s="646"/>
      <c r="F255" s="646" t="s">
        <v>1022</v>
      </c>
    </row>
    <row r="256" spans="3:6" x14ac:dyDescent="0.25">
      <c r="C256" s="641"/>
      <c r="D256" s="641"/>
      <c r="E256" s="646"/>
      <c r="F256" s="646" t="s">
        <v>1023</v>
      </c>
    </row>
    <row r="257" spans="3:6" x14ac:dyDescent="0.25">
      <c r="C257" s="641"/>
      <c r="D257" s="641"/>
      <c r="E257" s="646"/>
      <c r="F257" s="646" t="s">
        <v>1024</v>
      </c>
    </row>
    <row r="258" spans="3:6" x14ac:dyDescent="0.25">
      <c r="C258" s="641"/>
      <c r="D258" s="641"/>
      <c r="E258" s="646"/>
      <c r="F258" s="646" t="s">
        <v>1025</v>
      </c>
    </row>
    <row r="259" spans="3:6" x14ac:dyDescent="0.25">
      <c r="C259" s="641"/>
      <c r="D259" s="641"/>
      <c r="E259" s="646"/>
      <c r="F259" s="646" t="s">
        <v>1026</v>
      </c>
    </row>
    <row r="260" spans="3:6" x14ac:dyDescent="0.25">
      <c r="C260" s="641"/>
      <c r="D260" s="641"/>
      <c r="E260" s="646"/>
      <c r="F260" s="646" t="s">
        <v>1027</v>
      </c>
    </row>
    <row r="261" spans="3:6" x14ac:dyDescent="0.25">
      <c r="C261" s="641"/>
      <c r="D261" s="641"/>
      <c r="E261" s="646"/>
      <c r="F261" s="646" t="s">
        <v>1028</v>
      </c>
    </row>
    <row r="262" spans="3:6" x14ac:dyDescent="0.25">
      <c r="C262" s="641"/>
      <c r="D262" s="641"/>
      <c r="E262" s="646"/>
      <c r="F262" s="646" t="s">
        <v>1029</v>
      </c>
    </row>
    <row r="263" spans="3:6" x14ac:dyDescent="0.25">
      <c r="C263" s="641"/>
      <c r="D263" s="641"/>
      <c r="E263" s="646"/>
      <c r="F263" s="646" t="s">
        <v>1030</v>
      </c>
    </row>
    <row r="264" spans="3:6" x14ac:dyDescent="0.25">
      <c r="C264" s="641"/>
      <c r="D264" s="641"/>
      <c r="E264" s="646"/>
      <c r="F264" s="646" t="s">
        <v>1031</v>
      </c>
    </row>
    <row r="265" spans="3:6" x14ac:dyDescent="0.25">
      <c r="C265" s="641"/>
      <c r="D265" s="641"/>
      <c r="E265" s="646"/>
      <c r="F265" s="646" t="s">
        <v>1032</v>
      </c>
    </row>
    <row r="266" spans="3:6" x14ac:dyDescent="0.25">
      <c r="C266" s="641"/>
      <c r="D266" s="641"/>
      <c r="E266" s="646"/>
      <c r="F266" s="646" t="s">
        <v>1033</v>
      </c>
    </row>
    <row r="267" spans="3:6" x14ac:dyDescent="0.25">
      <c r="C267" s="641"/>
      <c r="D267" s="641"/>
      <c r="E267" s="646"/>
      <c r="F267" s="646" t="s">
        <v>1034</v>
      </c>
    </row>
    <row r="268" spans="3:6" x14ac:dyDescent="0.25">
      <c r="C268" s="641"/>
      <c r="D268" s="641"/>
      <c r="E268" s="646"/>
      <c r="F268" s="646" t="s">
        <v>1035</v>
      </c>
    </row>
    <row r="269" spans="3:6" x14ac:dyDescent="0.25">
      <c r="C269" s="641"/>
      <c r="D269" s="641"/>
      <c r="E269" s="646"/>
      <c r="F269" s="646" t="s">
        <v>1036</v>
      </c>
    </row>
    <row r="270" spans="3:6" x14ac:dyDescent="0.25">
      <c r="C270" s="641"/>
      <c r="D270" s="641"/>
      <c r="E270" s="646"/>
      <c r="F270" s="646" t="s">
        <v>1037</v>
      </c>
    </row>
    <row r="271" spans="3:6" x14ac:dyDescent="0.25">
      <c r="C271" s="641"/>
      <c r="D271" s="641"/>
      <c r="E271" s="646"/>
      <c r="F271" s="646" t="s">
        <v>1038</v>
      </c>
    </row>
    <row r="272" spans="3:6" x14ac:dyDescent="0.25">
      <c r="C272" s="641"/>
      <c r="D272" s="641"/>
      <c r="E272" s="646"/>
      <c r="F272" s="646" t="s">
        <v>1039</v>
      </c>
    </row>
    <row r="273" spans="3:6" x14ac:dyDescent="0.25">
      <c r="C273" s="641"/>
      <c r="D273" s="641"/>
      <c r="E273" s="646"/>
      <c r="F273" s="646" t="s">
        <v>1040</v>
      </c>
    </row>
    <row r="274" spans="3:6" x14ac:dyDescent="0.25">
      <c r="C274" s="641"/>
      <c r="D274" s="641"/>
      <c r="E274" s="646"/>
      <c r="F274" s="646" t="s">
        <v>861</v>
      </c>
    </row>
    <row r="275" spans="3:6" x14ac:dyDescent="0.25">
      <c r="C275" s="641"/>
      <c r="D275" s="641"/>
      <c r="E275" s="646"/>
      <c r="F275" s="646" t="s">
        <v>1041</v>
      </c>
    </row>
    <row r="276" spans="3:6" x14ac:dyDescent="0.25">
      <c r="C276" s="641"/>
      <c r="D276" s="641"/>
      <c r="E276" s="646"/>
      <c r="F276" s="646" t="s">
        <v>1042</v>
      </c>
    </row>
    <row r="277" spans="3:6" x14ac:dyDescent="0.25">
      <c r="C277" s="641"/>
      <c r="D277" s="641"/>
      <c r="E277" s="646"/>
      <c r="F277" s="646" t="s">
        <v>1043</v>
      </c>
    </row>
    <row r="278" spans="3:6" x14ac:dyDescent="0.25">
      <c r="C278" s="641"/>
      <c r="D278" s="641"/>
      <c r="E278" s="646"/>
      <c r="F278" s="646" t="s">
        <v>1044</v>
      </c>
    </row>
    <row r="279" spans="3:6" x14ac:dyDescent="0.25">
      <c r="C279" s="641"/>
      <c r="D279" s="641"/>
      <c r="E279" s="646"/>
      <c r="F279" s="646" t="s">
        <v>1045</v>
      </c>
    </row>
    <row r="280" spans="3:6" x14ac:dyDescent="0.25">
      <c r="C280" s="641"/>
      <c r="D280" s="641"/>
      <c r="E280" s="646"/>
      <c r="F280" s="646" t="s">
        <v>1046</v>
      </c>
    </row>
    <row r="281" spans="3:6" x14ac:dyDescent="0.25">
      <c r="C281" s="641"/>
      <c r="D281" s="641"/>
      <c r="E281" s="646"/>
      <c r="F281" s="646" t="s">
        <v>1047</v>
      </c>
    </row>
    <row r="282" spans="3:6" x14ac:dyDescent="0.25">
      <c r="C282" s="641"/>
      <c r="D282" s="641"/>
      <c r="E282" s="646"/>
      <c r="F282" s="646" t="s">
        <v>864</v>
      </c>
    </row>
    <row r="283" spans="3:6" x14ac:dyDescent="0.25">
      <c r="C283" s="641"/>
      <c r="D283" s="641"/>
      <c r="E283" s="646"/>
      <c r="F283" s="646" t="s">
        <v>1048</v>
      </c>
    </row>
    <row r="284" spans="3:6" x14ac:dyDescent="0.25">
      <c r="C284" s="641"/>
      <c r="D284" s="641"/>
      <c r="E284" s="646"/>
      <c r="F284" s="646" t="s">
        <v>1049</v>
      </c>
    </row>
    <row r="285" spans="3:6" x14ac:dyDescent="0.25">
      <c r="C285" s="641"/>
      <c r="D285" s="641"/>
      <c r="E285" s="646"/>
      <c r="F285" s="646"/>
    </row>
    <row r="286" spans="3:6" x14ac:dyDescent="0.25">
      <c r="C286" s="641"/>
      <c r="D286" s="641"/>
      <c r="E286" s="646" t="s">
        <v>1056</v>
      </c>
      <c r="F286" s="644" t="s">
        <v>558</v>
      </c>
    </row>
    <row r="287" spans="3:6" x14ac:dyDescent="0.25">
      <c r="C287" s="641"/>
      <c r="D287" s="641"/>
      <c r="E287" s="646"/>
      <c r="F287" s="646" t="s">
        <v>1050</v>
      </c>
    </row>
    <row r="288" spans="3:6" x14ac:dyDescent="0.25">
      <c r="C288" s="641"/>
      <c r="D288" s="641"/>
      <c r="E288" s="646"/>
      <c r="F288" s="646" t="s">
        <v>1051</v>
      </c>
    </row>
    <row r="289" spans="3:6" x14ac:dyDescent="0.25">
      <c r="C289" s="641"/>
      <c r="D289" s="641"/>
      <c r="E289" s="646"/>
      <c r="F289" s="646" t="s">
        <v>1052</v>
      </c>
    </row>
    <row r="290" spans="3:6" x14ac:dyDescent="0.25">
      <c r="C290" s="641"/>
      <c r="D290" s="641"/>
      <c r="E290" s="646"/>
      <c r="F290" s="646"/>
    </row>
    <row r="291" spans="3:6" x14ac:dyDescent="0.25">
      <c r="C291" s="641"/>
      <c r="D291" s="641"/>
      <c r="E291" s="644" t="s">
        <v>1053</v>
      </c>
      <c r="F291" s="644" t="s">
        <v>1054</v>
      </c>
    </row>
    <row r="292" spans="3:6" x14ac:dyDescent="0.25">
      <c r="C292" s="641"/>
      <c r="D292" s="641"/>
      <c r="E292" s="642"/>
      <c r="F292" s="644" t="s">
        <v>1055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75</vt:i4>
      </vt:variant>
    </vt:vector>
  </HeadingPairs>
  <TitlesOfParts>
    <vt:vector size="110" baseType="lpstr">
      <vt:lpstr>PopTypes_Dropdown</vt:lpstr>
      <vt:lpstr>Definitions</vt:lpstr>
      <vt:lpstr>1A</vt:lpstr>
      <vt:lpstr>1B</vt:lpstr>
      <vt:lpstr>2A</vt:lpstr>
      <vt:lpstr>2B</vt:lpstr>
      <vt:lpstr>2C</vt:lpstr>
      <vt:lpstr>2C (2)</vt:lpstr>
      <vt:lpstr>3</vt:lpstr>
      <vt:lpstr>4</vt:lpstr>
      <vt:lpstr>5</vt:lpstr>
      <vt:lpstr>6A</vt:lpstr>
      <vt:lpstr>6B (2)</vt:lpstr>
      <vt:lpstr>6B</vt:lpstr>
      <vt:lpstr>6C</vt:lpstr>
      <vt:lpstr>6D</vt:lpstr>
      <vt:lpstr>6E</vt:lpstr>
      <vt:lpstr>7A</vt:lpstr>
      <vt:lpstr>7B</vt:lpstr>
      <vt:lpstr>8A</vt:lpstr>
      <vt:lpstr>8B</vt:lpstr>
      <vt:lpstr>8C</vt:lpstr>
      <vt:lpstr>8D</vt:lpstr>
      <vt:lpstr>8E</vt:lpstr>
      <vt:lpstr>8E(2)</vt:lpstr>
      <vt:lpstr>8F</vt:lpstr>
      <vt:lpstr>9A</vt:lpstr>
      <vt:lpstr>9B</vt:lpstr>
      <vt:lpstr>9C</vt:lpstr>
      <vt:lpstr>9D</vt:lpstr>
      <vt:lpstr>9E</vt:lpstr>
      <vt:lpstr>11A</vt:lpstr>
      <vt:lpstr>11B</vt:lpstr>
      <vt:lpstr>HTF ROLLUP</vt:lpstr>
      <vt:lpstr>LIHTC_Dropdowns</vt:lpstr>
      <vt:lpstr>DevFees</vt:lpstr>
      <vt:lpstr>eligible_tribes</vt:lpstr>
      <vt:lpstr>federal_funding_sources</vt:lpstr>
      <vt:lpstr>higher_income</vt:lpstr>
      <vt:lpstr>Historic</vt:lpstr>
      <vt:lpstr>Homeless75</vt:lpstr>
      <vt:lpstr>in_within</vt:lpstr>
      <vt:lpstr>Inc_Higher</vt:lpstr>
      <vt:lpstr>Inc_Lower</vt:lpstr>
      <vt:lpstr>Inc_percent</vt:lpstr>
      <vt:lpstr>Incomes_4_Perc</vt:lpstr>
      <vt:lpstr>job_centers</vt:lpstr>
      <vt:lpstr>KC_HTF</vt:lpstr>
      <vt:lpstr>KC_only</vt:lpstr>
      <vt:lpstr>KC_OppArea</vt:lpstr>
      <vt:lpstr>leveraging_public_resources_10</vt:lpstr>
      <vt:lpstr>leveraging_taxable_bonds_7</vt:lpstr>
      <vt:lpstr>LIH_Commit</vt:lpstr>
      <vt:lpstr>LIH40percent</vt:lpstr>
      <vt:lpstr>LIH50percent</vt:lpstr>
      <vt:lpstr>LIH60percent</vt:lpstr>
      <vt:lpstr>local_funding_counties</vt:lpstr>
      <vt:lpstr>local_funding_sources</vt:lpstr>
      <vt:lpstr>local_funding_types</vt:lpstr>
      <vt:lpstr>Location_eff</vt:lpstr>
      <vt:lpstr>lower_income</vt:lpstr>
      <vt:lpstr>NP_Sponsor</vt:lpstr>
      <vt:lpstr>NP_Sponsor_4_Perc</vt:lpstr>
      <vt:lpstr>PBRA_units</vt:lpstr>
      <vt:lpstr>Population_Types</vt:lpstr>
      <vt:lpstr>'11A'!Print_Area</vt:lpstr>
      <vt:lpstr>'11B'!Print_Area</vt:lpstr>
      <vt:lpstr>'1A'!Print_Area</vt:lpstr>
      <vt:lpstr>'1B'!Print_Area</vt:lpstr>
      <vt:lpstr>'2A'!Print_Area</vt:lpstr>
      <vt:lpstr>'2B'!Print_Area</vt:lpstr>
      <vt:lpstr>'2C'!Print_Area</vt:lpstr>
      <vt:lpstr>'2C (2)'!Print_Area</vt:lpstr>
      <vt:lpstr>'3'!Print_Area</vt:lpstr>
      <vt:lpstr>'4'!Print_Area</vt:lpstr>
      <vt:lpstr>'5'!Print_Area</vt:lpstr>
      <vt:lpstr>'6A'!Print_Area</vt:lpstr>
      <vt:lpstr>'6B'!Print_Area</vt:lpstr>
      <vt:lpstr>'6B (2)'!Print_Area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'8E(2)'!Print_Area</vt:lpstr>
      <vt:lpstr>'8F'!Print_Area</vt:lpstr>
      <vt:lpstr>'9A'!Print_Area</vt:lpstr>
      <vt:lpstr>'9B'!Print_Area</vt:lpstr>
      <vt:lpstr>'9C'!Print_Area</vt:lpstr>
      <vt:lpstr>'9D'!Print_Area</vt:lpstr>
      <vt:lpstr>'9E'!Print_Area</vt:lpstr>
      <vt:lpstr>Definitions!Print_Area</vt:lpstr>
      <vt:lpstr>'6A'!Print_Titles</vt:lpstr>
      <vt:lpstr>'6B'!Print_Titles</vt:lpstr>
      <vt:lpstr>'6B (2)'!Print_Titles</vt:lpstr>
      <vt:lpstr>'6C'!Print_Titles</vt:lpstr>
      <vt:lpstr>PriorityPopulations10</vt:lpstr>
      <vt:lpstr>PriorityPopulations20</vt:lpstr>
      <vt:lpstr>Project_Based_Rental_Assistance</vt:lpstr>
      <vt:lpstr>property_type_10</vt:lpstr>
      <vt:lpstr>senior_housing_10</vt:lpstr>
      <vt:lpstr>SpecNeeds20</vt:lpstr>
      <vt:lpstr>TDC_Limit</vt:lpstr>
      <vt:lpstr>Years</vt:lpstr>
      <vt:lpstr>Years_4_Perc</vt:lpstr>
    </vt:vector>
  </TitlesOfParts>
  <Company>Washington State Department of Commerce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Harrington, Sean (COM)</dc:creator>
  <cp:lastModifiedBy>Kings, Elsa</cp:lastModifiedBy>
  <cp:lastPrinted>2015-09-11T21:12:22Z</cp:lastPrinted>
  <dcterms:created xsi:type="dcterms:W3CDTF">2015-05-06T15:11:33Z</dcterms:created>
  <dcterms:modified xsi:type="dcterms:W3CDTF">2015-10-08T16:01:52Z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ies>
</file>