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0"/>
  </bookViews>
  <sheets>
    <sheet name="Sheet1" sheetId="1" r:id="rId1"/>
  </sheets>
  <externalReferences>
    <externalReference r:id="rId4"/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<sst xmlns="http://schemas.openxmlformats.org/spreadsheetml/2006/main" count="137" uniqueCount="117">
  <si>
    <t>Project Name</t>
  </si>
  <si>
    <t>Total Res</t>
  </si>
  <si>
    <t>Date of Budget</t>
  </si>
  <si>
    <t>Total Project Cost</t>
  </si>
  <si>
    <t>R  E  S  I  D  E  N  T  I  A  L</t>
  </si>
  <si>
    <t>Non-Residential</t>
  </si>
  <si>
    <t>Residential total</t>
  </si>
  <si>
    <t>Source:</t>
  </si>
  <si>
    <t>Non Residential Total</t>
  </si>
  <si>
    <t>City of Seattle</t>
  </si>
  <si>
    <t>King County</t>
  </si>
  <si>
    <t>State of WA</t>
  </si>
  <si>
    <t>LIHTC Equity</t>
  </si>
  <si>
    <t>Private Donation</t>
  </si>
  <si>
    <t>Total</t>
  </si>
  <si>
    <t>Food Bank Capital Campaign</t>
  </si>
  <si>
    <t>Acquisition Costs:</t>
  </si>
  <si>
    <t>Land</t>
  </si>
  <si>
    <t>Existing Structures</t>
  </si>
  <si>
    <t>Liens</t>
  </si>
  <si>
    <t>Closing, Title &amp; Recording Costs</t>
  </si>
  <si>
    <t>Extension payment</t>
  </si>
  <si>
    <t xml:space="preserve">Other:   </t>
  </si>
  <si>
    <t>SUBTOTAL</t>
  </si>
  <si>
    <t>Construction:</t>
  </si>
  <si>
    <t>Contingency</t>
  </si>
  <si>
    <t>Demolition-included in New Building Cost</t>
  </si>
  <si>
    <t>New Building</t>
  </si>
  <si>
    <t>Rehabilitation</t>
  </si>
  <si>
    <t>Contractor Profit</t>
  </si>
  <si>
    <t>Contractor Overhead-included in Fee above</t>
  </si>
  <si>
    <t xml:space="preserve">New Construction Contingency   </t>
  </si>
  <si>
    <t xml:space="preserve">Rehab Contingency  </t>
  </si>
  <si>
    <t>Accessory Building</t>
  </si>
  <si>
    <t>Site Work / Infrastructure-included in Construction</t>
  </si>
  <si>
    <t>Off site Infrastructure</t>
  </si>
  <si>
    <t>Environmental Abatement - Building</t>
  </si>
  <si>
    <t>Environmental Abatement - Land</t>
  </si>
  <si>
    <t>Sales Tax</t>
  </si>
  <si>
    <t>Bond Premium</t>
  </si>
  <si>
    <t>Equipment and Furnishings</t>
  </si>
  <si>
    <t>Base Construction Cost</t>
  </si>
  <si>
    <t>Soft Costs:</t>
  </si>
  <si>
    <t xml:space="preserve">Buyer's Appraisal </t>
  </si>
  <si>
    <t>Market Study</t>
  </si>
  <si>
    <t>Market Study $10K already spent</t>
  </si>
  <si>
    <t>Architect</t>
  </si>
  <si>
    <t>Update for Jan 2015 LIHTC APP</t>
  </si>
  <si>
    <t>Engineering</t>
  </si>
  <si>
    <t>Plus:  $6,000</t>
  </si>
  <si>
    <t xml:space="preserve">Environmental Assessment </t>
  </si>
  <si>
    <t>Geotechnical Study</t>
  </si>
  <si>
    <t>Boundary &amp; Topographic Survey</t>
  </si>
  <si>
    <t>Legal - Real Estate</t>
  </si>
  <si>
    <t>Developer Fee</t>
  </si>
  <si>
    <t>Project Management / Dev. Consultant Fees</t>
  </si>
  <si>
    <t>Other Consultants: Envelope, Accoustical, Struc</t>
  </si>
  <si>
    <t>Building Envelope</t>
  </si>
  <si>
    <t>Soft Cost Contingency</t>
  </si>
  <si>
    <t>10% of A&amp;E Costs</t>
  </si>
  <si>
    <t>Accoustical</t>
  </si>
  <si>
    <t>Special Inspector-Struc</t>
  </si>
  <si>
    <t>Pre-Development / Bridge Financing</t>
  </si>
  <si>
    <t>Bridge Loan Fees</t>
  </si>
  <si>
    <t>Bridge Loan Interest</t>
  </si>
  <si>
    <t>Construction Financing</t>
  </si>
  <si>
    <t>Construction Loan Fees</t>
  </si>
  <si>
    <t>Construction Loan Expenses -3rd party Reports</t>
  </si>
  <si>
    <t>Construction Loan Legal</t>
  </si>
  <si>
    <t>Construction Period Interest</t>
  </si>
  <si>
    <t>Lease-up Period Interest</t>
  </si>
  <si>
    <t>Permanent Financing</t>
  </si>
  <si>
    <t>Permanent Loan Fees</t>
  </si>
  <si>
    <t xml:space="preserve">Permanent Loan Expenses </t>
  </si>
  <si>
    <t>Permanent Loan Legal</t>
  </si>
  <si>
    <t>LIHTC Fees</t>
  </si>
  <si>
    <t>LIHTC Legal</t>
  </si>
  <si>
    <t>LIHTC Owners Title Policy</t>
  </si>
  <si>
    <t>State HTF Fees</t>
  </si>
  <si>
    <t>NEF Fee</t>
  </si>
  <si>
    <t>Capitalized Reserves</t>
  </si>
  <si>
    <t>Operating Reserves + Op Deficit Reserve</t>
  </si>
  <si>
    <t>Op Reserve  $150,400</t>
  </si>
  <si>
    <t>Replacement Reserves</t>
  </si>
  <si>
    <t>RDR</t>
  </si>
  <si>
    <t>Supportive Service Reserve</t>
  </si>
  <si>
    <t>Other Development Costs</t>
  </si>
  <si>
    <t>Real Estate Tax</t>
  </si>
  <si>
    <t>Insurance -Owner's Gen Liab and Builders Risk</t>
  </si>
  <si>
    <t>Relocation</t>
  </si>
  <si>
    <t>Bidding Costs</t>
  </si>
  <si>
    <t>Permits, Fees &amp; Hookups</t>
  </si>
  <si>
    <t>Impact/Mitigation Fees</t>
  </si>
  <si>
    <t>Development Period Utilities</t>
  </si>
  <si>
    <t>Nonprofit Donation</t>
  </si>
  <si>
    <t>Accounting/Audit</t>
  </si>
  <si>
    <t>Marketing/Leasing Expenses</t>
  </si>
  <si>
    <t>Carrying Costs at Rent up/ Lease Up Reserve</t>
  </si>
  <si>
    <t>Bond Related Costs of Issuance (4% Tax Credit/Bond Projects Only)</t>
  </si>
  <si>
    <t>Issuer Fees &amp; Related Expenses</t>
  </si>
  <si>
    <t>Bond Counsel</t>
  </si>
  <si>
    <t>Trustee Fees &amp; Expenses</t>
  </si>
  <si>
    <t>Underwriter Fees &amp; Counsel</t>
  </si>
  <si>
    <t>Placement Agent Fees &amp; Counsel</t>
  </si>
  <si>
    <t>Borrower's Counsel - Bond Related</t>
  </si>
  <si>
    <t>Rating Agency</t>
  </si>
  <si>
    <t>Total Development Cost:</t>
  </si>
  <si>
    <t>Total Sources:</t>
  </si>
  <si>
    <t>Target Residential</t>
  </si>
  <si>
    <t>For Dev Fee Calcs</t>
  </si>
  <si>
    <t>Application Fee</t>
  </si>
  <si>
    <t>per Unit</t>
  </si>
  <si>
    <t>Credit Res Fee</t>
  </si>
  <si>
    <t>.095 x 1st Year Allocation</t>
  </si>
  <si>
    <t>Total LIHTC Fees</t>
  </si>
  <si>
    <t>1st Year Compliance Fee</t>
  </si>
  <si>
    <t>University Commons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</si>
</sst>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#,##0.0%"/>
    <numFmt numFmtId="168" formatCode="&quot;$&quot;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name val="Calibri"/>
      <family val="2"/>
    </font>
    <font>
      <sz val="7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10"/>
      <name val="Calibri"/>
      <family val="2"/>
    </font>
    <font>
      <b/>
      <i/>
      <sz val="8"/>
      <name val="Verdana"/>
      <family val="2"/>
    </font>
    <font>
      <sz val="8"/>
      <name val="Calibri"/>
      <family val="2"/>
    </font>
    <font>
      <b/>
      <i/>
      <sz val="6"/>
      <name val="Verdana"/>
      <family val="2"/>
    </font>
    <font>
      <b/>
      <sz val="8"/>
      <color rgb="FFFF0000"/>
      <name val="Calibri"/>
      <family val="2"/>
    </font>
    <font>
      <sz val="10"/>
      <name val="Calibri"/>
      <family val="2"/>
    </font>
    <font>
      <b/>
      <sz val="12"/>
      <color rgb="FFFF0000"/>
      <name val="Arial"/>
      <family val="2"/>
    </font>
    <font>
      <sz val="72"/>
      <name val="Verdana"/>
      <family val="2"/>
    </font>
    <font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rgb="FF000000"/>
        <bgColor rgb="FF808080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D5B4"/>
        <bgColor indexed="64"/>
      </patternFill>
    </fill>
  </fills>
  <borders count="67">
    <border>
      <left/>
      <right/>
      <top/>
      <bottom/>
      <diagonal/>
    </border>
    <border>
      <left style="medium">
        <color rgb="FF0F243E"/>
      </left>
      <right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>
        <color rgb="FFD9D9D9"/>
      </bottom>
    </border>
    <border>
      <left style="thin">
        <color rgb="FFD9D9D9"/>
      </left>
      <right/>
      <top style="medium"/>
      <bottom style="thin">
        <color rgb="FFD9D9D9"/>
      </bottom>
    </border>
    <border>
      <left/>
      <right/>
      <top style="medium"/>
      <bottom style="thin">
        <color rgb="FFBFBFBF"/>
      </bottom>
    </border>
    <border>
      <left style="thin"/>
      <right/>
      <top style="medium"/>
      <bottom style="thin">
        <color rgb="FFBFBFBF"/>
      </bottom>
    </border>
    <border>
      <left style="medium"/>
      <right/>
      <top style="thin">
        <color rgb="FFD9D9D9"/>
      </top>
      <bottom style="thin">
        <color rgb="FFD9D9D9"/>
      </bottom>
    </border>
    <border>
      <left style="thin"/>
      <right/>
      <top style="thin">
        <color rgb="FFD9D9D9"/>
      </top>
      <bottom style="thin">
        <color rgb="FFD9D9D9"/>
      </bottom>
    </border>
    <border>
      <left style="thin">
        <color rgb="FFD9D9D9"/>
      </left>
      <right/>
      <top style="thin">
        <color rgb="FFD9D9D9"/>
      </top>
      <bottom style="thin">
        <color rgb="FFD9D9D9"/>
      </bottom>
    </border>
    <border>
      <left/>
      <right/>
      <top style="thin">
        <color rgb="FFBFBFBF"/>
      </top>
      <bottom style="thin">
        <color rgb="FFBFBFBF"/>
      </bottom>
    </border>
    <border>
      <left style="thin"/>
      <right/>
      <top style="thin">
        <color rgb="FFBFBFBF"/>
      </top>
      <bottom style="thin">
        <color rgb="FFBFBFBF"/>
      </bottom>
    </border>
    <border>
      <left/>
      <right style="medium"/>
      <top/>
      <bottom/>
    </border>
    <border>
      <left style="medium"/>
      <right/>
      <top style="thin">
        <color rgb="FFD9D9D9"/>
      </top>
      <bottom style="thin"/>
    </border>
    <border>
      <left style="thin"/>
      <right/>
      <top style="thin">
        <color rgb="FFD9D9D9"/>
      </top>
      <bottom style="thin"/>
    </border>
    <border>
      <left style="thin">
        <color rgb="FFD9D9D9"/>
      </left>
      <right/>
      <top style="thin">
        <color rgb="FFD9D9D9"/>
      </top>
      <bottom style="thin"/>
    </border>
    <border>
      <left/>
      <right/>
      <top style="thin">
        <color rgb="FFBFBFBF"/>
      </top>
      <bottom style="thin"/>
    </border>
    <border>
      <left style="thin"/>
      <right/>
      <top style="thin">
        <color rgb="FFBFBFBF"/>
      </top>
      <bottom style="thin"/>
    </border>
    <border>
      <left style="medium"/>
      <right/>
      <top style="thin"/>
      <bottom style="medium"/>
    </border>
    <border>
      <left style="thin"/>
      <right style="thin">
        <color rgb="FFBFBFBF"/>
      </right>
      <top style="thin"/>
      <bottom style="medium"/>
    </border>
    <border>
      <left style="thin"/>
      <right/>
      <top style="thin"/>
      <bottom style="medium"/>
    </border>
    <border>
      <left style="thin">
        <color rgb="FFD9D9D9"/>
      </left>
      <right/>
      <top style="thin"/>
      <bottom style="medium"/>
    </border>
    <border>
      <left style="thin">
        <color rgb="FFD9D9D9"/>
      </left>
      <right/>
      <top style="thin">
        <color rgb="FFD9D9D9"/>
      </top>
      <bottom style="medium"/>
    </border>
    <border>
      <left/>
      <right/>
      <top style="thin"/>
      <bottom style="medium"/>
    </border>
    <border>
      <left style="medium"/>
      <right/>
      <top style="medium"/>
      <bottom style="thin">
        <color rgb="FFBFBFBF"/>
      </bottom>
    </border>
    <border>
      <left style="thin">
        <color rgb="FFBFBFBF"/>
      </left>
      <right/>
      <top style="medium"/>
      <bottom style="thin">
        <color rgb="FFBFBFBF"/>
      </bottom>
    </border>
    <border>
      <left style="medium"/>
      <right/>
      <top style="thin">
        <color rgb="FFBFBFBF"/>
      </top>
      <bottom style="thin">
        <color rgb="FFBFBFBF"/>
      </bottom>
    </border>
    <border>
      <left style="thin">
        <color rgb="FFBFBFBF"/>
      </left>
      <right/>
      <top style="thin">
        <color rgb="FFBFBFBF"/>
      </top>
      <bottom style="thin">
        <color rgb="FFBFBFBF"/>
      </bottom>
    </border>
    <border>
      <left/>
      <right style="medium">
        <color rgb="FF0F243E"/>
      </right>
      <top/>
      <bottom/>
    </border>
    <border>
      <left style="medium"/>
      <right/>
      <top style="thin">
        <color rgb="FFBFBFBF"/>
      </top>
      <bottom style="thin"/>
    </border>
    <border>
      <left style="thin">
        <color rgb="FFBFBFBF"/>
      </left>
      <right/>
      <top style="thin">
        <color rgb="FFBFBFBF"/>
      </top>
      <bottom style="thin"/>
    </border>
    <border>
      <left style="thin"/>
      <right style="thin">
        <color rgb="FFBFBFBF"/>
      </right>
      <top style="medium"/>
      <bottom/>
    </border>
    <border>
      <left/>
      <right style="thin"/>
      <top/>
      <bottom/>
    </border>
    <border>
      <left style="medium">
        <color rgb="FF0F243E"/>
      </left>
      <right/>
      <top/>
      <bottom style="medium">
        <color rgb="FF0F243E"/>
      </bottom>
    </border>
    <border>
      <left/>
      <right/>
      <top/>
      <bottom style="medium">
        <color rgb="FF0F243E"/>
      </bottom>
    </border>
    <border>
      <left/>
      <right/>
      <top style="medium"/>
      <bottom style="medium">
        <color rgb="FF0F243E"/>
      </bottom>
    </border>
    <border>
      <left style="thin"/>
      <right style="thin">
        <color rgb="FFBFBFBF"/>
      </right>
      <top style="medium"/>
      <bottom style="thin">
        <color rgb="FFBFBFBF"/>
      </bottom>
    </border>
    <border>
      <left style="thin"/>
      <right style="thin">
        <color rgb="FFBFBFBF"/>
      </right>
      <top style="thin">
        <color rgb="FFBFBFBF"/>
      </top>
      <bottom/>
    </border>
    <border>
      <left style="thin"/>
      <right style="thin">
        <color rgb="FFBFBFBF"/>
      </right>
      <top style="thin">
        <color rgb="FFBFBFBF"/>
      </top>
      <bottom style="thin">
        <color rgb="FFBFBFBF"/>
      </bottom>
    </border>
    <border>
      <left style="thin"/>
      <right/>
      <top style="thin">
        <color rgb="FFBFBFBF"/>
      </top>
      <bottom/>
    </border>
    <border>
      <left style="thin">
        <color rgb="FFBFBFBF"/>
      </left>
      <right/>
      <top style="thin">
        <color rgb="FFBFBFBF"/>
      </top>
      <bottom/>
    </border>
    <border>
      <left/>
      <right/>
      <top style="thin">
        <color rgb="FFBFBFBF"/>
      </top>
      <bottom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 style="thin">
        <color rgb="FFBFBFBF"/>
      </left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3">
    <xf numFmtId="0" fontId="0" fillId="0" borderId="0" xfId="0"/>
    <xf numFmtId="0" fontId="2" fillId="0" borderId="1" xfId="20" applyFont="1" applyFill="1" applyBorder="1">
      <alignment/>
      <protection/>
    </xf>
    <xf numFmtId="0" fontId="3" fillId="0" borderId="0" xfId="20" applyFont="1" applyFill="1" applyBorder="1" applyProtection="1">
      <alignment/>
      <protection/>
    </xf>
    <xf numFmtId="0" fontId="2" fillId="0" borderId="0" xfId="20" applyFont="1" applyFill="1" applyBorder="1">
      <alignment/>
      <protection/>
    </xf>
    <xf numFmtId="0" fontId="1" fillId="0" borderId="0" xfId="0" applyFont="1" applyFill="1" applyBorder="1"/>
    <xf numFmtId="164" fontId="2" fillId="0" borderId="0" xfId="20" applyNumberFormat="1" applyFont="1" applyFill="1" applyBorder="1">
      <alignment/>
      <protection/>
    </xf>
    <xf numFmtId="0" fontId="2" fillId="0" borderId="0" xfId="20" applyFont="1" applyFill="1" applyBorder="1" applyProtection="1">
      <alignment/>
      <protection locked="0"/>
    </xf>
    <xf numFmtId="0" fontId="2" fillId="0" borderId="0" xfId="20" applyFont="1" applyFill="1" applyBorder="1" applyProtection="1">
      <alignment/>
      <protection/>
    </xf>
    <xf numFmtId="164" fontId="4" fillId="0" borderId="0" xfId="18" applyNumberFormat="1" applyFont="1" applyFill="1" applyBorder="1"/>
    <xf numFmtId="164" fontId="4" fillId="0" borderId="0" xfId="18" applyNumberFormat="1" applyFont="1" applyFill="1" applyBorder="1" applyProtection="1">
      <protection locked="0"/>
    </xf>
    <xf numFmtId="164" fontId="4" fillId="0" borderId="0" xfId="20" applyNumberFormat="1" applyFont="1" applyFill="1" applyBorder="1" applyProtection="1">
      <alignment/>
      <protection locked="0"/>
    </xf>
    <xf numFmtId="0" fontId="5" fillId="0" borderId="0" xfId="20" applyFont="1" applyFill="1" applyBorder="1">
      <alignment/>
      <protection/>
    </xf>
    <xf numFmtId="42" fontId="5" fillId="0" borderId="0" xfId="20" applyNumberFormat="1" applyFont="1" applyFill="1" applyBorder="1">
      <alignment/>
      <protection/>
    </xf>
    <xf numFmtId="3" fontId="2" fillId="0" borderId="0" xfId="20" applyNumberFormat="1" applyFont="1" applyFill="1" applyBorder="1">
      <alignment/>
      <protection/>
    </xf>
    <xf numFmtId="42" fontId="2" fillId="0" borderId="0" xfId="20" applyNumberFormat="1" applyFont="1" applyFill="1" applyBorder="1">
      <alignment/>
      <protection/>
    </xf>
    <xf numFmtId="3" fontId="2" fillId="0" borderId="0" xfId="20" applyNumberFormat="1" applyFont="1" applyFill="1" applyBorder="1" applyProtection="1">
      <alignment/>
      <protection locked="0"/>
    </xf>
    <xf numFmtId="42" fontId="1" fillId="0" borderId="0" xfId="0" applyNumberFormat="1" applyFont="1" applyFill="1" applyBorder="1"/>
    <xf numFmtId="0" fontId="2" fillId="2" borderId="2" xfId="20" applyFont="1" applyFill="1" applyBorder="1">
      <alignment/>
      <protection/>
    </xf>
    <xf numFmtId="0" fontId="1" fillId="0" borderId="0" xfId="0" applyFont="1" applyFill="1" applyBorder="1"/>
    <xf numFmtId="3" fontId="2" fillId="0" borderId="0" xfId="20" applyNumberFormat="1" applyFont="1" applyFill="1" applyBorder="1" applyProtection="1">
      <alignment/>
      <protection/>
    </xf>
    <xf numFmtId="5" fontId="6" fillId="3" borderId="3" xfId="20" applyNumberFormat="1" applyFont="1" applyFill="1" applyBorder="1" applyAlignment="1" applyProtection="1">
      <alignment vertical="center" wrapText="1"/>
      <protection locked="0"/>
    </xf>
    <xf numFmtId="0" fontId="2" fillId="2" borderId="0" xfId="20" applyFont="1" applyFill="1" applyBorder="1">
      <alignment/>
      <protection/>
    </xf>
    <xf numFmtId="3" fontId="1" fillId="0" borderId="0" xfId="0" applyNumberFormat="1" applyFont="1" applyFill="1" applyBorder="1"/>
    <xf numFmtId="5" fontId="2" fillId="0" borderId="0" xfId="20" applyNumberFormat="1" applyFont="1" applyFill="1" applyBorder="1" applyProtection="1">
      <alignment/>
      <protection/>
    </xf>
    <xf numFmtId="0" fontId="2" fillId="2" borderId="4" xfId="20" applyFont="1" applyFill="1" applyBorder="1">
      <alignment/>
      <protection/>
    </xf>
    <xf numFmtId="5" fontId="10" fillId="0" borderId="4" xfId="20" applyNumberFormat="1" applyFont="1" applyFill="1" applyBorder="1" applyAlignment="1" applyProtection="1">
      <alignment vertical="center"/>
      <protection/>
    </xf>
    <xf numFmtId="5" fontId="10" fillId="0" borderId="0" xfId="20" applyNumberFormat="1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horizontal="center" vertical="center" wrapText="1"/>
      <protection/>
    </xf>
    <xf numFmtId="5" fontId="6" fillId="0" borderId="0" xfId="20" applyNumberFormat="1" applyFont="1" applyFill="1" applyBorder="1" applyAlignment="1" applyProtection="1">
      <alignment horizontal="center" vertical="center" wrapText="1"/>
      <protection locked="0"/>
    </xf>
    <xf numFmtId="42" fontId="11" fillId="4" borderId="5" xfId="16" applyNumberFormat="1" applyFont="1" applyFill="1" applyBorder="1" applyAlignment="1" applyProtection="1">
      <alignment vertical="center"/>
      <protection/>
    </xf>
    <xf numFmtId="42" fontId="11" fillId="5" borderId="6" xfId="16" applyNumberFormat="1" applyFont="1" applyFill="1" applyBorder="1" applyAlignment="1" applyProtection="1">
      <alignment vertical="center"/>
      <protection/>
    </xf>
    <xf numFmtId="42" fontId="11" fillId="0" borderId="7" xfId="16" applyNumberFormat="1" applyFont="1" applyFill="1" applyBorder="1" applyAlignment="1" applyProtection="1">
      <alignment vertical="center"/>
      <protection locked="0"/>
    </xf>
    <xf numFmtId="42" fontId="11" fillId="0" borderId="8" xfId="16" applyNumberFormat="1" applyFont="1" applyFill="1" applyBorder="1" applyAlignment="1" applyProtection="1">
      <alignment vertical="center"/>
      <protection locked="0"/>
    </xf>
    <xf numFmtId="42" fontId="11" fillId="2" borderId="2" xfId="16" applyNumberFormat="1" applyFont="1" applyFill="1" applyBorder="1"/>
    <xf numFmtId="42" fontId="11" fillId="5" borderId="9" xfId="16" applyNumberFormat="1" applyFont="1" applyFill="1" applyBorder="1" applyAlignment="1" applyProtection="1">
      <alignment vertical="center"/>
      <protection locked="0"/>
    </xf>
    <xf numFmtId="42" fontId="11" fillId="0" borderId="10" xfId="16" applyNumberFormat="1" applyFont="1" applyFill="1" applyBorder="1" applyAlignment="1" applyProtection="1">
      <alignment vertical="center"/>
      <protection locked="0"/>
    </xf>
    <xf numFmtId="42" fontId="11" fillId="4" borderId="11" xfId="16" applyNumberFormat="1" applyFont="1" applyFill="1" applyBorder="1" applyAlignment="1" applyProtection="1">
      <alignment vertical="center"/>
      <protection/>
    </xf>
    <xf numFmtId="42" fontId="11" fillId="0" borderId="12" xfId="16" applyNumberFormat="1" applyFont="1" applyFill="1" applyBorder="1" applyAlignment="1" applyProtection="1">
      <alignment vertical="center"/>
      <protection locked="0"/>
    </xf>
    <xf numFmtId="42" fontId="11" fillId="0" borderId="13" xfId="16" applyNumberFormat="1" applyFont="1" applyFill="1" applyBorder="1" applyAlignment="1" applyProtection="1">
      <alignment vertical="center"/>
      <protection locked="0"/>
    </xf>
    <xf numFmtId="42" fontId="11" fillId="2" borderId="0" xfId="16" applyNumberFormat="1" applyFont="1" applyFill="1" applyBorder="1"/>
    <xf numFmtId="42" fontId="11" fillId="5" borderId="14" xfId="16" applyNumberFormat="1" applyFont="1" applyFill="1" applyBorder="1" applyAlignment="1" applyProtection="1">
      <alignment vertical="center"/>
      <protection locked="0"/>
    </xf>
    <xf numFmtId="42" fontId="11" fillId="0" borderId="15" xfId="16" applyNumberFormat="1" applyFont="1" applyFill="1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/>
      <protection/>
    </xf>
    <xf numFmtId="0" fontId="2" fillId="0" borderId="16" xfId="20" applyFont="1" applyFill="1" applyBorder="1" applyAlignment="1" applyProtection="1">
      <alignment vertical="center"/>
      <protection/>
    </xf>
    <xf numFmtId="42" fontId="11" fillId="4" borderId="17" xfId="16" applyNumberFormat="1" applyFont="1" applyFill="1" applyBorder="1" applyAlignment="1" applyProtection="1">
      <alignment vertical="center"/>
      <protection/>
    </xf>
    <xf numFmtId="42" fontId="11" fillId="0" borderId="18" xfId="16" applyNumberFormat="1" applyFont="1" applyFill="1" applyBorder="1" applyAlignment="1" applyProtection="1">
      <alignment vertical="center" wrapText="1"/>
      <protection locked="0"/>
    </xf>
    <xf numFmtId="42" fontId="11" fillId="0" borderId="19" xfId="16" applyNumberFormat="1" applyFont="1" applyFill="1" applyBorder="1" applyAlignment="1" applyProtection="1">
      <alignment vertical="center" wrapText="1"/>
      <protection locked="0"/>
    </xf>
    <xf numFmtId="42" fontId="11" fillId="5" borderId="20" xfId="16" applyNumberFormat="1" applyFont="1" applyFill="1" applyBorder="1" applyAlignment="1" applyProtection="1">
      <alignment vertical="center" wrapText="1"/>
      <protection locked="0"/>
    </xf>
    <xf numFmtId="42" fontId="11" fillId="0" borderId="21" xfId="16" applyNumberFormat="1" applyFont="1" applyFill="1" applyBorder="1" applyAlignment="1" applyProtection="1">
      <alignment vertical="center" wrapText="1"/>
      <protection locked="0"/>
    </xf>
    <xf numFmtId="5" fontId="2" fillId="0" borderId="0" xfId="20" applyNumberFormat="1" applyFont="1" applyFill="1" applyBorder="1" applyAlignment="1" applyProtection="1">
      <alignment vertical="center"/>
      <protection/>
    </xf>
    <xf numFmtId="42" fontId="11" fillId="4" borderId="22" xfId="16" applyNumberFormat="1" applyFont="1" applyFill="1" applyBorder="1" applyAlignment="1" applyProtection="1">
      <alignment vertical="center"/>
      <protection/>
    </xf>
    <xf numFmtId="42" fontId="11" fillId="5" borderId="23" xfId="16" applyNumberFormat="1" applyFont="1" applyFill="1" applyBorder="1" applyAlignment="1" applyProtection="1">
      <alignment vertical="center"/>
      <protection/>
    </xf>
    <xf numFmtId="42" fontId="11" fillId="6" borderId="24" xfId="16" applyNumberFormat="1" applyFont="1" applyFill="1" applyBorder="1" applyAlignment="1" applyProtection="1">
      <alignment vertical="center"/>
      <protection locked="0"/>
    </xf>
    <xf numFmtId="42" fontId="11" fillId="6" borderId="25" xfId="16" applyNumberFormat="1" applyFont="1" applyFill="1" applyBorder="1" applyAlignment="1" applyProtection="1">
      <alignment vertical="center"/>
      <protection locked="0"/>
    </xf>
    <xf numFmtId="42" fontId="11" fillId="2" borderId="26" xfId="16" applyNumberFormat="1" applyFont="1" applyFill="1" applyBorder="1"/>
    <xf numFmtId="42" fontId="11" fillId="6" borderId="27" xfId="16" applyNumberFormat="1" applyFont="1" applyFill="1" applyBorder="1" applyAlignment="1" applyProtection="1">
      <alignment vertical="center"/>
      <protection locked="0"/>
    </xf>
    <xf numFmtId="3" fontId="2" fillId="0" borderId="0" xfId="2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/>
    <xf numFmtId="42" fontId="11" fillId="0" borderId="0" xfId="16" applyNumberFormat="1" applyFont="1" applyFill="1" applyBorder="1" applyAlignment="1" applyProtection="1">
      <alignment vertical="center"/>
      <protection locked="0"/>
    </xf>
    <xf numFmtId="42" fontId="11" fillId="0" borderId="0" xfId="16" applyNumberFormat="1" applyFont="1" applyFill="1" applyBorder="1" applyAlignment="1" applyProtection="1">
      <alignment vertical="center"/>
      <protection/>
    </xf>
    <xf numFmtId="165" fontId="12" fillId="0" borderId="4" xfId="20" applyNumberFormat="1" applyFont="1" applyFill="1" applyBorder="1" applyAlignment="1" applyProtection="1">
      <alignment vertical="center"/>
      <protection/>
    </xf>
    <xf numFmtId="42" fontId="10" fillId="0" borderId="0" xfId="20" applyNumberFormat="1" applyFont="1" applyFill="1" applyBorder="1" applyAlignment="1" applyProtection="1">
      <alignment vertical="center"/>
      <protection/>
    </xf>
    <xf numFmtId="42" fontId="6" fillId="0" borderId="0" xfId="20" applyNumberFormat="1" applyFont="1" applyFill="1" applyBorder="1" applyAlignment="1" applyProtection="1">
      <alignment horizontal="center" vertical="center" wrapText="1"/>
      <protection/>
    </xf>
    <xf numFmtId="42" fontId="11" fillId="4" borderId="28" xfId="16" applyNumberFormat="1" applyFont="1" applyFill="1" applyBorder="1" applyAlignment="1" applyProtection="1">
      <alignment vertical="center"/>
      <protection/>
    </xf>
    <xf numFmtId="42" fontId="11" fillId="6" borderId="6" xfId="16" applyNumberFormat="1" applyFont="1" applyFill="1" applyBorder="1" applyAlignment="1" applyProtection="1">
      <alignment vertical="center"/>
      <protection/>
    </xf>
    <xf numFmtId="42" fontId="11" fillId="0" borderId="9" xfId="16" applyNumberFormat="1" applyFont="1" applyFill="1" applyBorder="1" applyAlignment="1" applyProtection="1">
      <alignment vertical="center"/>
      <protection/>
    </xf>
    <xf numFmtId="42" fontId="11" fillId="0" borderId="29" xfId="16" applyNumberFormat="1" applyFont="1" applyFill="1" applyBorder="1" applyAlignment="1" applyProtection="1">
      <alignment vertical="center"/>
      <protection/>
    </xf>
    <xf numFmtId="42" fontId="11" fillId="6" borderId="9" xfId="16" applyNumberFormat="1" applyFont="1" applyFill="1" applyBorder="1" applyAlignment="1" applyProtection="1">
      <alignment vertical="center"/>
      <protection/>
    </xf>
    <xf numFmtId="42" fontId="11" fillId="0" borderId="10" xfId="16" applyNumberFormat="1" applyFont="1" applyFill="1" applyBorder="1" applyAlignment="1" applyProtection="1">
      <alignment vertical="center"/>
      <protection/>
    </xf>
    <xf numFmtId="42" fontId="11" fillId="4" borderId="30" xfId="16" applyNumberFormat="1" applyFont="1" applyFill="1" applyBorder="1" applyAlignment="1" applyProtection="1">
      <alignment vertical="center"/>
      <protection/>
    </xf>
    <xf numFmtId="42" fontId="11" fillId="0" borderId="14" xfId="16" applyNumberFormat="1" applyFont="1" applyFill="1" applyBorder="1" applyAlignment="1" applyProtection="1">
      <alignment vertical="center"/>
      <protection/>
    </xf>
    <xf numFmtId="42" fontId="11" fillId="0" borderId="31" xfId="16" applyNumberFormat="1" applyFont="1" applyFill="1" applyBorder="1" applyAlignment="1" applyProtection="1">
      <alignment vertical="center"/>
      <protection/>
    </xf>
    <xf numFmtId="3" fontId="11" fillId="0" borderId="32" xfId="0" applyNumberFormat="1" applyFont="1" applyFill="1" applyBorder="1"/>
    <xf numFmtId="42" fontId="11" fillId="0" borderId="15" xfId="16" applyNumberFormat="1" applyFont="1" applyFill="1" applyBorder="1" applyAlignment="1" applyProtection="1">
      <alignment vertical="center"/>
      <protection/>
    </xf>
    <xf numFmtId="42" fontId="11" fillId="5" borderId="14" xfId="16" applyNumberFormat="1" applyFont="1" applyFill="1" applyBorder="1" applyAlignment="1" applyProtection="1">
      <alignment vertical="center"/>
      <protection/>
    </xf>
    <xf numFmtId="42" fontId="11" fillId="4" borderId="15" xfId="16" applyNumberFormat="1" applyFont="1" applyFill="1" applyBorder="1" applyAlignment="1" applyProtection="1">
      <alignment vertical="center"/>
      <protection/>
    </xf>
    <xf numFmtId="44" fontId="1" fillId="0" borderId="0" xfId="0" applyNumberFormat="1" applyFont="1" applyFill="1" applyBorder="1"/>
    <xf numFmtId="42" fontId="11" fillId="4" borderId="33" xfId="16" applyNumberFormat="1" applyFont="1" applyFill="1" applyBorder="1" applyAlignment="1" applyProtection="1">
      <alignment vertical="center"/>
      <protection/>
    </xf>
    <xf numFmtId="42" fontId="11" fillId="0" borderId="20" xfId="16" applyNumberFormat="1" applyFont="1" applyFill="1" applyBorder="1" applyAlignment="1" applyProtection="1">
      <alignment vertical="center"/>
      <protection/>
    </xf>
    <xf numFmtId="42" fontId="11" fillId="0" borderId="34" xfId="16" applyNumberFormat="1" applyFont="1" applyFill="1" applyBorder="1" applyAlignment="1" applyProtection="1">
      <alignment vertical="center"/>
      <protection/>
    </xf>
    <xf numFmtId="42" fontId="11" fillId="5" borderId="20" xfId="16" applyNumberFormat="1" applyFont="1" applyFill="1" applyBorder="1" applyAlignment="1" applyProtection="1">
      <alignment vertical="center"/>
      <protection/>
    </xf>
    <xf numFmtId="42" fontId="11" fillId="0" borderId="21" xfId="16" applyNumberFormat="1" applyFont="1" applyFill="1" applyBorder="1" applyAlignment="1" applyProtection="1">
      <alignment vertical="center"/>
      <protection/>
    </xf>
    <xf numFmtId="42" fontId="11" fillId="6" borderId="35" xfId="16" applyNumberFormat="1" applyFont="1" applyFill="1" applyBorder="1" applyAlignment="1" applyProtection="1">
      <alignment vertical="center"/>
      <protection/>
    </xf>
    <xf numFmtId="42" fontId="11" fillId="0" borderId="29" xfId="16" applyNumberFormat="1" applyFont="1" applyFill="1" applyBorder="1" applyAlignment="1" applyProtection="1">
      <alignment vertical="center"/>
      <protection locked="0"/>
    </xf>
    <xf numFmtId="42" fontId="11" fillId="0" borderId="31" xfId="16" applyNumberFormat="1" applyFont="1" applyFill="1" applyBorder="1" applyAlignment="1" applyProtection="1">
      <alignment vertical="center"/>
      <protection locked="0"/>
    </xf>
    <xf numFmtId="42" fontId="11" fillId="0" borderId="15" xfId="16" applyNumberFormat="1" applyFont="1" applyFill="1" applyBorder="1" applyAlignment="1" applyProtection="1">
      <alignment vertical="center" wrapText="1"/>
      <protection locked="0"/>
    </xf>
    <xf numFmtId="42" fontId="11" fillId="0" borderId="31" xfId="16" applyNumberFormat="1" applyFont="1" applyFill="1" applyBorder="1" applyAlignment="1" applyProtection="1">
      <alignment vertical="center" wrapText="1"/>
      <protection locked="0"/>
    </xf>
    <xf numFmtId="0" fontId="2" fillId="0" borderId="0" xfId="20" applyFont="1" applyFill="1" applyBorder="1" applyAlignment="1" applyProtection="1">
      <alignment horizontal="left" vertical="center"/>
      <protection/>
    </xf>
    <xf numFmtId="9" fontId="2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36" xfId="20" applyFont="1" applyFill="1" applyBorder="1" applyAlignment="1" applyProtection="1">
      <alignment horizontal="left" vertical="center"/>
      <protection/>
    </xf>
    <xf numFmtId="166" fontId="11" fillId="4" borderId="30" xfId="16" applyNumberFormat="1" applyFont="1" applyFill="1" applyBorder="1" applyAlignment="1" applyProtection="1">
      <alignment vertical="center"/>
      <protection/>
    </xf>
    <xf numFmtId="42" fontId="11" fillId="0" borderId="34" xfId="16" applyNumberFormat="1" applyFont="1" applyFill="1" applyBorder="1" applyAlignment="1" applyProtection="1">
      <alignment vertical="center" wrapText="1"/>
      <protection locked="0"/>
    </xf>
    <xf numFmtId="0" fontId="2" fillId="0" borderId="37" xfId="20" applyFont="1" applyFill="1" applyBorder="1">
      <alignment/>
      <protection/>
    </xf>
    <xf numFmtId="5" fontId="2" fillId="0" borderId="38" xfId="20" applyNumberFormat="1" applyFont="1" applyFill="1" applyBorder="1" applyAlignment="1" applyProtection="1">
      <alignment vertical="center"/>
      <protection/>
    </xf>
    <xf numFmtId="3" fontId="2" fillId="0" borderId="38" xfId="20" applyNumberFormat="1" applyFont="1" applyFill="1" applyBorder="1" applyAlignment="1" applyProtection="1">
      <alignment vertical="center"/>
      <protection/>
    </xf>
    <xf numFmtId="0" fontId="1" fillId="0" borderId="38" xfId="0" applyFont="1" applyFill="1" applyBorder="1"/>
    <xf numFmtId="0" fontId="1" fillId="0" borderId="39" xfId="0" applyFont="1" applyFill="1" applyBorder="1"/>
    <xf numFmtId="0" fontId="2" fillId="0" borderId="39" xfId="20" applyFont="1" applyFill="1" applyBorder="1">
      <alignment/>
      <protection/>
    </xf>
    <xf numFmtId="42" fontId="13" fillId="0" borderId="39" xfId="16" applyNumberFormat="1" applyFont="1" applyFill="1" applyBorder="1" applyAlignment="1" applyProtection="1">
      <alignment horizontal="center" vertical="center"/>
      <protection locked="0"/>
    </xf>
    <xf numFmtId="42" fontId="11" fillId="0" borderId="39" xfId="16" applyNumberFormat="1" applyFont="1" applyFill="1" applyBorder="1" applyAlignment="1" applyProtection="1">
      <alignment vertical="center"/>
      <protection locked="0"/>
    </xf>
    <xf numFmtId="0" fontId="2" fillId="0" borderId="39" xfId="20" applyFont="1" applyFill="1" applyBorder="1" applyProtection="1">
      <alignment/>
      <protection locked="0"/>
    </xf>
    <xf numFmtId="42" fontId="11" fillId="2" borderId="39" xfId="16" applyNumberFormat="1" applyFont="1" applyFill="1" applyBorder="1"/>
    <xf numFmtId="42" fontId="11" fillId="0" borderId="39" xfId="16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/>
    <xf numFmtId="42" fontId="11" fillId="6" borderId="40" xfId="16" applyNumberFormat="1" applyFont="1" applyFill="1" applyBorder="1" applyAlignment="1" applyProtection="1">
      <alignment vertical="center"/>
      <protection/>
    </xf>
    <xf numFmtId="42" fontId="11" fillId="5" borderId="41" xfId="16" applyNumberFormat="1" applyFont="1" applyFill="1" applyBorder="1" applyAlignment="1" applyProtection="1">
      <alignment vertical="center"/>
      <protection/>
    </xf>
    <xf numFmtId="42" fontId="11" fillId="0" borderId="21" xfId="16" applyNumberFormat="1" applyFont="1" applyFill="1" applyBorder="1" applyAlignment="1" applyProtection="1">
      <alignment vertical="center"/>
      <protection locked="0"/>
    </xf>
    <xf numFmtId="42" fontId="11" fillId="0" borderId="34" xfId="16" applyNumberFormat="1" applyFont="1" applyFill="1" applyBorder="1" applyAlignment="1" applyProtection="1">
      <alignment vertical="center"/>
      <protection locked="0"/>
    </xf>
    <xf numFmtId="5" fontId="6" fillId="0" borderId="0" xfId="20" applyNumberFormat="1" applyFont="1" applyFill="1" applyBorder="1" applyAlignment="1" applyProtection="1">
      <alignment vertical="center"/>
      <protection/>
    </xf>
    <xf numFmtId="0" fontId="2" fillId="0" borderId="2" xfId="20" applyFont="1" applyFill="1" applyBorder="1">
      <alignment/>
      <protection/>
    </xf>
    <xf numFmtId="42" fontId="11" fillId="0" borderId="2" xfId="16" applyNumberFormat="1" applyFont="1" applyFill="1" applyBorder="1" applyAlignment="1" applyProtection="1">
      <alignment vertical="center"/>
      <protection locked="0"/>
    </xf>
    <xf numFmtId="0" fontId="2" fillId="0" borderId="2" xfId="20" applyFont="1" applyFill="1" applyBorder="1" applyProtection="1">
      <alignment/>
      <protection locked="0"/>
    </xf>
    <xf numFmtId="42" fontId="11" fillId="0" borderId="2" xfId="16" applyNumberFormat="1" applyFont="1" applyFill="1" applyBorder="1" applyAlignment="1" applyProtection="1">
      <alignment vertical="center"/>
      <protection/>
    </xf>
    <xf numFmtId="42" fontId="11" fillId="5" borderId="42" xfId="16" applyNumberFormat="1" applyFont="1" applyFill="1" applyBorder="1" applyAlignment="1" applyProtection="1">
      <alignment vertical="center"/>
      <protection/>
    </xf>
    <xf numFmtId="42" fontId="14" fillId="0" borderId="4" xfId="16" applyNumberFormat="1" applyFont="1" applyFill="1" applyBorder="1" applyProtection="1">
      <protection locked="0"/>
    </xf>
    <xf numFmtId="42" fontId="14" fillId="0" borderId="0" xfId="16" applyNumberFormat="1" applyFont="1" applyFill="1" applyBorder="1" applyProtection="1">
      <protection locked="0"/>
    </xf>
    <xf numFmtId="42" fontId="14" fillId="0" borderId="0" xfId="16" applyNumberFormat="1" applyFont="1" applyFill="1" applyBorder="1" applyProtection="1">
      <protection/>
    </xf>
    <xf numFmtId="0" fontId="2" fillId="0" borderId="16" xfId="20" applyFont="1" applyFill="1" applyBorder="1" applyAlignment="1" applyProtection="1">
      <alignment horizontal="left" vertical="center"/>
      <protection/>
    </xf>
    <xf numFmtId="42" fontId="11" fillId="0" borderId="43" xfId="16" applyNumberFormat="1" applyFont="1" applyFill="1" applyBorder="1" applyAlignment="1" applyProtection="1">
      <alignment vertical="center"/>
      <protection locked="0"/>
    </xf>
    <xf numFmtId="42" fontId="11" fillId="0" borderId="44" xfId="16" applyNumberFormat="1" applyFont="1" applyFill="1" applyBorder="1" applyAlignment="1" applyProtection="1">
      <alignment vertical="center"/>
      <protection locked="0"/>
    </xf>
    <xf numFmtId="42" fontId="11" fillId="5" borderId="45" xfId="16" applyNumberFormat="1" applyFont="1" applyFill="1" applyBorder="1" applyAlignment="1" applyProtection="1">
      <alignment vertical="center"/>
      <protection/>
    </xf>
    <xf numFmtId="5" fontId="10" fillId="0" borderId="38" xfId="20" applyNumberFormat="1" applyFont="1" applyFill="1" applyBorder="1" applyAlignment="1" applyProtection="1">
      <alignment vertical="center"/>
      <protection/>
    </xf>
    <xf numFmtId="5" fontId="6" fillId="0" borderId="38" xfId="20" applyNumberFormat="1" applyFont="1" applyFill="1" applyBorder="1" applyAlignment="1" applyProtection="1">
      <alignment vertical="center"/>
      <protection/>
    </xf>
    <xf numFmtId="0" fontId="2" fillId="0" borderId="38" xfId="20" applyFont="1" applyFill="1" applyBorder="1">
      <alignment/>
      <protection/>
    </xf>
    <xf numFmtId="42" fontId="11" fillId="0" borderId="38" xfId="16" applyNumberFormat="1" applyFont="1" applyFill="1" applyBorder="1" applyAlignment="1" applyProtection="1">
      <alignment vertical="center"/>
      <protection locked="0"/>
    </xf>
    <xf numFmtId="0" fontId="2" fillId="0" borderId="38" xfId="20" applyFont="1" applyFill="1" applyBorder="1" applyProtection="1">
      <alignment/>
      <protection locked="0"/>
    </xf>
    <xf numFmtId="42" fontId="11" fillId="2" borderId="38" xfId="16" applyNumberFormat="1" applyFont="1" applyFill="1" applyBorder="1"/>
    <xf numFmtId="42" fontId="11" fillId="0" borderId="38" xfId="16" applyNumberFormat="1" applyFont="1" applyFill="1" applyBorder="1" applyAlignment="1" applyProtection="1">
      <alignment vertical="center"/>
      <protection/>
    </xf>
    <xf numFmtId="42" fontId="11" fillId="6" borderId="42" xfId="16" applyNumberFormat="1" applyFont="1" applyFill="1" applyBorder="1" applyAlignment="1" applyProtection="1">
      <alignment vertical="center"/>
      <protection/>
    </xf>
    <xf numFmtId="42" fontId="11" fillId="6" borderId="14" xfId="16" applyNumberFormat="1" applyFont="1" applyFill="1" applyBorder="1" applyAlignment="1" applyProtection="1">
      <alignment vertical="center"/>
      <protection/>
    </xf>
    <xf numFmtId="42" fontId="11" fillId="6" borderId="20" xfId="16" applyNumberFormat="1" applyFont="1" applyFill="1" applyBorder="1" applyAlignment="1" applyProtection="1">
      <alignment vertical="center"/>
      <protection/>
    </xf>
    <xf numFmtId="167" fontId="2" fillId="0" borderId="0" xfId="20" applyNumberFormat="1" applyFont="1" applyFill="1" applyBorder="1" applyAlignment="1" applyProtection="1">
      <alignment vertical="center"/>
      <protection/>
    </xf>
    <xf numFmtId="42" fontId="11" fillId="4" borderId="46" xfId="16" applyNumberFormat="1" applyFont="1" applyFill="1" applyBorder="1" applyAlignment="1" applyProtection="1">
      <alignment vertical="center"/>
      <protection/>
    </xf>
    <xf numFmtId="42" fontId="11" fillId="6" borderId="10" xfId="16" applyNumberFormat="1" applyFont="1" applyFill="1" applyBorder="1" applyAlignment="1" applyProtection="1">
      <alignment vertical="center"/>
      <protection/>
    </xf>
    <xf numFmtId="42" fontId="11" fillId="7" borderId="47" xfId="16" applyNumberFormat="1" applyFont="1" applyFill="1" applyBorder="1" applyAlignment="1" applyProtection="1">
      <alignment vertical="center"/>
      <protection locked="0"/>
    </xf>
    <xf numFmtId="42" fontId="11" fillId="6" borderId="48" xfId="16" applyNumberFormat="1" applyFont="1" applyFill="1" applyBorder="1" applyAlignment="1" applyProtection="1">
      <alignment vertical="center"/>
      <protection/>
    </xf>
    <xf numFmtId="42" fontId="11" fillId="6" borderId="49" xfId="16" applyNumberFormat="1" applyFont="1" applyFill="1" applyBorder="1" applyAlignment="1" applyProtection="1">
      <alignment vertical="center"/>
      <protection locked="0"/>
    </xf>
    <xf numFmtId="42" fontId="11" fillId="6" borderId="50" xfId="16" applyNumberFormat="1" applyFont="1" applyFill="1" applyBorder="1" applyAlignment="1" applyProtection="1">
      <alignment vertical="center"/>
      <protection locked="0"/>
    </xf>
    <xf numFmtId="42" fontId="11" fillId="2" borderId="4" xfId="16" applyNumberFormat="1" applyFont="1" applyFill="1" applyBorder="1"/>
    <xf numFmtId="168" fontId="15" fillId="8" borderId="38" xfId="0" applyNumberFormat="1" applyFont="1" applyFill="1" applyBorder="1" applyAlignment="1">
      <alignment/>
    </xf>
    <xf numFmtId="42" fontId="16" fillId="0" borderId="38" xfId="20" applyNumberFormat="1" applyFont="1" applyFill="1" applyBorder="1">
      <alignment/>
      <protection/>
    </xf>
    <xf numFmtId="0" fontId="2" fillId="0" borderId="0" xfId="20" applyFont="1" applyFill="1" applyBorder="1" applyAlignment="1">
      <alignment wrapText="1"/>
      <protection/>
    </xf>
    <xf numFmtId="0" fontId="6" fillId="0" borderId="0" xfId="20" applyFont="1" applyFill="1" applyBorder="1" applyAlignment="1">
      <alignment horizontal="center" vertical="top" wrapText="1"/>
      <protection/>
    </xf>
    <xf numFmtId="0" fontId="6" fillId="0" borderId="0" xfId="20" applyFont="1" applyFill="1" applyBorder="1" applyAlignment="1" applyProtection="1">
      <alignment vertical="top" wrapText="1"/>
      <protection locked="0"/>
    </xf>
    <xf numFmtId="42" fontId="17" fillId="0" borderId="0" xfId="0" applyNumberFormat="1" applyFont="1" applyFill="1" applyBorder="1"/>
    <xf numFmtId="44" fontId="2" fillId="0" borderId="0" xfId="20" applyNumberFormat="1" applyFont="1" applyFill="1" applyBorder="1">
      <alignment/>
      <protection/>
    </xf>
    <xf numFmtId="0" fontId="6" fillId="0" borderId="0" xfId="20" applyFont="1" applyFill="1" applyBorder="1" applyAlignment="1">
      <alignment vertical="top" wrapText="1"/>
      <protection/>
    </xf>
    <xf numFmtId="0" fontId="6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6" fontId="2" fillId="0" borderId="0" xfId="20" applyNumberFormat="1" applyFont="1" applyFill="1" applyBorder="1" applyProtection="1">
      <alignment/>
      <protection locked="0"/>
    </xf>
    <xf numFmtId="6" fontId="2" fillId="0" borderId="0" xfId="20" applyNumberFormat="1" applyFont="1" applyFill="1" applyBorder="1">
      <alignment/>
      <protection/>
    </xf>
    <xf numFmtId="0" fontId="2" fillId="0" borderId="0" xfId="20" applyFont="1" applyFill="1" applyBorder="1" applyAlignment="1">
      <alignment vertical="top" wrapText="1"/>
      <protection/>
    </xf>
    <xf numFmtId="0" fontId="2" fillId="0" borderId="0" xfId="20" applyFont="1" applyFill="1" applyBorder="1" applyAlignment="1">
      <alignment/>
      <protection/>
    </xf>
    <xf numFmtId="5" fontId="6" fillId="0" borderId="0" xfId="20" applyNumberFormat="1" applyFont="1" applyFill="1" applyBorder="1" applyAlignment="1" applyProtection="1">
      <alignment horizontal="right" vertical="center"/>
      <protection/>
    </xf>
    <xf numFmtId="5" fontId="6" fillId="0" borderId="16" xfId="20" applyNumberFormat="1" applyFont="1" applyFill="1" applyBorder="1" applyAlignment="1" applyProtection="1">
      <alignment horizontal="right" vertical="center"/>
      <protection/>
    </xf>
    <xf numFmtId="5" fontId="10" fillId="9" borderId="51" xfId="20" applyNumberFormat="1" applyFont="1" applyFill="1" applyBorder="1" applyAlignment="1" applyProtection="1">
      <alignment vertical="center"/>
      <protection/>
    </xf>
    <xf numFmtId="5" fontId="10" fillId="9" borderId="2" xfId="20" applyNumberFormat="1" applyFont="1" applyFill="1" applyBorder="1" applyAlignment="1" applyProtection="1">
      <alignment vertical="center"/>
      <protection/>
    </xf>
    <xf numFmtId="5" fontId="10" fillId="9" borderId="52" xfId="20" applyNumberFormat="1" applyFont="1" applyFill="1" applyBorder="1" applyAlignment="1" applyProtection="1">
      <alignment vertical="center"/>
      <protection/>
    </xf>
    <xf numFmtId="0" fontId="10" fillId="9" borderId="53" xfId="20" applyFont="1" applyFill="1" applyBorder="1" applyProtection="1">
      <alignment/>
      <protection/>
    </xf>
    <xf numFmtId="0" fontId="10" fillId="9" borderId="4" xfId="20" applyFont="1" applyFill="1" applyBorder="1" applyProtection="1">
      <alignment/>
      <protection/>
    </xf>
    <xf numFmtId="0" fontId="10" fillId="9" borderId="54" xfId="20" applyFont="1" applyFill="1" applyBorder="1" applyProtection="1">
      <alignment/>
      <protection/>
    </xf>
    <xf numFmtId="5" fontId="2" fillId="0" borderId="0" xfId="20" applyNumberFormat="1" applyFont="1" applyFill="1" applyBorder="1" applyAlignment="1" applyProtection="1">
      <alignment horizontal="left" vertical="center"/>
      <protection/>
    </xf>
    <xf numFmtId="5" fontId="2" fillId="0" borderId="16" xfId="20" applyNumberFormat="1" applyFont="1" applyFill="1" applyBorder="1" applyAlignment="1" applyProtection="1">
      <alignment horizontal="left" vertical="center"/>
      <protection/>
    </xf>
    <xf numFmtId="0" fontId="2" fillId="0" borderId="0" xfId="20" applyFont="1" applyFill="1" applyBorder="1" applyAlignment="1" applyProtection="1">
      <alignment horizontal="left" vertical="center"/>
      <protection/>
    </xf>
    <xf numFmtId="0" fontId="2" fillId="0" borderId="16" xfId="20" applyFont="1" applyFill="1" applyBorder="1" applyAlignment="1" applyProtection="1">
      <alignment horizontal="left" vertical="center"/>
      <protection/>
    </xf>
    <xf numFmtId="5" fontId="2" fillId="0" borderId="2" xfId="20" applyNumberFormat="1" applyFont="1" applyFill="1" applyBorder="1" applyAlignment="1" applyProtection="1">
      <alignment horizontal="left" vertical="center"/>
      <protection/>
    </xf>
    <xf numFmtId="5" fontId="2" fillId="0" borderId="52" xfId="20" applyNumberFormat="1" applyFont="1" applyFill="1" applyBorder="1" applyAlignment="1" applyProtection="1">
      <alignment horizontal="left" vertical="center"/>
      <protection/>
    </xf>
    <xf numFmtId="0" fontId="2" fillId="0" borderId="2" xfId="20" applyFont="1" applyFill="1" applyBorder="1" applyAlignment="1" applyProtection="1">
      <alignment horizontal="left" vertical="center"/>
      <protection/>
    </xf>
    <xf numFmtId="0" fontId="2" fillId="0" borderId="52" xfId="20" applyFont="1" applyFill="1" applyBorder="1" applyAlignment="1" applyProtection="1">
      <alignment horizontal="left" vertical="center"/>
      <protection/>
    </xf>
    <xf numFmtId="0" fontId="2" fillId="0" borderId="3" xfId="20" applyFont="1" applyFill="1" applyBorder="1" applyAlignment="1" applyProtection="1">
      <alignment vertical="center"/>
      <protection/>
    </xf>
    <xf numFmtId="0" fontId="2" fillId="0" borderId="55" xfId="20" applyFont="1" applyFill="1" applyBorder="1" applyAlignment="1" applyProtection="1">
      <alignment vertical="center"/>
      <protection/>
    </xf>
    <xf numFmtId="0" fontId="2" fillId="0" borderId="56" xfId="20" applyFont="1" applyFill="1" applyBorder="1" applyAlignment="1" applyProtection="1">
      <alignment vertical="center"/>
      <protection/>
    </xf>
    <xf numFmtId="5" fontId="2" fillId="0" borderId="36" xfId="20" applyNumberFormat="1" applyFont="1" applyFill="1" applyBorder="1" applyAlignment="1" applyProtection="1">
      <alignment horizontal="left" vertical="center"/>
      <protection/>
    </xf>
    <xf numFmtId="9" fontId="2" fillId="5" borderId="3" xfId="20" applyNumberFormat="1" applyFont="1" applyFill="1" applyBorder="1" applyAlignment="1" applyProtection="1">
      <alignment vertical="center"/>
      <protection/>
    </xf>
    <xf numFmtId="9" fontId="2" fillId="5" borderId="55" xfId="20" applyNumberFormat="1" applyFont="1" applyFill="1" applyBorder="1" applyAlignment="1" applyProtection="1">
      <alignment vertical="center"/>
      <protection/>
    </xf>
    <xf numFmtId="9" fontId="2" fillId="5" borderId="56" xfId="20" applyNumberFormat="1" applyFont="1" applyFill="1" applyBorder="1" applyAlignment="1" applyProtection="1">
      <alignment vertical="center"/>
      <protection/>
    </xf>
    <xf numFmtId="10" fontId="2" fillId="5" borderId="3" xfId="20" applyNumberFormat="1" applyFont="1" applyFill="1" applyBorder="1" applyAlignment="1" applyProtection="1">
      <alignment vertical="center"/>
      <protection/>
    </xf>
    <xf numFmtId="10" fontId="2" fillId="5" borderId="55" xfId="20" applyNumberFormat="1" applyFont="1" applyFill="1" applyBorder="1" applyAlignment="1" applyProtection="1">
      <alignment vertical="center"/>
      <protection/>
    </xf>
    <xf numFmtId="10" fontId="2" fillId="5" borderId="56" xfId="20" applyNumberFormat="1" applyFont="1" applyFill="1" applyBorder="1" applyAlignment="1" applyProtection="1">
      <alignment vertical="center"/>
      <protection/>
    </xf>
    <xf numFmtId="5" fontId="9" fillId="8" borderId="57" xfId="20" applyNumberFormat="1" applyFont="1" applyFill="1" applyBorder="1" applyAlignment="1" applyProtection="1">
      <alignment horizontal="center" vertical="center" wrapText="1"/>
      <protection locked="0"/>
    </xf>
    <xf numFmtId="5" fontId="9" fillId="8" borderId="58" xfId="20" applyNumberFormat="1" applyFont="1" applyFill="1" applyBorder="1" applyAlignment="1" applyProtection="1">
      <alignment horizontal="center" vertical="center" wrapText="1"/>
      <protection locked="0"/>
    </xf>
    <xf numFmtId="5" fontId="9" fillId="8" borderId="59" xfId="20" applyNumberFormat="1" applyFont="1" applyFill="1" applyBorder="1" applyAlignment="1" applyProtection="1">
      <alignment horizontal="center" vertical="center" wrapText="1"/>
      <protection locked="0"/>
    </xf>
    <xf numFmtId="5" fontId="9" fillId="8" borderId="60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20" applyFont="1" applyFill="1" applyBorder="1" applyAlignment="1" applyProtection="1">
      <alignment horizontal="left"/>
      <protection/>
    </xf>
    <xf numFmtId="0" fontId="2" fillId="0" borderId="52" xfId="20" applyFont="1" applyFill="1" applyBorder="1" applyAlignment="1" applyProtection="1">
      <alignment horizontal="left"/>
      <protection/>
    </xf>
    <xf numFmtId="0" fontId="2" fillId="0" borderId="0" xfId="20" applyFont="1" applyFill="1" applyBorder="1" applyAlignment="1" applyProtection="1">
      <alignment horizontal="left"/>
      <protection/>
    </xf>
    <xf numFmtId="0" fontId="2" fillId="0" borderId="16" xfId="20" applyFont="1" applyFill="1" applyBorder="1" applyAlignment="1" applyProtection="1">
      <alignment horizontal="left"/>
      <protection/>
    </xf>
    <xf numFmtId="0" fontId="2" fillId="5" borderId="3" xfId="20" applyFont="1" applyFill="1" applyBorder="1" applyAlignment="1" applyProtection="1">
      <alignment/>
      <protection/>
    </xf>
    <xf numFmtId="0" fontId="2" fillId="5" borderId="55" xfId="20" applyFont="1" applyFill="1" applyBorder="1" applyAlignment="1" applyProtection="1">
      <alignment/>
      <protection/>
    </xf>
    <xf numFmtId="0" fontId="2" fillId="5" borderId="56" xfId="20" applyFont="1" applyFill="1" applyBorder="1" applyAlignment="1" applyProtection="1">
      <alignment/>
      <protection/>
    </xf>
    <xf numFmtId="14" fontId="2" fillId="0" borderId="3" xfId="20" applyNumberFormat="1" applyFont="1" applyFill="1" applyBorder="1" applyAlignment="1" applyProtection="1">
      <alignment horizontal="center"/>
      <protection/>
    </xf>
    <xf numFmtId="5" fontId="2" fillId="0" borderId="55" xfId="20" applyNumberFormat="1" applyFont="1" applyFill="1" applyBorder="1" applyAlignment="1" applyProtection="1">
      <alignment horizontal="center"/>
      <protection/>
    </xf>
    <xf numFmtId="5" fontId="2" fillId="0" borderId="56" xfId="20" applyNumberFormat="1" applyFont="1" applyFill="1" applyBorder="1" applyAlignment="1" applyProtection="1">
      <alignment horizontal="center"/>
      <protection/>
    </xf>
    <xf numFmtId="0" fontId="6" fillId="9" borderId="61" xfId="20" applyFont="1" applyFill="1" applyBorder="1" applyAlignment="1" applyProtection="1">
      <alignment horizontal="center" vertical="center" wrapText="1"/>
      <protection/>
    </xf>
    <xf numFmtId="0" fontId="6" fillId="9" borderId="62" xfId="20" applyFont="1" applyFill="1" applyBorder="1" applyAlignment="1" applyProtection="1">
      <alignment horizontal="center" vertical="center" wrapText="1"/>
      <protection/>
    </xf>
    <xf numFmtId="0" fontId="6" fillId="9" borderId="63" xfId="20" applyFont="1" applyFill="1" applyBorder="1" applyAlignment="1" applyProtection="1">
      <alignment horizontal="center" vertical="center" wrapText="1"/>
      <protection/>
    </xf>
    <xf numFmtId="0" fontId="7" fillId="10" borderId="51" xfId="20" applyFont="1" applyFill="1" applyBorder="1" applyAlignment="1">
      <alignment horizontal="center"/>
      <protection/>
    </xf>
    <xf numFmtId="0" fontId="7" fillId="10" borderId="2" xfId="20" applyFont="1" applyFill="1" applyBorder="1" applyAlignment="1">
      <alignment horizontal="center"/>
      <protection/>
    </xf>
    <xf numFmtId="0" fontId="6" fillId="11" borderId="2" xfId="20" applyFont="1" applyFill="1" applyBorder="1" applyAlignment="1">
      <alignment horizontal="center"/>
      <protection/>
    </xf>
    <xf numFmtId="5" fontId="6" fillId="10" borderId="64" xfId="20" applyNumberFormat="1" applyFont="1" applyFill="1" applyBorder="1" applyAlignment="1" applyProtection="1">
      <alignment horizontal="center" vertical="center" wrapText="1"/>
      <protection/>
    </xf>
    <xf numFmtId="5" fontId="6" fillId="10" borderId="65" xfId="20" applyNumberFormat="1" applyFont="1" applyFill="1" applyBorder="1" applyAlignment="1" applyProtection="1">
      <alignment horizontal="center" vertical="center" wrapText="1"/>
      <protection/>
    </xf>
    <xf numFmtId="5" fontId="8" fillId="11" borderId="36" xfId="20" applyNumberFormat="1" applyFont="1" applyFill="1" applyBorder="1" applyAlignment="1" applyProtection="1">
      <alignment horizontal="center" vertical="center" wrapText="1"/>
      <protection/>
    </xf>
    <xf numFmtId="5" fontId="8" fillId="11" borderId="66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4">
    <dxf>
      <font>
        <color rgb="FF632523"/>
      </font>
      <fill>
        <patternFill>
          <bgColor rgb="FFF2DCDB"/>
        </patternFill>
      </fill>
    </dxf>
    <dxf>
      <font>
        <color rgb="FF632523"/>
      </font>
      <fill>
        <patternFill>
          <bgColor rgb="FFF2DCDB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632523"/>
      </font>
      <fill>
        <patternFill>
          <bgColor rgb="FFF2DCD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CD\HFP\FUNDING%20ROUNDS\2014%20Funding%20Round\2014%20Applications%20received\LIHI%20-%20University%20Commons\2014%209.3.UNIV%20COMMONS%20WORKBOOK-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01\home\HCD\HFP\FUNDING%20ROUNDS\2014%20Funding%20Round\2014%20Applications%20received\LIHI%20-%20University%20Commons\2014%209.3.UNIV%20COMMONS%20WORKBOOK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&amp; Definitions"/>
      <sheetName val="Form 0"/>
      <sheetName val="Form 1A"/>
      <sheetName val="Form 1B"/>
      <sheetName val="UnderTheHood"/>
      <sheetName val="Form 2A"/>
      <sheetName val="Form 2B"/>
      <sheetName val="Form 2C (Urban-NC)"/>
      <sheetName val="Form 3"/>
      <sheetName val="Form 4"/>
      <sheetName val="Form 5"/>
      <sheetName val="Form 6A"/>
      <sheetName val="deleted"/>
      <sheetName val="Form 6C"/>
      <sheetName val="Form 6D"/>
      <sheetName val="Form 6E"/>
      <sheetName val="Form 7A"/>
      <sheetName val="Form 7B"/>
      <sheetName val="Form 8A "/>
      <sheetName val="Form 8B"/>
      <sheetName val="Form 8C"/>
      <sheetName val="Form 8D"/>
      <sheetName val="Form 8E"/>
      <sheetName val="Form 9A"/>
      <sheetName val="Form 9B"/>
      <sheetName val="Form 9C"/>
      <sheetName val="Form 9D"/>
      <sheetName val="Form 9E"/>
      <sheetName val="Form 10"/>
      <sheetName val="Form 11A"/>
      <sheetName val="Form 11B"/>
      <sheetName val="4percentScoring"/>
      <sheetName val="LIHTC_ScoringLists"/>
      <sheetName val="HTF Rollu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1">
          <cell r="G41">
            <v>10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 7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1"/>
  <sheetViews>
    <sheetView tabSelected="1" workbookViewId="0" topLeftCell="H1">
      <selection activeCell="P117" sqref="P117"/>
    </sheetView>
  </sheetViews>
  <sheetFormatPr defaultColWidth="9.140625" defaultRowHeight="15"/>
  <cols>
    <col min="12" max="12" width="12.57421875" style="0" bestFit="1" customWidth="1"/>
    <col min="17" max="17" width="17.8515625" style="0" bestFit="1" customWidth="1"/>
    <col min="18" max="18" width="16.28125" style="0" bestFit="1" customWidth="1"/>
    <col min="19" max="19" width="12.00390625" style="0" bestFit="1" customWidth="1"/>
    <col min="20" max="20" width="15.8515625" style="0" bestFit="1" customWidth="1"/>
    <col min="21" max="21" width="10.421875" style="0" bestFit="1" customWidth="1"/>
    <col min="22" max="22" width="10.57421875" style="0" bestFit="1" customWidth="1"/>
    <col min="23" max="23" width="21.7109375" style="0" bestFit="1" customWidth="1"/>
    <col min="24" max="24" width="22.28125" style="0" bestFit="1" customWidth="1"/>
    <col min="26" max="26" width="17.421875" style="0" bestFit="1" customWidth="1"/>
    <col min="27" max="27" width="23.140625" style="0" bestFit="1" customWidth="1"/>
  </cols>
  <sheetData>
    <row r="1" spans="1:24" s="3" customFormat="1" ht="15" customHeight="1">
      <c r="A1" s="1"/>
      <c r="B1" s="2" t="s">
        <v>0</v>
      </c>
      <c r="F1" s="4"/>
      <c r="G1" s="4"/>
      <c r="H1" s="187" t="s">
        <v>116</v>
      </c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9"/>
      <c r="V1" s="5"/>
      <c r="W1" s="6"/>
      <c r="X1" s="6"/>
    </row>
    <row r="2" spans="1:38" s="3" customFormat="1" ht="14.25" customHeight="1">
      <c r="A2" s="1"/>
      <c r="C2" s="2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S2" s="8">
        <f>1550834-9000+9976-9000</f>
        <v>1542810</v>
      </c>
      <c r="T2" s="8">
        <v>1050000</v>
      </c>
      <c r="U2" s="8">
        <v>1800000</v>
      </c>
      <c r="V2" s="8">
        <v>9737510</v>
      </c>
      <c r="W2" s="9">
        <v>1000000</v>
      </c>
      <c r="X2" s="10">
        <f>SUM(S2:W2)</f>
        <v>15130320</v>
      </c>
      <c r="Z2" s="5"/>
      <c r="AC2" s="11"/>
      <c r="AD2" s="11" t="s">
        <v>1</v>
      </c>
      <c r="AE2" s="11"/>
      <c r="AF2" s="11"/>
      <c r="AG2" s="12" t="e">
        <f>SUM(#REF!)</f>
        <v>#REF!</v>
      </c>
      <c r="AL2" s="13"/>
    </row>
    <row r="3" spans="1:33" s="3" customFormat="1" ht="14.25" customHeight="1">
      <c r="A3" s="1"/>
      <c r="C3" s="2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S3" s="14">
        <f>S2-S110</f>
        <v>0</v>
      </c>
      <c r="T3" s="14">
        <f aca="true" t="shared" si="0" ref="T3:W3">T2-T110</f>
        <v>0</v>
      </c>
      <c r="U3" s="14">
        <f t="shared" si="0"/>
        <v>0</v>
      </c>
      <c r="V3" s="14">
        <f t="shared" si="0"/>
        <v>0</v>
      </c>
      <c r="W3" s="14">
        <f t="shared" si="0"/>
        <v>0</v>
      </c>
      <c r="X3" s="6"/>
      <c r="AC3" s="11"/>
      <c r="AD3" s="11"/>
      <c r="AE3" s="11"/>
      <c r="AF3" s="11"/>
      <c r="AG3" s="12"/>
    </row>
    <row r="4" spans="1:33" s="3" customFormat="1" ht="14.25" customHeight="1" thickBot="1">
      <c r="A4" s="1"/>
      <c r="C4" s="2"/>
      <c r="F4" s="4"/>
      <c r="G4" s="4"/>
      <c r="H4" s="7"/>
      <c r="I4" s="4"/>
      <c r="J4" s="4"/>
      <c r="K4" s="4"/>
      <c r="L4" s="4"/>
      <c r="M4" s="4"/>
      <c r="N4" s="4"/>
      <c r="O4" s="4"/>
      <c r="P4" s="4"/>
      <c r="Q4" s="4"/>
      <c r="U4" s="13"/>
      <c r="W4" s="15"/>
      <c r="X4" s="6"/>
      <c r="AC4" s="11"/>
      <c r="AD4" s="11"/>
      <c r="AE4" s="11"/>
      <c r="AF4" s="11"/>
      <c r="AG4" s="12"/>
    </row>
    <row r="5" spans="1:37" s="3" customFormat="1" ht="15" customHeight="1">
      <c r="A5" s="1"/>
      <c r="B5" s="2" t="s">
        <v>2</v>
      </c>
      <c r="F5" s="4"/>
      <c r="G5" s="4"/>
      <c r="H5" s="190">
        <v>41887</v>
      </c>
      <c r="I5" s="191"/>
      <c r="J5" s="191"/>
      <c r="K5" s="192"/>
      <c r="M5" s="16"/>
      <c r="N5" s="4"/>
      <c r="O5" s="4"/>
      <c r="P5" s="4"/>
      <c r="Q5" s="193" t="s">
        <v>3</v>
      </c>
      <c r="R5" s="196" t="s">
        <v>4</v>
      </c>
      <c r="S5" s="197"/>
      <c r="T5" s="197"/>
      <c r="U5" s="197"/>
      <c r="V5" s="197"/>
      <c r="W5" s="197"/>
      <c r="X5" s="197"/>
      <c r="Y5" s="17"/>
      <c r="Z5" s="198" t="s">
        <v>5</v>
      </c>
      <c r="AA5" s="198"/>
      <c r="AC5" s="11"/>
      <c r="AD5" s="11"/>
      <c r="AE5" s="11"/>
      <c r="AF5" s="11"/>
      <c r="AG5" s="18"/>
      <c r="AH5" s="18"/>
      <c r="AI5" s="18"/>
      <c r="AJ5" s="4"/>
      <c r="AK5" s="4"/>
    </row>
    <row r="6" spans="1:33" s="3" customFormat="1" ht="15" customHeight="1">
      <c r="A6" s="1"/>
      <c r="E6" s="1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94"/>
      <c r="R6" s="199" t="s">
        <v>6</v>
      </c>
      <c r="S6" s="20" t="s">
        <v>7</v>
      </c>
      <c r="T6" s="20" t="s">
        <v>7</v>
      </c>
      <c r="U6" s="20" t="s">
        <v>7</v>
      </c>
      <c r="V6" s="20" t="s">
        <v>7</v>
      </c>
      <c r="W6" s="20" t="s">
        <v>7</v>
      </c>
      <c r="X6" s="20" t="s">
        <v>7</v>
      </c>
      <c r="Y6" s="21"/>
      <c r="Z6" s="201" t="s">
        <v>8</v>
      </c>
      <c r="AA6" s="20" t="s">
        <v>7</v>
      </c>
      <c r="AC6" s="11"/>
      <c r="AD6" s="11"/>
      <c r="AE6" s="11"/>
      <c r="AF6" s="11"/>
      <c r="AG6" s="11"/>
    </row>
    <row r="7" spans="1:33" s="3" customFormat="1" ht="15" customHeight="1">
      <c r="A7" s="1"/>
      <c r="E7" s="19"/>
      <c r="F7" s="4"/>
      <c r="G7" s="4"/>
      <c r="H7" s="4"/>
      <c r="I7" s="4"/>
      <c r="J7" s="4"/>
      <c r="K7" s="4"/>
      <c r="L7" s="22"/>
      <c r="M7" s="4"/>
      <c r="N7" s="4"/>
      <c r="O7" s="4"/>
      <c r="P7" s="4"/>
      <c r="Q7" s="194"/>
      <c r="R7" s="199"/>
      <c r="S7" s="179" t="s">
        <v>9</v>
      </c>
      <c r="T7" s="179" t="s">
        <v>10</v>
      </c>
      <c r="U7" s="179" t="s">
        <v>11</v>
      </c>
      <c r="V7" s="179" t="s">
        <v>12</v>
      </c>
      <c r="W7" s="179" t="s">
        <v>13</v>
      </c>
      <c r="X7" s="181" t="s">
        <v>14</v>
      </c>
      <c r="Y7" s="21"/>
      <c r="Z7" s="201"/>
      <c r="AA7" s="179" t="s">
        <v>15</v>
      </c>
      <c r="AC7" s="11"/>
      <c r="AD7" s="11"/>
      <c r="AE7" s="11"/>
      <c r="AF7" s="11"/>
      <c r="AG7" s="11"/>
    </row>
    <row r="8" spans="1:33" s="3" customFormat="1" ht="15" customHeight="1" thickBot="1">
      <c r="A8" s="1"/>
      <c r="D8" s="23"/>
      <c r="E8" s="1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95"/>
      <c r="R8" s="200"/>
      <c r="S8" s="180"/>
      <c r="T8" s="180"/>
      <c r="U8" s="180"/>
      <c r="V8" s="180"/>
      <c r="W8" s="180"/>
      <c r="X8" s="182"/>
      <c r="Y8" s="24"/>
      <c r="Z8" s="202"/>
      <c r="AA8" s="180"/>
      <c r="AB8" s="4"/>
      <c r="AC8" s="4"/>
      <c r="AD8" s="4"/>
      <c r="AE8" s="4"/>
      <c r="AF8" s="4"/>
      <c r="AG8" s="4"/>
    </row>
    <row r="9" spans="1:33" s="3" customFormat="1" ht="15" customHeight="1" thickBot="1">
      <c r="A9" s="1"/>
      <c r="B9" s="25" t="s">
        <v>16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6"/>
      <c r="V9" s="27"/>
      <c r="W9" s="28"/>
      <c r="X9" s="28"/>
      <c r="AA9" s="28"/>
      <c r="AB9" s="4"/>
      <c r="AC9" s="4"/>
      <c r="AD9" s="4"/>
      <c r="AE9" s="4"/>
      <c r="AF9" s="4"/>
      <c r="AG9" s="4"/>
    </row>
    <row r="10" spans="1:33" s="3" customFormat="1" ht="15" customHeight="1" thickBot="1">
      <c r="A10" s="1"/>
      <c r="C10" s="183" t="s">
        <v>17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4"/>
      <c r="Q10" s="29">
        <f aca="true" t="shared" si="1" ref="Q10:Q15">R10+Z10</f>
        <v>1410000</v>
      </c>
      <c r="R10" s="30">
        <f>SUM(S10:W10)</f>
        <v>1129000</v>
      </c>
      <c r="S10" s="31"/>
      <c r="T10" s="32"/>
      <c r="U10" s="32"/>
      <c r="V10" s="32">
        <v>129000</v>
      </c>
      <c r="W10" s="32">
        <v>1000000</v>
      </c>
      <c r="X10" s="32">
        <f>SUM(S10:W10)</f>
        <v>1129000</v>
      </c>
      <c r="Y10" s="33"/>
      <c r="Z10" s="34">
        <f aca="true" t="shared" si="2" ref="Z10:Z15">SUM(AA10:AA10)</f>
        <v>281000</v>
      </c>
      <c r="AA10" s="35">
        <v>281000</v>
      </c>
      <c r="AB10" s="4"/>
      <c r="AC10" s="4"/>
      <c r="AD10" s="4"/>
      <c r="AE10" s="4"/>
      <c r="AF10" s="4"/>
      <c r="AG10" s="4"/>
    </row>
    <row r="11" spans="1:33" s="3" customFormat="1" ht="15" customHeight="1" thickBot="1">
      <c r="A11" s="1"/>
      <c r="C11" s="185" t="s">
        <v>18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6"/>
      <c r="Q11" s="36">
        <f t="shared" si="1"/>
        <v>0</v>
      </c>
      <c r="R11" s="30">
        <f aca="true" t="shared" si="3" ref="R11:R15">SUM(S11:W11)</f>
        <v>0</v>
      </c>
      <c r="S11" s="37"/>
      <c r="T11" s="38"/>
      <c r="U11" s="38"/>
      <c r="V11" s="38"/>
      <c r="W11" s="38"/>
      <c r="X11" s="32">
        <f aca="true" t="shared" si="4" ref="X11:X15">SUM(S11:W11)</f>
        <v>0</v>
      </c>
      <c r="Y11" s="39"/>
      <c r="Z11" s="40">
        <f t="shared" si="2"/>
        <v>0</v>
      </c>
      <c r="AA11" s="41"/>
      <c r="AB11" s="4"/>
      <c r="AC11" s="4"/>
      <c r="AD11" s="4"/>
      <c r="AE11" s="4"/>
      <c r="AF11" s="4"/>
      <c r="AG11" s="4"/>
    </row>
    <row r="12" spans="1:33" s="3" customFormat="1" ht="15" customHeight="1" thickBot="1">
      <c r="A12" s="1"/>
      <c r="C12" s="161" t="s">
        <v>19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2"/>
      <c r="Q12" s="36">
        <f t="shared" si="1"/>
        <v>0</v>
      </c>
      <c r="R12" s="30">
        <f t="shared" si="3"/>
        <v>0</v>
      </c>
      <c r="S12" s="37"/>
      <c r="T12" s="38"/>
      <c r="U12" s="38"/>
      <c r="V12" s="38"/>
      <c r="W12" s="38"/>
      <c r="X12" s="32">
        <f t="shared" si="4"/>
        <v>0</v>
      </c>
      <c r="Y12" s="39"/>
      <c r="Z12" s="40">
        <f t="shared" si="2"/>
        <v>0</v>
      </c>
      <c r="AA12" s="41"/>
      <c r="AB12" s="4"/>
      <c r="AC12" s="4"/>
      <c r="AD12" s="4"/>
      <c r="AE12" s="4"/>
      <c r="AF12" s="4"/>
      <c r="AG12" s="4"/>
    </row>
    <row r="13" spans="1:33" s="3" customFormat="1" ht="15" customHeight="1" thickBot="1">
      <c r="A13" s="1"/>
      <c r="C13" s="161" t="s">
        <v>20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2"/>
      <c r="Q13" s="36">
        <f t="shared" si="1"/>
        <v>15730</v>
      </c>
      <c r="R13" s="30">
        <f t="shared" si="3"/>
        <v>13000</v>
      </c>
      <c r="S13" s="37">
        <v>802</v>
      </c>
      <c r="T13" s="38"/>
      <c r="U13" s="38">
        <v>12198</v>
      </c>
      <c r="V13" s="38"/>
      <c r="W13" s="38"/>
      <c r="X13" s="32">
        <f t="shared" si="4"/>
        <v>13000</v>
      </c>
      <c r="Y13" s="39"/>
      <c r="Z13" s="40">
        <f t="shared" si="2"/>
        <v>2730</v>
      </c>
      <c r="AA13" s="41">
        <v>2730</v>
      </c>
      <c r="AB13" s="4"/>
      <c r="AC13" s="4"/>
      <c r="AD13" s="4"/>
      <c r="AE13" s="4"/>
      <c r="AF13" s="4"/>
      <c r="AG13" s="4"/>
    </row>
    <row r="14" spans="1:33" s="3" customFormat="1" ht="15" customHeight="1" thickBot="1">
      <c r="A14" s="1"/>
      <c r="C14" s="163" t="s">
        <v>21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Q14" s="36">
        <f t="shared" si="1"/>
        <v>0</v>
      </c>
      <c r="R14" s="30">
        <f t="shared" si="3"/>
        <v>0</v>
      </c>
      <c r="S14" s="37"/>
      <c r="T14" s="38"/>
      <c r="U14" s="38"/>
      <c r="V14" s="38"/>
      <c r="W14" s="38"/>
      <c r="X14" s="32">
        <f t="shared" si="4"/>
        <v>0</v>
      </c>
      <c r="Y14" s="39"/>
      <c r="Z14" s="40">
        <f t="shared" si="2"/>
        <v>0</v>
      </c>
      <c r="AA14" s="41"/>
      <c r="AB14" s="4"/>
      <c r="AC14" s="4"/>
      <c r="AD14" s="4"/>
      <c r="AE14" s="4"/>
      <c r="AF14" s="4"/>
      <c r="AG14" s="4"/>
    </row>
    <row r="15" spans="1:33" s="3" customFormat="1" ht="15" customHeight="1">
      <c r="A15" s="1"/>
      <c r="C15" s="42" t="s">
        <v>22</v>
      </c>
      <c r="D15" s="42"/>
      <c r="E15" s="169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P15" s="43"/>
      <c r="Q15" s="44">
        <f t="shared" si="1"/>
        <v>0</v>
      </c>
      <c r="R15" s="30">
        <f t="shared" si="3"/>
        <v>0</v>
      </c>
      <c r="S15" s="45"/>
      <c r="T15" s="46"/>
      <c r="U15" s="46"/>
      <c r="V15" s="46"/>
      <c r="W15" s="46"/>
      <c r="X15" s="32">
        <f t="shared" si="4"/>
        <v>0</v>
      </c>
      <c r="Y15" s="39"/>
      <c r="Z15" s="47">
        <f t="shared" si="2"/>
        <v>0</v>
      </c>
      <c r="AA15" s="48"/>
      <c r="AB15" s="4"/>
      <c r="AC15" s="4"/>
      <c r="AD15" s="4"/>
      <c r="AE15" s="4"/>
      <c r="AF15" s="4"/>
      <c r="AG15" s="4"/>
    </row>
    <row r="16" spans="1:33" s="3" customFormat="1" ht="15" customHeight="1" thickBot="1">
      <c r="A16" s="1"/>
      <c r="C16" s="49"/>
      <c r="D16" s="49"/>
      <c r="F16" s="4"/>
      <c r="G16" s="4"/>
      <c r="H16" s="4"/>
      <c r="I16" s="4"/>
      <c r="J16" s="4"/>
      <c r="K16" s="4"/>
      <c r="L16" s="4"/>
      <c r="M16" s="153" t="s">
        <v>23</v>
      </c>
      <c r="N16" s="153"/>
      <c r="O16" s="153"/>
      <c r="P16" s="154"/>
      <c r="Q16" s="50">
        <f aca="true" t="shared" si="5" ref="Q16:X16">SUM(Q10:Q15)</f>
        <v>1425730</v>
      </c>
      <c r="R16" s="51">
        <f>SUM(R10:R15)</f>
        <v>1142000</v>
      </c>
      <c r="S16" s="52">
        <f t="shared" si="5"/>
        <v>802</v>
      </c>
      <c r="T16" s="53">
        <f t="shared" si="5"/>
        <v>0</v>
      </c>
      <c r="U16" s="53">
        <f t="shared" si="5"/>
        <v>12198</v>
      </c>
      <c r="V16" s="53">
        <f t="shared" si="5"/>
        <v>129000</v>
      </c>
      <c r="W16" s="53">
        <f t="shared" si="5"/>
        <v>1000000</v>
      </c>
      <c r="X16" s="53">
        <f t="shared" si="5"/>
        <v>1142000</v>
      </c>
      <c r="Y16" s="54"/>
      <c r="Z16" s="55">
        <f>SUM(Z10:Z15)</f>
        <v>283730</v>
      </c>
      <c r="AA16" s="52">
        <f>SUM(AA10:AA15)</f>
        <v>283730</v>
      </c>
      <c r="AB16" s="4"/>
      <c r="AC16" s="4"/>
      <c r="AD16" s="4"/>
      <c r="AE16" s="4"/>
      <c r="AF16" s="4"/>
      <c r="AG16" s="4"/>
    </row>
    <row r="17" spans="1:33" s="3" customFormat="1" ht="3.75" customHeight="1">
      <c r="A17" s="1"/>
      <c r="B17" s="49"/>
      <c r="C17" s="49"/>
      <c r="D17" s="49"/>
      <c r="E17" s="5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7"/>
      <c r="S17" s="58"/>
      <c r="T17" s="58"/>
      <c r="U17" s="58"/>
      <c r="V17" s="58"/>
      <c r="W17" s="6"/>
      <c r="X17" s="58"/>
      <c r="Y17" s="39"/>
      <c r="Z17" s="59"/>
      <c r="AA17" s="58"/>
      <c r="AB17" s="4"/>
      <c r="AC17" s="4"/>
      <c r="AD17" s="4"/>
      <c r="AE17" s="4"/>
      <c r="AF17" s="4"/>
      <c r="AG17" s="4"/>
    </row>
    <row r="18" spans="1:33" s="3" customFormat="1" ht="15" customHeight="1" thickBot="1">
      <c r="A18" s="1"/>
      <c r="B18" s="25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60">
        <v>0.065</v>
      </c>
      <c r="M18" s="25"/>
      <c r="N18" s="25" t="s">
        <v>25</v>
      </c>
      <c r="O18" s="25"/>
      <c r="P18" s="25"/>
      <c r="Q18" s="26"/>
      <c r="R18" s="61"/>
      <c r="U18" s="14"/>
      <c r="V18" s="62"/>
      <c r="W18" s="28"/>
      <c r="X18" s="28"/>
      <c r="Y18" s="21"/>
      <c r="AA18" s="28"/>
      <c r="AB18" s="4"/>
      <c r="AC18" s="4"/>
      <c r="AD18" s="4"/>
      <c r="AE18" s="4"/>
      <c r="AF18" s="4"/>
      <c r="AG18" s="4"/>
    </row>
    <row r="19" spans="1:33" s="3" customFormat="1" ht="15" customHeight="1" thickBot="1">
      <c r="A19" s="1"/>
      <c r="C19" s="165" t="s">
        <v>26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6"/>
      <c r="Q19" s="63">
        <f>R19+Z19</f>
        <v>0</v>
      </c>
      <c r="R19" s="64">
        <f>SUM(S19:W19)</f>
        <v>0</v>
      </c>
      <c r="S19" s="65"/>
      <c r="T19" s="66"/>
      <c r="U19" s="66"/>
      <c r="V19" s="66"/>
      <c r="W19" s="66"/>
      <c r="X19" s="66">
        <f>SUM(S19:W19)</f>
        <v>0</v>
      </c>
      <c r="Y19" s="33"/>
      <c r="Z19" s="67"/>
      <c r="AA19" s="68"/>
      <c r="AB19" s="4"/>
      <c r="AC19" s="4"/>
      <c r="AD19" s="4"/>
      <c r="AE19" s="4"/>
      <c r="AF19" s="4"/>
      <c r="AG19" s="4"/>
    </row>
    <row r="20" spans="1:33" s="3" customFormat="1" ht="15" customHeight="1" thickBot="1">
      <c r="A20" s="1"/>
      <c r="C20" s="161" t="s">
        <v>27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2"/>
      <c r="Q20" s="69">
        <f>R20+Z20</f>
        <v>10503188</v>
      </c>
      <c r="R20" s="64">
        <f aca="true" t="shared" si="6" ref="R20:R34">SUM(S20:W20)</f>
        <v>8541378</v>
      </c>
      <c r="S20" s="70">
        <f>7657666-7034965+200000</f>
        <v>822701</v>
      </c>
      <c r="T20" s="71">
        <f>184500+200000</f>
        <v>384500</v>
      </c>
      <c r="U20" s="71">
        <f>1100000-45000+4275+893309-367670</f>
        <v>1584914</v>
      </c>
      <c r="V20" s="71">
        <f>5792166-976-41927</f>
        <v>5749263</v>
      </c>
      <c r="W20" s="71"/>
      <c r="X20" s="66">
        <f aca="true" t="shared" si="7" ref="X20:X34">SUM(S20:W20)</f>
        <v>8541378</v>
      </c>
      <c r="Y20" s="39"/>
      <c r="Z20" s="72">
        <f>AA20</f>
        <v>1961810</v>
      </c>
      <c r="AA20" s="73">
        <v>1961810</v>
      </c>
      <c r="AB20" s="4"/>
      <c r="AC20" s="4"/>
      <c r="AD20" s="4"/>
      <c r="AE20" s="4"/>
      <c r="AF20" s="4"/>
      <c r="AG20" s="4"/>
    </row>
    <row r="21" spans="1:33" s="3" customFormat="1" ht="15" customHeight="1" thickBot="1">
      <c r="A21" s="1"/>
      <c r="C21" s="161" t="s">
        <v>28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2"/>
      <c r="Q21" s="69">
        <f>R21+Z21</f>
        <v>0</v>
      </c>
      <c r="R21" s="64">
        <f t="shared" si="6"/>
        <v>0</v>
      </c>
      <c r="W21" s="71"/>
      <c r="X21" s="66">
        <f t="shared" si="7"/>
        <v>0</v>
      </c>
      <c r="Y21" s="39"/>
      <c r="Z21" s="74">
        <f>SUM(AA21:AA21)</f>
        <v>0</v>
      </c>
      <c r="AA21" s="73"/>
      <c r="AB21" s="4"/>
      <c r="AC21" s="4"/>
      <c r="AD21" s="4"/>
      <c r="AE21" s="4"/>
      <c r="AF21" s="4"/>
      <c r="AG21" s="4"/>
    </row>
    <row r="22" spans="1:33" s="3" customFormat="1" ht="15" customHeight="1" thickBot="1">
      <c r="A22" s="1"/>
      <c r="C22" s="161" t="s">
        <v>29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69">
        <f>R22+Z22</f>
        <v>312471</v>
      </c>
      <c r="R22" s="64">
        <f t="shared" si="6"/>
        <v>254107</v>
      </c>
      <c r="S22" s="70">
        <v>17386</v>
      </c>
      <c r="T22" s="71">
        <v>5468</v>
      </c>
      <c r="U22" s="71">
        <v>44182</v>
      </c>
      <c r="V22" s="71">
        <f>188764-1693</f>
        <v>187071</v>
      </c>
      <c r="W22" s="71"/>
      <c r="X22" s="66">
        <f t="shared" si="7"/>
        <v>254107</v>
      </c>
      <c r="Y22" s="39"/>
      <c r="Z22" s="74">
        <f>AA22</f>
        <v>58364</v>
      </c>
      <c r="AA22" s="73">
        <v>58364</v>
      </c>
      <c r="AB22" s="4"/>
      <c r="AC22" s="4"/>
      <c r="AD22" s="4"/>
      <c r="AE22" s="4"/>
      <c r="AF22" s="4"/>
      <c r="AG22" s="4"/>
    </row>
    <row r="23" spans="1:33" s="3" customFormat="1" ht="15" customHeight="1" thickBot="1">
      <c r="A23" s="1"/>
      <c r="C23" s="161" t="s">
        <v>30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2"/>
      <c r="Q23" s="69"/>
      <c r="R23" s="64"/>
      <c r="S23" s="70"/>
      <c r="T23" s="71"/>
      <c r="U23" s="71"/>
      <c r="V23" s="71"/>
      <c r="W23" s="71"/>
      <c r="X23" s="66">
        <f t="shared" si="7"/>
        <v>0</v>
      </c>
      <c r="Y23" s="39"/>
      <c r="Z23" s="74"/>
      <c r="AA23" s="73"/>
      <c r="AB23" s="4"/>
      <c r="AC23" s="4"/>
      <c r="AD23" s="4"/>
      <c r="AE23" s="4"/>
      <c r="AF23" s="4"/>
      <c r="AG23" s="4"/>
    </row>
    <row r="24" spans="1:33" s="3" customFormat="1" ht="15" customHeight="1" thickBot="1">
      <c r="A24" s="1"/>
      <c r="C24" s="161" t="s">
        <v>31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72"/>
      <c r="N24" s="176">
        <v>0.065</v>
      </c>
      <c r="O24" s="177"/>
      <c r="P24" s="178"/>
      <c r="Q24" s="75">
        <f aca="true" t="shared" si="8" ref="Q24:Q34">R24+Z24</f>
        <v>697968</v>
      </c>
      <c r="R24" s="64">
        <f t="shared" si="6"/>
        <v>571707</v>
      </c>
      <c r="S24" s="70"/>
      <c r="T24" s="71"/>
      <c r="U24" s="71"/>
      <c r="V24" s="71">
        <v>571707</v>
      </c>
      <c r="W24" s="71"/>
      <c r="X24" s="66">
        <f t="shared" si="7"/>
        <v>571707</v>
      </c>
      <c r="Y24" s="39"/>
      <c r="Z24" s="73">
        <v>126261</v>
      </c>
      <c r="AA24" s="73">
        <v>126261</v>
      </c>
      <c r="AB24" s="4"/>
      <c r="AC24" s="4"/>
      <c r="AD24" s="4"/>
      <c r="AE24" s="4"/>
      <c r="AF24" s="4"/>
      <c r="AG24" s="4"/>
    </row>
    <row r="25" spans="1:33" s="3" customFormat="1" ht="15" customHeight="1" thickBot="1">
      <c r="A25" s="1"/>
      <c r="C25" s="161" t="s">
        <v>32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72"/>
      <c r="N25" s="173">
        <f>Q25/(Q21+Q22+Q23+Q32)</f>
        <v>0</v>
      </c>
      <c r="O25" s="174"/>
      <c r="P25" s="175"/>
      <c r="Q25" s="75">
        <f t="shared" si="8"/>
        <v>0</v>
      </c>
      <c r="R25" s="64">
        <f t="shared" si="6"/>
        <v>0</v>
      </c>
      <c r="S25" s="70"/>
      <c r="T25" s="71"/>
      <c r="U25" s="71"/>
      <c r="V25" s="71"/>
      <c r="W25" s="71"/>
      <c r="X25" s="66">
        <f t="shared" si="7"/>
        <v>0</v>
      </c>
      <c r="Y25" s="39"/>
      <c r="Z25" s="74">
        <f>SUM(AA25:AA25)</f>
        <v>0</v>
      </c>
      <c r="AA25" s="73"/>
      <c r="AB25" s="4"/>
      <c r="AC25" s="76"/>
      <c r="AD25" s="4"/>
      <c r="AE25" s="4"/>
      <c r="AF25" s="4"/>
      <c r="AG25" s="4"/>
    </row>
    <row r="26" spans="1:33" s="3" customFormat="1" ht="15" customHeight="1" thickBot="1">
      <c r="A26" s="1"/>
      <c r="C26" s="161" t="s">
        <v>33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2"/>
      <c r="Q26" s="69">
        <f t="shared" si="8"/>
        <v>0</v>
      </c>
      <c r="R26" s="64">
        <f t="shared" si="6"/>
        <v>0</v>
      </c>
      <c r="S26" s="70"/>
      <c r="T26" s="71"/>
      <c r="U26" s="71"/>
      <c r="V26" s="71"/>
      <c r="W26" s="71"/>
      <c r="X26" s="66">
        <f t="shared" si="7"/>
        <v>0</v>
      </c>
      <c r="Y26" s="39"/>
      <c r="Z26" s="74">
        <f>SUM(AA26:AA26)</f>
        <v>0</v>
      </c>
      <c r="AA26" s="73"/>
      <c r="AB26" s="4"/>
      <c r="AC26" s="76"/>
      <c r="AD26" s="4"/>
      <c r="AE26" s="4"/>
      <c r="AF26" s="4"/>
      <c r="AG26" s="4"/>
    </row>
    <row r="27" spans="1:33" s="3" customFormat="1" ht="15" customHeight="1" thickBot="1">
      <c r="A27" s="1"/>
      <c r="C27" s="161" t="s">
        <v>34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2"/>
      <c r="Q27" s="69">
        <f t="shared" si="8"/>
        <v>0</v>
      </c>
      <c r="R27" s="64">
        <f t="shared" si="6"/>
        <v>0</v>
      </c>
      <c r="S27" s="70"/>
      <c r="T27" s="71"/>
      <c r="U27" s="71"/>
      <c r="V27" s="71"/>
      <c r="W27" s="71"/>
      <c r="X27" s="66">
        <f t="shared" si="7"/>
        <v>0</v>
      </c>
      <c r="Y27" s="39"/>
      <c r="Z27" s="74"/>
      <c r="AA27" s="73"/>
      <c r="AB27" s="4"/>
      <c r="AC27" s="4"/>
      <c r="AD27" s="4"/>
      <c r="AE27" s="4"/>
      <c r="AF27" s="4"/>
      <c r="AG27" s="4"/>
    </row>
    <row r="28" spans="1:33" s="3" customFormat="1" ht="15" customHeight="1" thickBot="1">
      <c r="A28" s="1"/>
      <c r="C28" s="161" t="s">
        <v>35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2"/>
      <c r="Q28" s="69">
        <f t="shared" si="8"/>
        <v>0</v>
      </c>
      <c r="R28" s="64">
        <f t="shared" si="6"/>
        <v>0</v>
      </c>
      <c r="S28" s="70"/>
      <c r="T28" s="71"/>
      <c r="U28" s="71"/>
      <c r="V28" s="71"/>
      <c r="W28" s="71"/>
      <c r="X28" s="66">
        <f t="shared" si="7"/>
        <v>0</v>
      </c>
      <c r="Y28" s="39"/>
      <c r="Z28" s="74">
        <f>SUM(AA28:AA28)</f>
        <v>0</v>
      </c>
      <c r="AA28" s="73"/>
      <c r="AB28" s="4"/>
      <c r="AC28" s="4"/>
      <c r="AD28" s="4"/>
      <c r="AE28" s="4"/>
      <c r="AF28" s="4"/>
      <c r="AG28" s="4"/>
    </row>
    <row r="29" spans="1:33" s="3" customFormat="1" ht="15" customHeight="1" thickBot="1">
      <c r="A29" s="1"/>
      <c r="C29" s="161" t="s">
        <v>36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2"/>
      <c r="Q29" s="69">
        <f t="shared" si="8"/>
        <v>20000</v>
      </c>
      <c r="R29" s="64">
        <f t="shared" si="6"/>
        <v>20000</v>
      </c>
      <c r="S29" s="70">
        <v>20000</v>
      </c>
      <c r="T29" s="71"/>
      <c r="U29" s="71"/>
      <c r="V29" s="71"/>
      <c r="W29" s="71"/>
      <c r="X29" s="66">
        <f t="shared" si="7"/>
        <v>20000</v>
      </c>
      <c r="Y29" s="39"/>
      <c r="Z29" s="74">
        <f>SUM(AA29:AA29)</f>
        <v>0</v>
      </c>
      <c r="AA29" s="73"/>
      <c r="AB29" s="4"/>
      <c r="AC29" s="4"/>
      <c r="AD29" s="4"/>
      <c r="AE29" s="4"/>
      <c r="AF29" s="4"/>
      <c r="AG29" s="4"/>
    </row>
    <row r="30" spans="1:33" s="3" customFormat="1" ht="15" customHeight="1" thickBot="1">
      <c r="A30" s="1"/>
      <c r="C30" s="161" t="s">
        <v>37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2"/>
      <c r="Q30" s="69">
        <f t="shared" si="8"/>
        <v>53318</v>
      </c>
      <c r="R30" s="64">
        <f t="shared" si="6"/>
        <v>50000</v>
      </c>
      <c r="S30" s="70"/>
      <c r="T30" s="71"/>
      <c r="U30" s="71"/>
      <c r="V30" s="71">
        <v>50000</v>
      </c>
      <c r="W30" s="71"/>
      <c r="X30" s="66">
        <f t="shared" si="7"/>
        <v>50000</v>
      </c>
      <c r="Y30" s="39"/>
      <c r="Z30" s="74">
        <v>3318</v>
      </c>
      <c r="AA30" s="73">
        <v>3318</v>
      </c>
      <c r="AB30" s="4"/>
      <c r="AC30" s="4"/>
      <c r="AD30" s="4"/>
      <c r="AE30" s="4"/>
      <c r="AF30" s="4"/>
      <c r="AG30" s="4"/>
    </row>
    <row r="31" spans="1:33" s="3" customFormat="1" ht="15" customHeight="1" thickBot="1">
      <c r="A31" s="1"/>
      <c r="C31" s="161" t="s">
        <v>38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2"/>
      <c r="Q31" s="69">
        <f t="shared" si="8"/>
        <v>1093794</v>
      </c>
      <c r="R31" s="64">
        <f t="shared" si="6"/>
        <v>889883</v>
      </c>
      <c r="S31" s="70">
        <v>61122</v>
      </c>
      <c r="T31" s="73">
        <v>18047</v>
      </c>
      <c r="U31" s="73">
        <v>104422</v>
      </c>
      <c r="V31" s="73">
        <f>664474+41818</f>
        <v>706292</v>
      </c>
      <c r="W31" s="71"/>
      <c r="X31" s="66">
        <f t="shared" si="7"/>
        <v>889883</v>
      </c>
      <c r="Y31" s="39"/>
      <c r="Z31" s="73">
        <v>203911</v>
      </c>
      <c r="AA31" s="73">
        <v>203911</v>
      </c>
      <c r="AB31" s="4"/>
      <c r="AC31" s="22"/>
      <c r="AD31" s="4"/>
      <c r="AE31" s="4"/>
      <c r="AF31" s="4"/>
      <c r="AG31" s="4"/>
    </row>
    <row r="32" spans="1:33" s="3" customFormat="1" ht="15" customHeight="1" thickBot="1">
      <c r="A32" s="1"/>
      <c r="C32" s="161" t="s">
        <v>39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  <c r="Q32" s="69">
        <f t="shared" si="8"/>
        <v>89038</v>
      </c>
      <c r="R32" s="64">
        <f t="shared" si="6"/>
        <v>72407</v>
      </c>
      <c r="S32" s="70">
        <v>6897</v>
      </c>
      <c r="T32" s="71">
        <v>4567</v>
      </c>
      <c r="U32" s="71">
        <v>9284</v>
      </c>
      <c r="V32" s="71">
        <f>52141-482</f>
        <v>51659</v>
      </c>
      <c r="W32" s="71"/>
      <c r="X32" s="66">
        <f t="shared" si="7"/>
        <v>72407</v>
      </c>
      <c r="Y32" s="39"/>
      <c r="Z32" s="73">
        <v>16631</v>
      </c>
      <c r="AA32" s="73">
        <v>16631</v>
      </c>
      <c r="AB32" s="4"/>
      <c r="AC32" s="4"/>
      <c r="AD32" s="4"/>
      <c r="AE32" s="4"/>
      <c r="AF32" s="4"/>
      <c r="AG32" s="4"/>
    </row>
    <row r="33" spans="1:33" s="3" customFormat="1" ht="15" customHeight="1" thickBot="1">
      <c r="A33" s="1"/>
      <c r="C33" s="161" t="s">
        <v>40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2"/>
      <c r="Q33" s="69">
        <f t="shared" si="8"/>
        <v>204721</v>
      </c>
      <c r="R33" s="64">
        <f t="shared" si="6"/>
        <v>164721</v>
      </c>
      <c r="S33" s="70"/>
      <c r="T33" s="71"/>
      <c r="U33" s="71"/>
      <c r="V33" s="71">
        <f>150000+14239+482</f>
        <v>164721</v>
      </c>
      <c r="W33" s="71"/>
      <c r="X33" s="66">
        <f t="shared" si="7"/>
        <v>164721</v>
      </c>
      <c r="Y33" s="39"/>
      <c r="Z33" s="74">
        <v>40000</v>
      </c>
      <c r="AA33" s="73">
        <v>40000</v>
      </c>
      <c r="AB33" s="4"/>
      <c r="AC33" s="4"/>
      <c r="AD33" s="4"/>
      <c r="AE33" s="16">
        <f>R35-R31-R24</f>
        <v>9102613</v>
      </c>
      <c r="AF33" s="4"/>
      <c r="AG33" s="4" t="s">
        <v>41</v>
      </c>
    </row>
    <row r="34" spans="1:33" s="3" customFormat="1" ht="15" customHeight="1">
      <c r="A34" s="1"/>
      <c r="C34" s="42" t="s">
        <v>22</v>
      </c>
      <c r="D34" s="42"/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1"/>
      <c r="P34" s="43"/>
      <c r="Q34" s="77">
        <f t="shared" si="8"/>
        <v>0</v>
      </c>
      <c r="R34" s="64">
        <f t="shared" si="6"/>
        <v>0</v>
      </c>
      <c r="S34" s="78"/>
      <c r="T34" s="79"/>
      <c r="U34" s="79"/>
      <c r="V34" s="79"/>
      <c r="W34" s="79"/>
      <c r="X34" s="66">
        <f t="shared" si="7"/>
        <v>0</v>
      </c>
      <c r="Y34" s="39"/>
      <c r="Z34" s="80">
        <f>SUM(AA34:AA34)</f>
        <v>0</v>
      </c>
      <c r="AA34" s="81"/>
      <c r="AB34" s="4"/>
      <c r="AC34" s="4"/>
      <c r="AD34" s="4"/>
      <c r="AE34" s="4"/>
      <c r="AF34" s="4"/>
      <c r="AG34" s="4"/>
    </row>
    <row r="35" spans="1:33" s="3" customFormat="1" ht="15" customHeight="1" thickBot="1">
      <c r="A35" s="1"/>
      <c r="C35" s="49"/>
      <c r="D35" s="49"/>
      <c r="F35" s="4"/>
      <c r="G35" s="4"/>
      <c r="H35" s="4"/>
      <c r="I35" s="4"/>
      <c r="J35" s="4"/>
      <c r="K35" s="4"/>
      <c r="L35" s="4"/>
      <c r="M35" s="153" t="s">
        <v>23</v>
      </c>
      <c r="N35" s="153"/>
      <c r="O35" s="153"/>
      <c r="P35" s="154"/>
      <c r="Q35" s="50">
        <f aca="true" t="shared" si="9" ref="Q35:X35">SUM(Q19:Q34)</f>
        <v>12974498</v>
      </c>
      <c r="R35" s="51">
        <f>SUM(R19:R34)</f>
        <v>10564203</v>
      </c>
      <c r="S35" s="52">
        <f t="shared" si="9"/>
        <v>928106</v>
      </c>
      <c r="T35" s="53">
        <f t="shared" si="9"/>
        <v>412582</v>
      </c>
      <c r="U35" s="53">
        <f t="shared" si="9"/>
        <v>1742802</v>
      </c>
      <c r="V35" s="53">
        <f t="shared" si="9"/>
        <v>7480713</v>
      </c>
      <c r="W35" s="53">
        <f t="shared" si="9"/>
        <v>0</v>
      </c>
      <c r="X35" s="53">
        <f t="shared" si="9"/>
        <v>10564203</v>
      </c>
      <c r="Y35" s="54"/>
      <c r="Z35" s="55">
        <f>SUM(Z19:Z34)</f>
        <v>2410295</v>
      </c>
      <c r="AA35" s="52">
        <f>SUM(AA19:AA34)</f>
        <v>2410295</v>
      </c>
      <c r="AB35" s="4"/>
      <c r="AC35" s="76"/>
      <c r="AD35" s="4"/>
      <c r="AE35" s="4"/>
      <c r="AF35" s="4"/>
      <c r="AG35" s="4"/>
    </row>
    <row r="36" spans="1:33" s="3" customFormat="1" ht="3.75" customHeight="1">
      <c r="A36" s="1"/>
      <c r="B36" s="49"/>
      <c r="C36" s="49"/>
      <c r="D36" s="49"/>
      <c r="E36" s="4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S36" s="58"/>
      <c r="T36" s="58"/>
      <c r="U36" s="58"/>
      <c r="V36" s="58"/>
      <c r="W36" s="6"/>
      <c r="X36" s="58"/>
      <c r="Y36" s="39"/>
      <c r="Z36" s="59"/>
      <c r="AA36" s="58"/>
      <c r="AB36" s="4"/>
      <c r="AC36" s="4"/>
      <c r="AD36" s="4"/>
      <c r="AE36" s="4"/>
      <c r="AF36" s="4"/>
      <c r="AG36" s="4"/>
    </row>
    <row r="37" spans="1:33" s="3" customFormat="1" ht="15" customHeight="1" thickBot="1">
      <c r="A37" s="1"/>
      <c r="B37" s="25" t="s">
        <v>42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6"/>
      <c r="S37" s="14" t="e">
        <f>#REF!+#REF!+#REF!</f>
        <v>#REF!</v>
      </c>
      <c r="V37" s="27"/>
      <c r="W37" s="28"/>
      <c r="X37" s="28"/>
      <c r="Y37" s="21"/>
      <c r="AA37" s="28"/>
      <c r="AB37" s="4"/>
      <c r="AC37" s="4"/>
      <c r="AD37" s="4"/>
      <c r="AE37" s="4"/>
      <c r="AF37" s="4"/>
      <c r="AG37" s="4"/>
    </row>
    <row r="38" spans="1:33" s="3" customFormat="1" ht="15" customHeight="1" thickBot="1">
      <c r="A38" s="1"/>
      <c r="C38" s="165" t="s">
        <v>43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6"/>
      <c r="Q38" s="63">
        <f aca="true" t="shared" si="10" ref="Q38:Q45">R38+Z38</f>
        <v>15000</v>
      </c>
      <c r="R38" s="82">
        <f>SUM(S38:W38)</f>
        <v>15000</v>
      </c>
      <c r="S38" s="35"/>
      <c r="T38" s="83">
        <v>15000</v>
      </c>
      <c r="U38" s="83"/>
      <c r="V38" s="83"/>
      <c r="W38" s="83"/>
      <c r="X38" s="83">
        <f>SUM(S38:W38)</f>
        <v>15000</v>
      </c>
      <c r="Y38" s="33"/>
      <c r="Z38" s="67">
        <f aca="true" t="shared" si="11" ref="Z38:Z46">SUM(AA38:AA38)</f>
        <v>0</v>
      </c>
      <c r="AA38" s="35"/>
      <c r="AB38" s="4"/>
      <c r="AC38" s="4"/>
      <c r="AD38" s="4"/>
      <c r="AE38" s="4"/>
      <c r="AF38" s="4"/>
      <c r="AG38" s="4"/>
    </row>
    <row r="39" spans="1:33" s="3" customFormat="1" ht="15" customHeight="1" thickBot="1">
      <c r="A39" s="1"/>
      <c r="C39" s="161" t="s">
        <v>44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69">
        <f t="shared" si="10"/>
        <v>16000</v>
      </c>
      <c r="R39" s="64">
        <f aca="true" t="shared" si="12" ref="R39:R50">SUM(S39:W39)</f>
        <v>16000</v>
      </c>
      <c r="S39" s="41">
        <v>6000</v>
      </c>
      <c r="T39" s="84">
        <v>10000</v>
      </c>
      <c r="U39" s="84"/>
      <c r="V39" s="84"/>
      <c r="W39" s="84"/>
      <c r="X39" s="83">
        <f aca="true" t="shared" si="13" ref="X39:X50">SUM(S39:W39)</f>
        <v>16000</v>
      </c>
      <c r="Y39" s="39"/>
      <c r="Z39" s="74">
        <f t="shared" si="11"/>
        <v>0</v>
      </c>
      <c r="AA39" s="41"/>
      <c r="AB39" s="4"/>
      <c r="AC39" s="18" t="s">
        <v>45</v>
      </c>
      <c r="AD39" s="4"/>
      <c r="AE39" s="4"/>
      <c r="AF39" s="4"/>
      <c r="AG39" s="4"/>
    </row>
    <row r="40" spans="1:33" s="3" customFormat="1" ht="15" customHeight="1" thickBot="1">
      <c r="A40" s="1"/>
      <c r="C40" s="161" t="s">
        <v>46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2"/>
      <c r="Q40" s="69">
        <f t="shared" si="10"/>
        <v>513500</v>
      </c>
      <c r="R40" s="64">
        <f t="shared" si="12"/>
        <v>405665</v>
      </c>
      <c r="S40" s="41"/>
      <c r="T40" s="84">
        <v>283965</v>
      </c>
      <c r="U40" s="84"/>
      <c r="V40" s="84">
        <v>121700</v>
      </c>
      <c r="W40" s="84"/>
      <c r="X40" s="83">
        <f t="shared" si="13"/>
        <v>405665</v>
      </c>
      <c r="Y40" s="39"/>
      <c r="Z40" s="74">
        <f t="shared" si="11"/>
        <v>107835</v>
      </c>
      <c r="AA40" s="41">
        <v>107835</v>
      </c>
      <c r="AB40" s="4"/>
      <c r="AC40" s="18" t="s">
        <v>47</v>
      </c>
      <c r="AD40" s="4"/>
      <c r="AE40" s="4"/>
      <c r="AF40" s="4"/>
      <c r="AG40" s="4"/>
    </row>
    <row r="41" spans="1:33" s="3" customFormat="1" ht="15" customHeight="1" thickBot="1">
      <c r="A41" s="1"/>
      <c r="C41" s="161" t="s">
        <v>48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2"/>
      <c r="Q41" s="69">
        <f t="shared" si="10"/>
        <v>0</v>
      </c>
      <c r="R41" s="64">
        <f t="shared" si="12"/>
        <v>0</v>
      </c>
      <c r="S41" s="41"/>
      <c r="T41" s="84"/>
      <c r="U41" s="84"/>
      <c r="V41" s="84"/>
      <c r="W41" s="84"/>
      <c r="X41" s="83">
        <f t="shared" si="13"/>
        <v>0</v>
      </c>
      <c r="Y41" s="39"/>
      <c r="Z41" s="74">
        <f t="shared" si="11"/>
        <v>0</v>
      </c>
      <c r="AA41" s="41"/>
      <c r="AB41" s="4"/>
      <c r="AC41" s="18" t="s">
        <v>49</v>
      </c>
      <c r="AD41" s="4"/>
      <c r="AE41" s="4"/>
      <c r="AF41" s="4"/>
      <c r="AG41" s="4"/>
    </row>
    <row r="42" spans="1:33" s="3" customFormat="1" ht="15" customHeight="1" thickBot="1">
      <c r="A42" s="1"/>
      <c r="C42" s="163" t="s">
        <v>50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4"/>
      <c r="Q42" s="69">
        <f t="shared" si="10"/>
        <v>20000</v>
      </c>
      <c r="R42" s="64">
        <f t="shared" si="12"/>
        <v>15800</v>
      </c>
      <c r="S42" s="41">
        <v>15800</v>
      </c>
      <c r="T42" s="84"/>
      <c r="U42" s="84"/>
      <c r="V42" s="84"/>
      <c r="W42" s="84"/>
      <c r="X42" s="83">
        <f t="shared" si="13"/>
        <v>15800</v>
      </c>
      <c r="Y42" s="39"/>
      <c r="Z42" s="74">
        <f t="shared" si="11"/>
        <v>4200</v>
      </c>
      <c r="AA42" s="41">
        <v>4200</v>
      </c>
      <c r="AB42" s="4"/>
      <c r="AC42" s="4"/>
      <c r="AD42" s="4"/>
      <c r="AE42" s="4"/>
      <c r="AF42" s="4"/>
      <c r="AG42" s="4"/>
    </row>
    <row r="43" spans="1:33" s="3" customFormat="1" ht="15" customHeight="1" thickBot="1">
      <c r="A43" s="1"/>
      <c r="C43" s="161" t="s">
        <v>51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2"/>
      <c r="Q43" s="69">
        <f t="shared" si="10"/>
        <v>15000</v>
      </c>
      <c r="R43" s="64">
        <f t="shared" si="12"/>
        <v>11850</v>
      </c>
      <c r="S43" s="41"/>
      <c r="T43" s="84">
        <v>11850</v>
      </c>
      <c r="U43" s="84"/>
      <c r="V43" s="84"/>
      <c r="W43" s="84"/>
      <c r="X43" s="83">
        <f t="shared" si="13"/>
        <v>11850</v>
      </c>
      <c r="Y43" s="39"/>
      <c r="Z43" s="74">
        <f t="shared" si="11"/>
        <v>3150</v>
      </c>
      <c r="AA43" s="41">
        <v>3150</v>
      </c>
      <c r="AB43" s="4"/>
      <c r="AC43" s="22"/>
      <c r="AD43" s="4"/>
      <c r="AE43" s="18"/>
      <c r="AF43" s="4"/>
      <c r="AG43" s="18"/>
    </row>
    <row r="44" spans="1:37" s="3" customFormat="1" ht="15" customHeight="1" thickBot="1">
      <c r="A44" s="1"/>
      <c r="C44" s="161" t="s">
        <v>52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2"/>
      <c r="Q44" s="69">
        <f t="shared" si="10"/>
        <v>15000</v>
      </c>
      <c r="R44" s="64">
        <f t="shared" si="12"/>
        <v>11850</v>
      </c>
      <c r="S44" s="41"/>
      <c r="T44" s="84">
        <v>11850</v>
      </c>
      <c r="U44" s="84"/>
      <c r="V44" s="84"/>
      <c r="W44" s="84"/>
      <c r="X44" s="83">
        <f t="shared" si="13"/>
        <v>11850</v>
      </c>
      <c r="Y44" s="39"/>
      <c r="Z44" s="74">
        <f t="shared" si="11"/>
        <v>3150</v>
      </c>
      <c r="AA44" s="41">
        <v>3150</v>
      </c>
      <c r="AB44" s="4"/>
      <c r="AC44" s="22"/>
      <c r="AD44" s="4"/>
      <c r="AE44" s="18"/>
      <c r="AF44" s="4"/>
      <c r="AG44" s="18"/>
      <c r="AK44" s="13"/>
    </row>
    <row r="45" spans="1:33" s="3" customFormat="1" ht="15" customHeight="1" thickBot="1">
      <c r="A45" s="1"/>
      <c r="C45" s="161" t="s">
        <v>53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2"/>
      <c r="Q45" s="69">
        <f t="shared" si="10"/>
        <v>14779</v>
      </c>
      <c r="R45" s="64">
        <f t="shared" si="12"/>
        <v>9750</v>
      </c>
      <c r="S45" s="41"/>
      <c r="T45" s="84">
        <v>9750</v>
      </c>
      <c r="U45" s="84"/>
      <c r="V45" s="84"/>
      <c r="W45" s="84"/>
      <c r="X45" s="83">
        <f t="shared" si="13"/>
        <v>9750</v>
      </c>
      <c r="Y45" s="39"/>
      <c r="Z45" s="74">
        <f t="shared" si="11"/>
        <v>5029</v>
      </c>
      <c r="AA45" s="41">
        <v>5029</v>
      </c>
      <c r="AB45" s="4"/>
      <c r="AC45" s="18"/>
      <c r="AD45" s="4"/>
      <c r="AE45" s="4"/>
      <c r="AF45" s="4"/>
      <c r="AG45" s="4"/>
    </row>
    <row r="46" spans="1:33" s="3" customFormat="1" ht="15" customHeight="1" thickBot="1">
      <c r="A46" s="1"/>
      <c r="C46" s="163" t="s">
        <v>54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4"/>
      <c r="Q46" s="69">
        <f>R46</f>
        <v>741320</v>
      </c>
      <c r="R46" s="64">
        <f t="shared" si="12"/>
        <v>741320</v>
      </c>
      <c r="S46" s="41"/>
      <c r="T46" s="84"/>
      <c r="U46" s="84"/>
      <c r="V46" s="84">
        <v>741320</v>
      </c>
      <c r="W46" s="84"/>
      <c r="X46" s="83">
        <f t="shared" si="13"/>
        <v>741320</v>
      </c>
      <c r="Y46" s="39"/>
      <c r="Z46" s="74">
        <f t="shared" si="11"/>
        <v>0</v>
      </c>
      <c r="AA46" s="41"/>
      <c r="AB46" s="4"/>
      <c r="AC46" s="4"/>
      <c r="AD46" s="4"/>
      <c r="AE46" s="4"/>
      <c r="AF46" s="4"/>
      <c r="AG46" s="4"/>
    </row>
    <row r="47" spans="1:33" s="3" customFormat="1" ht="15" customHeight="1" thickBot="1">
      <c r="A47" s="1"/>
      <c r="C47" s="163" t="s">
        <v>55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4"/>
      <c r="Q47" s="69">
        <v>169700</v>
      </c>
      <c r="R47" s="64">
        <f t="shared" si="12"/>
        <v>0</v>
      </c>
      <c r="S47" s="41"/>
      <c r="T47" s="84"/>
      <c r="U47" s="84"/>
      <c r="V47" s="84"/>
      <c r="W47" s="84"/>
      <c r="X47" s="83">
        <f t="shared" si="13"/>
        <v>0</v>
      </c>
      <c r="Y47" s="39"/>
      <c r="Z47" s="74">
        <v>169700</v>
      </c>
      <c r="AA47" s="41">
        <v>169700</v>
      </c>
      <c r="AB47" s="4"/>
      <c r="AC47" s="18"/>
      <c r="AD47" s="4"/>
      <c r="AE47" s="4"/>
      <c r="AF47" s="4"/>
      <c r="AG47" s="4"/>
    </row>
    <row r="48" spans="1:33" s="3" customFormat="1" ht="15" customHeight="1" thickBot="1">
      <c r="A48" s="1"/>
      <c r="C48" s="163" t="s">
        <v>56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4"/>
      <c r="Q48" s="69">
        <f>R48+Z48</f>
        <v>117000</v>
      </c>
      <c r="R48" s="64">
        <f t="shared" si="12"/>
        <v>69500</v>
      </c>
      <c r="S48" s="85"/>
      <c r="T48" s="86"/>
      <c r="U48" s="86"/>
      <c r="V48" s="86">
        <v>69500</v>
      </c>
      <c r="W48" s="86"/>
      <c r="X48" s="83">
        <f t="shared" si="13"/>
        <v>69500</v>
      </c>
      <c r="Y48" s="39"/>
      <c r="Z48" s="74">
        <f>SUM(AA48:AA48)</f>
        <v>47500</v>
      </c>
      <c r="AA48" s="85">
        <f>17500+30000</f>
        <v>47500</v>
      </c>
      <c r="AB48" s="4"/>
      <c r="AC48" s="18" t="s">
        <v>57</v>
      </c>
      <c r="AD48" s="4"/>
      <c r="AE48" s="4"/>
      <c r="AF48" s="4"/>
      <c r="AG48" s="22">
        <v>60000</v>
      </c>
    </row>
    <row r="49" spans="1:37" s="3" customFormat="1" ht="15" customHeight="1" thickBot="1">
      <c r="A49" s="1"/>
      <c r="C49" s="87" t="s">
        <v>58</v>
      </c>
      <c r="D49" s="87"/>
      <c r="E49" s="87"/>
      <c r="F49" s="87"/>
      <c r="G49" s="87"/>
      <c r="H49" s="87"/>
      <c r="I49" s="87"/>
      <c r="J49" s="87"/>
      <c r="K49" s="88" t="s">
        <v>59</v>
      </c>
      <c r="L49" s="87"/>
      <c r="M49" s="87"/>
      <c r="N49" s="87"/>
      <c r="O49" s="87"/>
      <c r="P49" s="89"/>
      <c r="Q49" s="90">
        <f>0.1*(Q40+Q42+Q43+Q44+Q45+Q48)</f>
        <v>69527.90000000001</v>
      </c>
      <c r="R49" s="64">
        <f t="shared" si="12"/>
        <v>57192</v>
      </c>
      <c r="S49" s="85">
        <v>57192</v>
      </c>
      <c r="T49" s="86"/>
      <c r="U49" s="86"/>
      <c r="V49" s="86"/>
      <c r="W49" s="86"/>
      <c r="X49" s="83">
        <f t="shared" si="13"/>
        <v>57192</v>
      </c>
      <c r="Y49" s="39"/>
      <c r="Z49" s="74">
        <f>0.1*(Z40+Z42+Z43+Z44+Z45)</f>
        <v>12336.400000000001</v>
      </c>
      <c r="AA49" s="85">
        <v>12336</v>
      </c>
      <c r="AB49" s="4"/>
      <c r="AC49" s="18" t="s">
        <v>60</v>
      </c>
      <c r="AD49" s="4"/>
      <c r="AE49" s="4"/>
      <c r="AF49" s="4"/>
      <c r="AG49" s="22">
        <v>22000</v>
      </c>
      <c r="AK49" s="13"/>
    </row>
    <row r="50" spans="1:33" s="3" customFormat="1" ht="15" customHeight="1">
      <c r="A50" s="1"/>
      <c r="C50" s="42" t="s">
        <v>22</v>
      </c>
      <c r="D50" s="42"/>
      <c r="E50" s="169"/>
      <c r="F50" s="170"/>
      <c r="G50" s="170"/>
      <c r="H50" s="170"/>
      <c r="I50" s="170"/>
      <c r="J50" s="170"/>
      <c r="K50" s="170"/>
      <c r="L50" s="170"/>
      <c r="M50" s="170"/>
      <c r="N50" s="170"/>
      <c r="O50" s="171"/>
      <c r="P50" s="43"/>
      <c r="Q50" s="77">
        <f>R50+Z50</f>
        <v>0</v>
      </c>
      <c r="R50" s="64">
        <f t="shared" si="12"/>
        <v>0</v>
      </c>
      <c r="S50" s="48"/>
      <c r="T50" s="91"/>
      <c r="U50" s="91"/>
      <c r="V50" s="91"/>
      <c r="W50" s="91"/>
      <c r="X50" s="83">
        <f t="shared" si="13"/>
        <v>0</v>
      </c>
      <c r="Y50" s="39"/>
      <c r="Z50" s="80">
        <f>SUM(AA50:AA50)</f>
        <v>0</v>
      </c>
      <c r="AA50" s="48"/>
      <c r="AB50" s="4"/>
      <c r="AC50" s="18" t="s">
        <v>61</v>
      </c>
      <c r="AD50" s="4"/>
      <c r="AE50" s="4"/>
      <c r="AF50" s="4"/>
      <c r="AG50" s="22">
        <v>35000</v>
      </c>
    </row>
    <row r="51" spans="1:33" s="3" customFormat="1" ht="15" customHeight="1" thickBot="1">
      <c r="A51" s="1"/>
      <c r="C51" s="49"/>
      <c r="D51" s="49"/>
      <c r="F51" s="4"/>
      <c r="G51" s="4"/>
      <c r="H51" s="4"/>
      <c r="I51" s="4"/>
      <c r="J51" s="4"/>
      <c r="K51" s="4"/>
      <c r="L51" s="4"/>
      <c r="M51" s="153" t="s">
        <v>23</v>
      </c>
      <c r="N51" s="153"/>
      <c r="O51" s="153"/>
      <c r="P51" s="154"/>
      <c r="Q51" s="50">
        <f aca="true" t="shared" si="14" ref="Q51:X51">SUM(Q38:Q50)</f>
        <v>1706826.9</v>
      </c>
      <c r="R51" s="51">
        <f>SUM(R38:R50)</f>
        <v>1353927</v>
      </c>
      <c r="S51" s="52">
        <f t="shared" si="14"/>
        <v>78992</v>
      </c>
      <c r="T51" s="53">
        <f t="shared" si="14"/>
        <v>342415</v>
      </c>
      <c r="U51" s="53">
        <f t="shared" si="14"/>
        <v>0</v>
      </c>
      <c r="V51" s="53">
        <f t="shared" si="14"/>
        <v>932520</v>
      </c>
      <c r="W51" s="53">
        <f t="shared" si="14"/>
        <v>0</v>
      </c>
      <c r="X51" s="53">
        <f t="shared" si="14"/>
        <v>1353927</v>
      </c>
      <c r="Y51" s="54"/>
      <c r="Z51" s="55">
        <f>SUM(Z38:Z50)</f>
        <v>352900.4</v>
      </c>
      <c r="AA51" s="52">
        <f>SUM(AA38:AA50)</f>
        <v>352900</v>
      </c>
      <c r="AB51" s="4"/>
      <c r="AC51" s="4"/>
      <c r="AD51" s="4"/>
      <c r="AE51" s="4"/>
      <c r="AF51" s="4"/>
      <c r="AG51" s="22">
        <f>SUM(AG48:AG50)</f>
        <v>117000</v>
      </c>
    </row>
    <row r="52" spans="1:33" s="3" customFormat="1" ht="3.75" customHeight="1" thickBot="1">
      <c r="A52" s="92"/>
      <c r="B52" s="93"/>
      <c r="C52" s="93"/>
      <c r="D52" s="93"/>
      <c r="E52" s="94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  <c r="R52" s="97"/>
      <c r="S52" s="98"/>
      <c r="T52" s="99"/>
      <c r="U52" s="99"/>
      <c r="V52" s="99"/>
      <c r="W52" s="100"/>
      <c r="X52" s="99"/>
      <c r="Y52" s="101"/>
      <c r="Z52" s="102"/>
      <c r="AA52" s="98"/>
      <c r="AB52" s="4"/>
      <c r="AC52" s="4"/>
      <c r="AD52" s="4"/>
      <c r="AE52" s="4"/>
      <c r="AF52" s="4"/>
      <c r="AG52" s="4"/>
    </row>
    <row r="53" spans="1:33" s="3" customFormat="1" ht="15" customHeight="1" thickBot="1">
      <c r="A53" s="1"/>
      <c r="B53" s="25" t="s">
        <v>62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26"/>
      <c r="V53" s="27"/>
      <c r="W53" s="28"/>
      <c r="X53" s="28"/>
      <c r="Y53" s="21"/>
      <c r="AA53" s="28"/>
      <c r="AB53" s="4"/>
      <c r="AC53" s="18"/>
      <c r="AD53" s="4"/>
      <c r="AE53" s="4"/>
      <c r="AF53" s="4"/>
      <c r="AG53" s="103"/>
    </row>
    <row r="54" spans="1:33" s="3" customFormat="1" ht="15" customHeight="1" thickBot="1">
      <c r="A54" s="1"/>
      <c r="C54" s="165" t="s">
        <v>63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6"/>
      <c r="Q54" s="63">
        <f>R54+Z54</f>
        <v>100000</v>
      </c>
      <c r="R54" s="104">
        <f>SUM(S54:W54)</f>
        <v>100000</v>
      </c>
      <c r="S54" s="35"/>
      <c r="T54" s="83">
        <v>100000</v>
      </c>
      <c r="U54" s="83"/>
      <c r="V54" s="83"/>
      <c r="W54" s="83"/>
      <c r="X54" s="83">
        <f>SUM(S54:W54)</f>
        <v>100000</v>
      </c>
      <c r="Y54" s="33"/>
      <c r="Z54" s="67">
        <f>SUM(AA54:AA54)</f>
        <v>0</v>
      </c>
      <c r="AA54" s="35"/>
      <c r="AB54" s="4"/>
      <c r="AC54" s="18"/>
      <c r="AD54" s="4"/>
      <c r="AE54" s="4"/>
      <c r="AF54" s="4"/>
      <c r="AG54" s="22"/>
    </row>
    <row r="55" spans="1:33" s="3" customFormat="1" ht="15" customHeight="1">
      <c r="A55" s="1"/>
      <c r="C55" s="161" t="s">
        <v>64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2"/>
      <c r="Q55" s="77">
        <f>R55+Z55</f>
        <v>0</v>
      </c>
      <c r="R55" s="105">
        <f>SUM(S55:X55)</f>
        <v>0</v>
      </c>
      <c r="S55" s="106"/>
      <c r="T55" s="107"/>
      <c r="U55" s="107"/>
      <c r="V55" s="107"/>
      <c r="W55" s="107"/>
      <c r="X55" s="83">
        <f>SUM(S55:W55)</f>
        <v>0</v>
      </c>
      <c r="Y55" s="39"/>
      <c r="Z55" s="80">
        <f>SUM(AA55:AA55)</f>
        <v>0</v>
      </c>
      <c r="AA55" s="106"/>
      <c r="AB55" s="4"/>
      <c r="AC55" s="4"/>
      <c r="AD55" s="4"/>
      <c r="AE55" s="4"/>
      <c r="AF55" s="4"/>
      <c r="AG55" s="4"/>
    </row>
    <row r="56" spans="1:33" s="3" customFormat="1" ht="15" customHeight="1" thickBot="1">
      <c r="A56" s="1"/>
      <c r="C56" s="49"/>
      <c r="D56" s="49"/>
      <c r="F56" s="4"/>
      <c r="G56" s="4"/>
      <c r="H56" s="4"/>
      <c r="I56" s="16">
        <f>Q48-117000</f>
        <v>0</v>
      </c>
      <c r="J56" s="4"/>
      <c r="K56" s="4"/>
      <c r="M56" s="153" t="s">
        <v>23</v>
      </c>
      <c r="N56" s="153"/>
      <c r="O56" s="153"/>
      <c r="P56" s="154"/>
      <c r="Q56" s="50">
        <f aca="true" t="shared" si="15" ref="Q56:X56">SUM(Q54:Q55)</f>
        <v>100000</v>
      </c>
      <c r="R56" s="51">
        <f t="shared" si="15"/>
        <v>100000</v>
      </c>
      <c r="S56" s="52">
        <f t="shared" si="15"/>
        <v>0</v>
      </c>
      <c r="T56" s="53">
        <f t="shared" si="15"/>
        <v>100000</v>
      </c>
      <c r="U56" s="53">
        <f t="shared" si="15"/>
        <v>0</v>
      </c>
      <c r="V56" s="53">
        <f t="shared" si="15"/>
        <v>0</v>
      </c>
      <c r="W56" s="53">
        <f t="shared" si="15"/>
        <v>0</v>
      </c>
      <c r="X56" s="53">
        <f t="shared" si="15"/>
        <v>100000</v>
      </c>
      <c r="Y56" s="54"/>
      <c r="Z56" s="55">
        <f>SUM(Z54:Z55)</f>
        <v>0</v>
      </c>
      <c r="AA56" s="52">
        <f>SUM(AA54:AA55)</f>
        <v>0</v>
      </c>
      <c r="AB56" s="4"/>
      <c r="AC56" s="4"/>
      <c r="AD56" s="4"/>
      <c r="AE56" s="4"/>
      <c r="AF56" s="4"/>
      <c r="AG56" s="4"/>
    </row>
    <row r="57" spans="1:33" s="3" customFormat="1" ht="15" customHeight="1">
      <c r="A57" s="1"/>
      <c r="B57" s="49"/>
      <c r="C57" s="108"/>
      <c r="D57" s="108"/>
      <c r="E57" s="4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S57" s="58"/>
      <c r="T57" s="58"/>
      <c r="U57" s="58"/>
      <c r="V57" s="58"/>
      <c r="W57" s="6"/>
      <c r="X57" s="58"/>
      <c r="Y57" s="39"/>
      <c r="Z57" s="59"/>
      <c r="AA57" s="58"/>
      <c r="AB57" s="4"/>
      <c r="AC57" s="4"/>
      <c r="AD57" s="4"/>
      <c r="AE57" s="18"/>
      <c r="AF57" s="4"/>
      <c r="AG57" s="22"/>
    </row>
    <row r="58" spans="1:33" s="3" customFormat="1" ht="15" customHeight="1" thickBot="1">
      <c r="A58" s="1"/>
      <c r="B58" s="25" t="s">
        <v>65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6"/>
      <c r="V58" s="27"/>
      <c r="W58" s="28"/>
      <c r="X58" s="28"/>
      <c r="Y58" s="21"/>
      <c r="AA58" s="28"/>
      <c r="AB58" s="4"/>
      <c r="AC58" s="4"/>
      <c r="AD58" s="4"/>
      <c r="AE58" s="18"/>
      <c r="AF58" s="4"/>
      <c r="AG58" s="22"/>
    </row>
    <row r="59" spans="1:33" s="3" customFormat="1" ht="15" customHeight="1" thickBot="1">
      <c r="A59" s="1"/>
      <c r="C59" s="165" t="s">
        <v>66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6"/>
      <c r="Q59" s="63">
        <f>R59+Z59</f>
        <v>54000</v>
      </c>
      <c r="R59" s="64">
        <f>SUM(S59:W59)</f>
        <v>54000</v>
      </c>
      <c r="S59" s="35">
        <v>54000</v>
      </c>
      <c r="T59" s="83"/>
      <c r="U59" s="83"/>
      <c r="V59" s="83"/>
      <c r="W59" s="83"/>
      <c r="X59" s="83">
        <f>SUM(S59:W59)</f>
        <v>54000</v>
      </c>
      <c r="Y59" s="33"/>
      <c r="Z59" s="67">
        <f>SUM(AA59:AA59)</f>
        <v>0</v>
      </c>
      <c r="AA59" s="35"/>
      <c r="AB59" s="4"/>
      <c r="AC59" s="4"/>
      <c r="AD59" s="4"/>
      <c r="AE59" s="18"/>
      <c r="AF59" s="4"/>
      <c r="AG59" s="22"/>
    </row>
    <row r="60" spans="1:33" s="3" customFormat="1" ht="15" customHeight="1" thickBot="1">
      <c r="A60" s="1"/>
      <c r="C60" s="161" t="s">
        <v>67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2"/>
      <c r="Q60" s="69">
        <f>R60+Z60</f>
        <v>35000</v>
      </c>
      <c r="R60" s="64">
        <f aca="true" t="shared" si="16" ref="R60:R63">SUM(S60:W60)</f>
        <v>35000</v>
      </c>
      <c r="S60" s="41">
        <v>35000</v>
      </c>
      <c r="T60" s="84"/>
      <c r="U60" s="84"/>
      <c r="V60" s="84"/>
      <c r="W60" s="84"/>
      <c r="X60" s="83">
        <f aca="true" t="shared" si="17" ref="X60:X63">SUM(S60:W60)</f>
        <v>35000</v>
      </c>
      <c r="Y60" s="39"/>
      <c r="Z60" s="74">
        <f>SUM(AA60:AA60)</f>
        <v>0</v>
      </c>
      <c r="AA60" s="41"/>
      <c r="AB60" s="4"/>
      <c r="AC60" s="4"/>
      <c r="AD60" s="4"/>
      <c r="AE60" s="4"/>
      <c r="AF60" s="4"/>
      <c r="AG60" s="4"/>
    </row>
    <row r="61" spans="1:33" s="3" customFormat="1" ht="15" customHeight="1" thickBot="1">
      <c r="A61" s="1"/>
      <c r="C61" s="161" t="s">
        <v>68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2"/>
      <c r="Q61" s="69">
        <f>R61+Z61</f>
        <v>40000</v>
      </c>
      <c r="R61" s="64">
        <f t="shared" si="16"/>
        <v>40000</v>
      </c>
      <c r="S61" s="41">
        <v>40000</v>
      </c>
      <c r="T61" s="84"/>
      <c r="U61" s="84"/>
      <c r="V61" s="84"/>
      <c r="W61" s="84"/>
      <c r="X61" s="83">
        <f t="shared" si="17"/>
        <v>40000</v>
      </c>
      <c r="Y61" s="39"/>
      <c r="Z61" s="74">
        <f>SUM(AA61:AA61)</f>
        <v>0</v>
      </c>
      <c r="AA61" s="41"/>
      <c r="AB61" s="4"/>
      <c r="AC61" s="4"/>
      <c r="AD61" s="4"/>
      <c r="AE61" s="4"/>
      <c r="AF61" s="4"/>
      <c r="AG61" s="4"/>
    </row>
    <row r="62" spans="1:33" s="3" customFormat="1" ht="15" customHeight="1" thickBot="1">
      <c r="A62" s="1"/>
      <c r="C62" s="161" t="s">
        <v>69</v>
      </c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2"/>
      <c r="Q62" s="69">
        <f>R62+Z62</f>
        <v>120000</v>
      </c>
      <c r="R62" s="64">
        <f t="shared" si="16"/>
        <v>120000</v>
      </c>
      <c r="S62" s="41"/>
      <c r="T62" s="84"/>
      <c r="U62" s="84"/>
      <c r="V62" s="84">
        <v>120000</v>
      </c>
      <c r="W62" s="84"/>
      <c r="X62" s="83">
        <f t="shared" si="17"/>
        <v>120000</v>
      </c>
      <c r="Y62" s="39"/>
      <c r="Z62" s="74">
        <f>SUM(AA62:AA62)</f>
        <v>0</v>
      </c>
      <c r="AA62" s="41"/>
      <c r="AB62" s="4"/>
      <c r="AC62" s="4"/>
      <c r="AD62" s="4"/>
      <c r="AE62" s="18"/>
      <c r="AF62" s="4"/>
      <c r="AG62" s="4"/>
    </row>
    <row r="63" spans="1:33" s="3" customFormat="1" ht="15" customHeight="1">
      <c r="A63" s="1"/>
      <c r="C63" s="161" t="s">
        <v>70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2"/>
      <c r="Q63" s="77">
        <f>R63+Z63</f>
        <v>60000</v>
      </c>
      <c r="R63" s="64">
        <f t="shared" si="16"/>
        <v>60000</v>
      </c>
      <c r="S63" s="106"/>
      <c r="T63" s="107"/>
      <c r="U63" s="107"/>
      <c r="V63" s="107">
        <v>60000</v>
      </c>
      <c r="W63" s="107"/>
      <c r="X63" s="83">
        <f t="shared" si="17"/>
        <v>60000</v>
      </c>
      <c r="Y63" s="39"/>
      <c r="Z63" s="80">
        <f>SUM(AA63:AA63)</f>
        <v>0</v>
      </c>
      <c r="AA63" s="106">
        <v>0</v>
      </c>
      <c r="AB63" s="4"/>
      <c r="AC63" s="4"/>
      <c r="AD63" s="4"/>
      <c r="AE63" s="18"/>
      <c r="AF63" s="4"/>
      <c r="AG63" s="4"/>
    </row>
    <row r="64" spans="1:33" s="3" customFormat="1" ht="15" customHeight="1" thickBot="1">
      <c r="A64" s="1"/>
      <c r="C64" s="49"/>
      <c r="D64" s="49"/>
      <c r="F64" s="4"/>
      <c r="G64" s="4"/>
      <c r="H64" s="4"/>
      <c r="I64" s="4"/>
      <c r="J64" s="4"/>
      <c r="K64" s="4"/>
      <c r="L64" s="4"/>
      <c r="M64" s="153" t="s">
        <v>23</v>
      </c>
      <c r="N64" s="153"/>
      <c r="O64" s="153"/>
      <c r="P64" s="154"/>
      <c r="Q64" s="50">
        <f aca="true" t="shared" si="18" ref="Q64:X64">SUM(Q59:Q63)</f>
        <v>309000</v>
      </c>
      <c r="R64" s="51">
        <f>SUM(R59:R63)</f>
        <v>309000</v>
      </c>
      <c r="S64" s="52">
        <f t="shared" si="18"/>
        <v>129000</v>
      </c>
      <c r="T64" s="53">
        <f t="shared" si="18"/>
        <v>0</v>
      </c>
      <c r="U64" s="53">
        <f t="shared" si="18"/>
        <v>0</v>
      </c>
      <c r="V64" s="53">
        <f t="shared" si="18"/>
        <v>180000</v>
      </c>
      <c r="W64" s="53">
        <f t="shared" si="18"/>
        <v>0</v>
      </c>
      <c r="X64" s="53">
        <f t="shared" si="18"/>
        <v>309000</v>
      </c>
      <c r="Y64" s="54"/>
      <c r="Z64" s="55">
        <f>SUM(Z59:Z63)</f>
        <v>0</v>
      </c>
      <c r="AA64" s="52">
        <f>SUM(AA59:AA63)</f>
        <v>0</v>
      </c>
      <c r="AB64" s="4"/>
      <c r="AC64" s="4"/>
      <c r="AD64" s="4"/>
      <c r="AE64" s="4"/>
      <c r="AF64" s="4"/>
      <c r="AG64" s="4"/>
    </row>
    <row r="65" spans="1:33" s="3" customFormat="1" ht="3.75" customHeight="1">
      <c r="A65" s="1"/>
      <c r="B65" s="49"/>
      <c r="C65" s="108"/>
      <c r="D65" s="108"/>
      <c r="E65" s="4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57"/>
      <c r="R65" s="109"/>
      <c r="S65" s="110"/>
      <c r="T65" s="110"/>
      <c r="U65" s="110"/>
      <c r="V65" s="110"/>
      <c r="W65" s="111"/>
      <c r="X65" s="110"/>
      <c r="Y65" s="33"/>
      <c r="Z65" s="112"/>
      <c r="AA65" s="110"/>
      <c r="AB65" s="4"/>
      <c r="AC65" s="4"/>
      <c r="AD65" s="4"/>
      <c r="AE65" s="4"/>
      <c r="AF65" s="4"/>
      <c r="AG65" s="4"/>
    </row>
    <row r="66" spans="1:33" s="3" customFormat="1" ht="15" customHeight="1" thickBot="1">
      <c r="A66" s="1"/>
      <c r="B66" s="25" t="s">
        <v>71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6"/>
      <c r="R66" s="26"/>
      <c r="S66" s="58"/>
      <c r="T66" s="58"/>
      <c r="U66" s="58"/>
      <c r="V66" s="58"/>
      <c r="W66" s="6"/>
      <c r="X66" s="58"/>
      <c r="Y66" s="39"/>
      <c r="Z66" s="59"/>
      <c r="AA66" s="58"/>
      <c r="AB66" s="4"/>
      <c r="AC66" s="4"/>
      <c r="AD66" s="4"/>
      <c r="AE66" s="4"/>
      <c r="AF66" s="4"/>
      <c r="AG66" s="4"/>
    </row>
    <row r="67" spans="1:33" s="3" customFormat="1" ht="15" customHeight="1" thickBot="1">
      <c r="A67" s="1"/>
      <c r="C67" s="165" t="s">
        <v>72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6"/>
      <c r="Q67" s="63">
        <f aca="true" t="shared" si="19" ref="Q67:Q74">R67+Z67</f>
        <v>0</v>
      </c>
      <c r="R67" s="104">
        <f aca="true" t="shared" si="20" ref="R67:R69">SUM(S67:X67)</f>
        <v>0</v>
      </c>
      <c r="S67" s="35"/>
      <c r="T67" s="83"/>
      <c r="U67" s="83"/>
      <c r="V67" s="83"/>
      <c r="W67" s="83"/>
      <c r="X67" s="83">
        <f>SUM(S67:W67)</f>
        <v>0</v>
      </c>
      <c r="Y67" s="33"/>
      <c r="Z67" s="67">
        <f aca="true" t="shared" si="21" ref="Z67:Z74">SUM(AA67:AA67)</f>
        <v>0</v>
      </c>
      <c r="AA67" s="35"/>
      <c r="AB67" s="4"/>
      <c r="AC67" s="4"/>
      <c r="AD67" s="4"/>
      <c r="AE67" s="4"/>
      <c r="AF67" s="4"/>
      <c r="AG67" s="4"/>
    </row>
    <row r="68" spans="1:33" s="3" customFormat="1" ht="15" customHeight="1" thickBot="1">
      <c r="A68" s="1"/>
      <c r="C68" s="161" t="s">
        <v>73</v>
      </c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2"/>
      <c r="Q68" s="69">
        <f t="shared" si="19"/>
        <v>0</v>
      </c>
      <c r="R68" s="113">
        <f t="shared" si="20"/>
        <v>0</v>
      </c>
      <c r="S68" s="41"/>
      <c r="T68" s="84"/>
      <c r="U68" s="84"/>
      <c r="V68" s="84"/>
      <c r="W68" s="84"/>
      <c r="X68" s="83">
        <f aca="true" t="shared" si="22" ref="X68:X74">SUM(S68:W68)</f>
        <v>0</v>
      </c>
      <c r="Y68" s="39"/>
      <c r="Z68" s="74">
        <f t="shared" si="21"/>
        <v>0</v>
      </c>
      <c r="AA68" s="41"/>
      <c r="AB68" s="4"/>
      <c r="AC68" s="4"/>
      <c r="AD68" s="4"/>
      <c r="AE68" s="4"/>
      <c r="AF68" s="4"/>
      <c r="AG68" s="4"/>
    </row>
    <row r="69" spans="1:33" s="3" customFormat="1" ht="15" customHeight="1" thickBot="1">
      <c r="A69" s="1"/>
      <c r="C69" s="161" t="s">
        <v>74</v>
      </c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2"/>
      <c r="Q69" s="69">
        <f t="shared" si="19"/>
        <v>0</v>
      </c>
      <c r="R69" s="113">
        <f t="shared" si="20"/>
        <v>0</v>
      </c>
      <c r="S69" s="41"/>
      <c r="T69" s="84"/>
      <c r="U69" s="84"/>
      <c r="V69" s="84"/>
      <c r="W69" s="84"/>
      <c r="X69" s="83">
        <f t="shared" si="22"/>
        <v>0</v>
      </c>
      <c r="Y69" s="39"/>
      <c r="Z69" s="74">
        <f t="shared" si="21"/>
        <v>0</v>
      </c>
      <c r="AA69" s="41"/>
      <c r="AB69" s="4"/>
      <c r="AC69" s="4"/>
      <c r="AD69" s="4"/>
      <c r="AE69" s="4"/>
      <c r="AF69" s="4"/>
      <c r="AG69" s="4"/>
    </row>
    <row r="70" spans="1:33" s="3" customFormat="1" ht="15" customHeight="1" thickBot="1">
      <c r="A70" s="1"/>
      <c r="C70" s="163" t="s">
        <v>75</v>
      </c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4"/>
      <c r="Q70" s="69">
        <f t="shared" si="19"/>
        <v>93310</v>
      </c>
      <c r="R70" s="113">
        <f>SUM(S70:W70)</f>
        <v>93310</v>
      </c>
      <c r="S70" s="41">
        <f>46655+2399</f>
        <v>49054</v>
      </c>
      <c r="T70" s="84"/>
      <c r="U70" s="84"/>
      <c r="V70" s="84">
        <f>93310-S70</f>
        <v>44256</v>
      </c>
      <c r="W70" s="84"/>
      <c r="X70" s="83">
        <f t="shared" si="22"/>
        <v>93310</v>
      </c>
      <c r="Y70" s="39"/>
      <c r="Z70" s="74">
        <f t="shared" si="21"/>
        <v>0</v>
      </c>
      <c r="AA70" s="41"/>
      <c r="AB70" s="4"/>
      <c r="AC70" s="22"/>
      <c r="AD70" s="4"/>
      <c r="AE70" s="22"/>
      <c r="AF70" s="4"/>
      <c r="AG70" s="22"/>
    </row>
    <row r="71" spans="1:33" s="3" customFormat="1" ht="15" customHeight="1" thickBot="1">
      <c r="A71" s="1"/>
      <c r="C71" s="163" t="s">
        <v>76</v>
      </c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4"/>
      <c r="Q71" s="69">
        <f t="shared" si="19"/>
        <v>80000</v>
      </c>
      <c r="R71" s="113">
        <f aca="true" t="shared" si="23" ref="R71:R74">SUM(S71:W71)</f>
        <v>80000</v>
      </c>
      <c r="S71" s="41">
        <v>80000</v>
      </c>
      <c r="T71" s="84"/>
      <c r="U71" s="84"/>
      <c r="V71" s="84"/>
      <c r="W71" s="84"/>
      <c r="X71" s="83">
        <f t="shared" si="22"/>
        <v>80000</v>
      </c>
      <c r="Y71" s="39"/>
      <c r="Z71" s="74">
        <f t="shared" si="21"/>
        <v>0</v>
      </c>
      <c r="AA71" s="41"/>
      <c r="AB71" s="4"/>
      <c r="AC71" s="4"/>
      <c r="AD71" s="4"/>
      <c r="AE71" s="4"/>
      <c r="AF71" s="4"/>
      <c r="AG71" s="4"/>
    </row>
    <row r="72" spans="1:33" s="3" customFormat="1" ht="15" customHeight="1" thickBot="1">
      <c r="A72" s="1"/>
      <c r="C72" s="163" t="s">
        <v>77</v>
      </c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4"/>
      <c r="Q72" s="69">
        <f t="shared" si="19"/>
        <v>35000</v>
      </c>
      <c r="R72" s="113">
        <f t="shared" si="23"/>
        <v>35000</v>
      </c>
      <c r="S72" s="41">
        <v>35000</v>
      </c>
      <c r="T72" s="84"/>
      <c r="U72" s="84"/>
      <c r="V72" s="84"/>
      <c r="W72" s="84"/>
      <c r="X72" s="83">
        <f t="shared" si="22"/>
        <v>35000</v>
      </c>
      <c r="Y72" s="39"/>
      <c r="Z72" s="74">
        <f t="shared" si="21"/>
        <v>0</v>
      </c>
      <c r="AA72" s="41"/>
      <c r="AB72" s="4"/>
      <c r="AC72" s="4"/>
      <c r="AD72" s="4"/>
      <c r="AE72" s="4"/>
      <c r="AF72" s="4"/>
      <c r="AG72" s="4"/>
    </row>
    <row r="73" spans="1:33" s="3" customFormat="1" ht="15" customHeight="1" thickBot="1">
      <c r="A73" s="1"/>
      <c r="C73" s="163" t="s">
        <v>78</v>
      </c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4"/>
      <c r="Q73" s="69">
        <f t="shared" si="19"/>
        <v>62190</v>
      </c>
      <c r="R73" s="113">
        <f t="shared" si="23"/>
        <v>45000</v>
      </c>
      <c r="S73" s="41"/>
      <c r="T73" s="84"/>
      <c r="U73" s="84">
        <v>45000</v>
      </c>
      <c r="V73" s="84"/>
      <c r="W73" s="84"/>
      <c r="X73" s="83">
        <f t="shared" si="22"/>
        <v>45000</v>
      </c>
      <c r="Y73" s="39"/>
      <c r="Z73" s="74">
        <f t="shared" si="21"/>
        <v>17190</v>
      </c>
      <c r="AA73" s="41">
        <v>17190</v>
      </c>
      <c r="AB73" s="4"/>
      <c r="AC73" s="4"/>
      <c r="AD73" s="4"/>
      <c r="AE73" s="4"/>
      <c r="AF73" s="4"/>
      <c r="AG73" s="4"/>
    </row>
    <row r="74" spans="1:33" s="3" customFormat="1" ht="15" customHeight="1">
      <c r="A74" s="1"/>
      <c r="C74" s="42" t="s">
        <v>22</v>
      </c>
      <c r="D74" s="42"/>
      <c r="E74" s="169" t="s">
        <v>79</v>
      </c>
      <c r="F74" s="170"/>
      <c r="G74" s="170"/>
      <c r="H74" s="170"/>
      <c r="I74" s="170"/>
      <c r="J74" s="170"/>
      <c r="K74" s="170"/>
      <c r="L74" s="170"/>
      <c r="M74" s="170"/>
      <c r="N74" s="170"/>
      <c r="O74" s="171"/>
      <c r="P74" s="43"/>
      <c r="Q74" s="77">
        <f t="shared" si="19"/>
        <v>55000</v>
      </c>
      <c r="R74" s="113">
        <f t="shared" si="23"/>
        <v>55000</v>
      </c>
      <c r="S74" s="106">
        <v>55000</v>
      </c>
      <c r="T74" s="107"/>
      <c r="U74" s="107"/>
      <c r="V74" s="107"/>
      <c r="W74" s="107"/>
      <c r="X74" s="83">
        <f t="shared" si="22"/>
        <v>55000</v>
      </c>
      <c r="Y74" s="39"/>
      <c r="Z74" s="80">
        <f t="shared" si="21"/>
        <v>0</v>
      </c>
      <c r="AA74" s="106"/>
      <c r="AB74" s="4"/>
      <c r="AC74" s="4"/>
      <c r="AD74" s="4"/>
      <c r="AE74" s="4"/>
      <c r="AF74" s="4"/>
      <c r="AG74" s="4"/>
    </row>
    <row r="75" spans="1:33" s="3" customFormat="1" ht="15" customHeight="1" thickBot="1">
      <c r="A75" s="1"/>
      <c r="C75" s="49"/>
      <c r="D75" s="49"/>
      <c r="F75" s="4"/>
      <c r="G75" s="4"/>
      <c r="H75" s="4"/>
      <c r="I75" s="4"/>
      <c r="J75" s="4"/>
      <c r="K75" s="4"/>
      <c r="L75" s="4"/>
      <c r="M75" s="153" t="s">
        <v>23</v>
      </c>
      <c r="N75" s="153"/>
      <c r="O75" s="153"/>
      <c r="P75" s="154"/>
      <c r="Q75" s="50">
        <f aca="true" t="shared" si="24" ref="Q75:X75">SUM(Q67:Q74)</f>
        <v>325500</v>
      </c>
      <c r="R75" s="51">
        <f>SUM(R67:R74)</f>
        <v>308310</v>
      </c>
      <c r="S75" s="52">
        <f t="shared" si="24"/>
        <v>219054</v>
      </c>
      <c r="T75" s="53">
        <f t="shared" si="24"/>
        <v>0</v>
      </c>
      <c r="U75" s="53">
        <f t="shared" si="24"/>
        <v>45000</v>
      </c>
      <c r="V75" s="53">
        <f t="shared" si="24"/>
        <v>44256</v>
      </c>
      <c r="W75" s="53">
        <f t="shared" si="24"/>
        <v>0</v>
      </c>
      <c r="X75" s="53">
        <f t="shared" si="24"/>
        <v>308310</v>
      </c>
      <c r="Y75" s="54"/>
      <c r="Z75" s="55">
        <f>SUM(Z67:Z74)</f>
        <v>17190</v>
      </c>
      <c r="AA75" s="52">
        <f>SUM(AA67:AA74)</f>
        <v>17190</v>
      </c>
      <c r="AB75" s="4"/>
      <c r="AC75" s="4"/>
      <c r="AD75" s="4"/>
      <c r="AE75" s="4"/>
      <c r="AF75" s="4"/>
      <c r="AG75" s="4"/>
    </row>
    <row r="76" spans="1:33" s="3" customFormat="1" ht="3.75" customHeight="1">
      <c r="A76" s="1"/>
      <c r="B76" s="49"/>
      <c r="C76" s="49"/>
      <c r="D76" s="49"/>
      <c r="E76" s="4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57"/>
      <c r="S76" s="58"/>
      <c r="T76" s="58"/>
      <c r="U76" s="58"/>
      <c r="V76" s="58"/>
      <c r="W76" s="6"/>
      <c r="X76" s="58"/>
      <c r="Y76" s="39"/>
      <c r="Z76" s="59"/>
      <c r="AA76" s="58"/>
      <c r="AB76" s="4"/>
      <c r="AC76" s="4"/>
      <c r="AD76" s="4"/>
      <c r="AE76" s="4"/>
      <c r="AF76" s="4"/>
      <c r="AG76" s="4"/>
    </row>
    <row r="77" spans="1:33" s="3" customFormat="1" ht="15" customHeight="1" thickBot="1">
      <c r="A77" s="1"/>
      <c r="B77" s="25" t="s">
        <v>80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/>
      <c r="R77" s="26"/>
      <c r="S77" s="114"/>
      <c r="T77" s="115"/>
      <c r="U77" s="115"/>
      <c r="V77" s="115"/>
      <c r="W77" s="6"/>
      <c r="X77" s="115"/>
      <c r="Y77" s="39"/>
      <c r="Z77" s="116"/>
      <c r="AA77" s="115"/>
      <c r="AB77" s="4"/>
      <c r="AC77" s="4"/>
      <c r="AD77" s="4"/>
      <c r="AE77" s="4"/>
      <c r="AF77" s="4"/>
      <c r="AG77" s="4"/>
    </row>
    <row r="78" spans="1:33" s="3" customFormat="1" ht="15" customHeight="1" thickBot="1">
      <c r="A78" s="1"/>
      <c r="C78" s="167" t="s">
        <v>81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8"/>
      <c r="Q78" s="63">
        <f>R78+Z78</f>
        <v>280400</v>
      </c>
      <c r="R78" s="64">
        <f>SUM(S78:W78)</f>
        <v>280400</v>
      </c>
      <c r="S78" s="35"/>
      <c r="T78" s="83"/>
      <c r="U78" s="83"/>
      <c r="V78" s="83">
        <v>280400</v>
      </c>
      <c r="W78" s="83"/>
      <c r="X78" s="83">
        <f>SUM(S78:W78)</f>
        <v>280400</v>
      </c>
      <c r="Y78" s="33"/>
      <c r="Z78" s="67">
        <f>SUM(AA78:AA78)</f>
        <v>0</v>
      </c>
      <c r="AA78" s="35"/>
      <c r="AB78" s="4"/>
      <c r="AC78" s="18" t="s">
        <v>82</v>
      </c>
      <c r="AD78" s="22">
        <v>150400</v>
      </c>
      <c r="AE78" s="4"/>
      <c r="AF78" s="4"/>
      <c r="AG78" s="4"/>
    </row>
    <row r="79" spans="1:33" s="3" customFormat="1" ht="15" customHeight="1" thickBot="1">
      <c r="A79" s="1"/>
      <c r="C79" s="163" t="s">
        <v>83</v>
      </c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4"/>
      <c r="Q79" s="69">
        <f>R79+Z79</f>
        <v>17500</v>
      </c>
      <c r="R79" s="64">
        <f aca="true" t="shared" si="25" ref="R79:R81">SUM(S79:W79)</f>
        <v>17500</v>
      </c>
      <c r="S79" s="41"/>
      <c r="T79" s="84"/>
      <c r="U79" s="84"/>
      <c r="V79" s="84">
        <v>17500</v>
      </c>
      <c r="W79" s="84"/>
      <c r="X79" s="83">
        <f aca="true" t="shared" si="26" ref="X79:X81">SUM(S79:W79)</f>
        <v>17500</v>
      </c>
      <c r="Y79" s="39"/>
      <c r="Z79" s="74">
        <f>SUM(AA79:AA79)</f>
        <v>0</v>
      </c>
      <c r="AA79" s="41"/>
      <c r="AB79" s="4"/>
      <c r="AC79" s="18" t="s">
        <v>84</v>
      </c>
      <c r="AD79" s="22">
        <v>130000</v>
      </c>
      <c r="AE79" s="4"/>
      <c r="AF79" s="4"/>
      <c r="AG79" s="4"/>
    </row>
    <row r="80" spans="1:33" s="3" customFormat="1" ht="15" customHeight="1" thickBot="1">
      <c r="A80" s="1"/>
      <c r="C80" s="42" t="s">
        <v>22</v>
      </c>
      <c r="D80" s="87"/>
      <c r="E80" s="169" t="s">
        <v>85</v>
      </c>
      <c r="F80" s="170"/>
      <c r="G80" s="170"/>
      <c r="H80" s="170"/>
      <c r="I80" s="170"/>
      <c r="J80" s="170"/>
      <c r="K80" s="170"/>
      <c r="L80" s="170"/>
      <c r="M80" s="170"/>
      <c r="N80" s="170"/>
      <c r="O80" s="171"/>
      <c r="P80" s="117"/>
      <c r="Q80" s="69">
        <f>R80+Z80</f>
        <v>375000</v>
      </c>
      <c r="R80" s="64">
        <f t="shared" si="25"/>
        <v>375000</v>
      </c>
      <c r="S80" s="118"/>
      <c r="T80" s="119"/>
      <c r="U80" s="119"/>
      <c r="V80" s="107">
        <v>375000</v>
      </c>
      <c r="W80" s="119"/>
      <c r="X80" s="83">
        <f t="shared" si="26"/>
        <v>375000</v>
      </c>
      <c r="Y80" s="39"/>
      <c r="Z80" s="120"/>
      <c r="AA80" s="118"/>
      <c r="AB80" s="4"/>
      <c r="AC80" s="4"/>
      <c r="AD80" s="4"/>
      <c r="AE80" s="4"/>
      <c r="AF80" s="4"/>
      <c r="AG80" s="4"/>
    </row>
    <row r="81" spans="1:33" s="3" customFormat="1" ht="15" customHeight="1">
      <c r="A81" s="1"/>
      <c r="C81" s="42" t="s">
        <v>22</v>
      </c>
      <c r="D81" s="42"/>
      <c r="F81" s="4"/>
      <c r="G81" s="4"/>
      <c r="H81" s="4"/>
      <c r="I81" s="4"/>
      <c r="J81" s="4"/>
      <c r="K81" s="4"/>
      <c r="L81" s="4"/>
      <c r="M81" s="4"/>
      <c r="N81" s="4"/>
      <c r="O81" s="4"/>
      <c r="P81" s="43"/>
      <c r="Q81" s="77">
        <f>R81+Z81</f>
        <v>0</v>
      </c>
      <c r="R81" s="64">
        <f t="shared" si="25"/>
        <v>0</v>
      </c>
      <c r="S81" s="106"/>
      <c r="T81" s="107"/>
      <c r="U81" s="107"/>
      <c r="W81" s="107"/>
      <c r="X81" s="83">
        <f t="shared" si="26"/>
        <v>0</v>
      </c>
      <c r="Y81" s="39"/>
      <c r="Z81" s="80">
        <f>SUM(AA81:AA81)</f>
        <v>0</v>
      </c>
      <c r="AA81" s="106"/>
      <c r="AB81" s="4"/>
      <c r="AC81" s="4"/>
      <c r="AD81" s="4"/>
      <c r="AE81" s="4"/>
      <c r="AF81" s="4"/>
      <c r="AG81" s="4"/>
    </row>
    <row r="82" spans="1:33" s="3" customFormat="1" ht="15" customHeight="1" thickBot="1">
      <c r="A82" s="1"/>
      <c r="C82" s="49"/>
      <c r="D82" s="49"/>
      <c r="F82" s="4"/>
      <c r="G82" s="4"/>
      <c r="H82" s="4"/>
      <c r="I82" s="4"/>
      <c r="J82" s="4"/>
      <c r="K82" s="4"/>
      <c r="L82" s="4"/>
      <c r="M82" s="153" t="s">
        <v>23</v>
      </c>
      <c r="N82" s="153"/>
      <c r="O82" s="153"/>
      <c r="P82" s="154"/>
      <c r="Q82" s="50">
        <f aca="true" t="shared" si="27" ref="Q82:X82">SUM(Q78:Q81)</f>
        <v>672900</v>
      </c>
      <c r="R82" s="51">
        <f t="shared" si="27"/>
        <v>672900</v>
      </c>
      <c r="S82" s="52">
        <f t="shared" si="27"/>
        <v>0</v>
      </c>
      <c r="T82" s="53">
        <f t="shared" si="27"/>
        <v>0</v>
      </c>
      <c r="U82" s="53">
        <f t="shared" si="27"/>
        <v>0</v>
      </c>
      <c r="V82" s="53">
        <f>SUM(V78:V80)</f>
        <v>672900</v>
      </c>
      <c r="W82" s="53">
        <f t="shared" si="27"/>
        <v>0</v>
      </c>
      <c r="X82" s="53">
        <f t="shared" si="27"/>
        <v>672900</v>
      </c>
      <c r="Y82" s="54"/>
      <c r="Z82" s="55">
        <f>SUM(Z78:Z81)</f>
        <v>0</v>
      </c>
      <c r="AA82" s="52">
        <f>SUM(AA78:AA81)</f>
        <v>0</v>
      </c>
      <c r="AB82" s="4"/>
      <c r="AC82" s="4"/>
      <c r="AD82" s="4"/>
      <c r="AE82" s="4"/>
      <c r="AF82" s="4"/>
      <c r="AG82" s="4"/>
    </row>
    <row r="83" spans="1:33" s="3" customFormat="1" ht="3.75" customHeight="1">
      <c r="A83" s="1"/>
      <c r="B83" s="49"/>
      <c r="C83" s="49"/>
      <c r="D83" s="49"/>
      <c r="E83" s="4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57"/>
      <c r="S83" s="115"/>
      <c r="T83" s="115"/>
      <c r="U83" s="115"/>
      <c r="V83" s="115"/>
      <c r="W83" s="6"/>
      <c r="X83" s="115"/>
      <c r="Y83" s="39"/>
      <c r="Z83" s="116"/>
      <c r="AA83" s="115"/>
      <c r="AB83" s="4"/>
      <c r="AC83" s="4"/>
      <c r="AD83" s="4"/>
      <c r="AE83" s="4"/>
      <c r="AF83" s="4"/>
      <c r="AG83" s="4"/>
    </row>
    <row r="84" spans="1:33" s="3" customFormat="1" ht="15" customHeight="1" thickBot="1">
      <c r="A84" s="1"/>
      <c r="B84" s="25" t="s">
        <v>86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6"/>
      <c r="R84" s="26"/>
      <c r="S84" s="115"/>
      <c r="T84" s="115"/>
      <c r="U84" s="115"/>
      <c r="V84" s="115"/>
      <c r="W84" s="6"/>
      <c r="X84" s="115"/>
      <c r="Y84" s="39"/>
      <c r="Z84" s="116"/>
      <c r="AA84" s="115"/>
      <c r="AB84" s="4"/>
      <c r="AC84" s="4"/>
      <c r="AD84" s="4"/>
      <c r="AE84" s="4"/>
      <c r="AF84" s="4"/>
      <c r="AG84" s="4"/>
    </row>
    <row r="85" spans="1:33" s="3" customFormat="1" ht="15" customHeight="1" thickBot="1">
      <c r="A85" s="1"/>
      <c r="C85" s="167" t="s">
        <v>87</v>
      </c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8"/>
      <c r="Q85" s="63">
        <f aca="true" t="shared" si="28" ref="Q85:Q95">R85+Z85</f>
        <v>50000</v>
      </c>
      <c r="R85" s="64">
        <f>SUM(S85:W85)</f>
        <v>39500</v>
      </c>
      <c r="S85" s="35">
        <v>39500</v>
      </c>
      <c r="T85" s="83"/>
      <c r="U85" s="83"/>
      <c r="V85" s="83"/>
      <c r="W85" s="83"/>
      <c r="X85" s="83">
        <f>SUM(S85:W85)</f>
        <v>39500</v>
      </c>
      <c r="Y85" s="33"/>
      <c r="Z85" s="67">
        <f aca="true" t="shared" si="29" ref="Z85:Z95">SUM(AA85:AA85)</f>
        <v>10500</v>
      </c>
      <c r="AA85" s="35">
        <v>10500</v>
      </c>
      <c r="AB85" s="4"/>
      <c r="AC85" s="4"/>
      <c r="AD85" s="4"/>
      <c r="AE85" s="4"/>
      <c r="AF85" s="4"/>
      <c r="AG85" s="4"/>
    </row>
    <row r="86" spans="1:33" s="3" customFormat="1" ht="15" customHeight="1" thickBot="1">
      <c r="A86" s="1"/>
      <c r="C86" s="163" t="s">
        <v>88</v>
      </c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4"/>
      <c r="Q86" s="69">
        <f t="shared" si="28"/>
        <v>95750</v>
      </c>
      <c r="R86" s="64">
        <f aca="true" t="shared" si="30" ref="R86:R95">SUM(S86:W86)</f>
        <v>80000</v>
      </c>
      <c r="S86" s="41"/>
      <c r="T86" s="84">
        <v>80000</v>
      </c>
      <c r="U86" s="84"/>
      <c r="V86" s="84"/>
      <c r="W86" s="84"/>
      <c r="X86" s="83">
        <f aca="true" t="shared" si="31" ref="X86:X95">SUM(S86:W86)</f>
        <v>80000</v>
      </c>
      <c r="Y86" s="39"/>
      <c r="Z86" s="74">
        <f t="shared" si="29"/>
        <v>15750</v>
      </c>
      <c r="AA86" s="41">
        <v>15750</v>
      </c>
      <c r="AB86" s="4"/>
      <c r="AC86" s="4"/>
      <c r="AD86" s="4"/>
      <c r="AE86" s="4"/>
      <c r="AF86" s="4"/>
      <c r="AG86" s="4"/>
    </row>
    <row r="87" spans="1:33" s="3" customFormat="1" ht="15" customHeight="1" thickBot="1">
      <c r="A87" s="1"/>
      <c r="C87" s="163" t="s">
        <v>89</v>
      </c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4"/>
      <c r="Q87" s="69">
        <f t="shared" si="28"/>
        <v>10430</v>
      </c>
      <c r="R87" s="64">
        <f t="shared" si="30"/>
        <v>10430</v>
      </c>
      <c r="S87" s="41">
        <v>10430</v>
      </c>
      <c r="T87" s="84"/>
      <c r="U87" s="84"/>
      <c r="V87" s="84"/>
      <c r="W87" s="84"/>
      <c r="X87" s="83">
        <f t="shared" si="31"/>
        <v>10430</v>
      </c>
      <c r="Y87" s="39"/>
      <c r="Z87" s="74">
        <f t="shared" si="29"/>
        <v>0</v>
      </c>
      <c r="AA87" s="41"/>
      <c r="AB87" s="4"/>
      <c r="AC87" s="4"/>
      <c r="AD87" s="4"/>
      <c r="AE87" s="4"/>
      <c r="AF87" s="4"/>
      <c r="AG87" s="4"/>
    </row>
    <row r="88" spans="1:33" s="3" customFormat="1" ht="15" customHeight="1" thickBot="1">
      <c r="A88" s="1"/>
      <c r="C88" s="163" t="s">
        <v>90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4"/>
      <c r="Q88" s="69">
        <f t="shared" si="28"/>
        <v>5000</v>
      </c>
      <c r="R88" s="64">
        <f t="shared" si="30"/>
        <v>5000</v>
      </c>
      <c r="S88" s="41">
        <v>5000</v>
      </c>
      <c r="T88" s="84"/>
      <c r="U88" s="84"/>
      <c r="V88" s="84"/>
      <c r="W88" s="84"/>
      <c r="X88" s="83">
        <f t="shared" si="31"/>
        <v>5000</v>
      </c>
      <c r="Y88" s="39"/>
      <c r="Z88" s="74">
        <f t="shared" si="29"/>
        <v>0</v>
      </c>
      <c r="AA88" s="41"/>
      <c r="AB88" s="4"/>
      <c r="AC88" s="4"/>
      <c r="AD88" s="4"/>
      <c r="AE88" s="4"/>
      <c r="AF88" s="4"/>
      <c r="AG88" s="4"/>
    </row>
    <row r="89" spans="1:33" s="3" customFormat="1" ht="15" customHeight="1" thickBot="1">
      <c r="A89" s="1"/>
      <c r="C89" s="163" t="s">
        <v>91</v>
      </c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4"/>
      <c r="Q89" s="69">
        <f t="shared" si="28"/>
        <v>198800</v>
      </c>
      <c r="R89" s="64">
        <f t="shared" si="30"/>
        <v>188800</v>
      </c>
      <c r="S89" s="41">
        <f>88800-3074</f>
        <v>85726</v>
      </c>
      <c r="T89" s="84">
        <v>50000</v>
      </c>
      <c r="U89" s="84"/>
      <c r="V89" s="84">
        <f>50000+3074</f>
        <v>53074</v>
      </c>
      <c r="W89" s="84"/>
      <c r="X89" s="83">
        <f t="shared" si="31"/>
        <v>188800</v>
      </c>
      <c r="Y89" s="39"/>
      <c r="Z89" s="74">
        <f t="shared" si="29"/>
        <v>10000</v>
      </c>
      <c r="AA89" s="41">
        <v>10000</v>
      </c>
      <c r="AB89" s="4"/>
      <c r="AC89" s="4"/>
      <c r="AD89" s="4"/>
      <c r="AE89" s="4"/>
      <c r="AF89" s="4"/>
      <c r="AG89" s="4"/>
    </row>
    <row r="90" spans="1:33" s="3" customFormat="1" ht="15" customHeight="1" thickBot="1">
      <c r="A90" s="1"/>
      <c r="C90" s="163" t="s">
        <v>92</v>
      </c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4"/>
      <c r="Q90" s="69">
        <f t="shared" si="28"/>
        <v>186202</v>
      </c>
      <c r="R90" s="64">
        <f t="shared" si="30"/>
        <v>178602</v>
      </c>
      <c r="S90" s="41">
        <v>46200</v>
      </c>
      <c r="T90" s="84">
        <v>65003</v>
      </c>
      <c r="U90" s="84"/>
      <c r="V90" s="84">
        <v>67399</v>
      </c>
      <c r="W90" s="84"/>
      <c r="X90" s="83">
        <f t="shared" si="31"/>
        <v>178602</v>
      </c>
      <c r="Y90" s="39"/>
      <c r="Z90" s="74">
        <f t="shared" si="29"/>
        <v>7600</v>
      </c>
      <c r="AA90" s="41">
        <v>7600</v>
      </c>
      <c r="AB90" s="4"/>
      <c r="AC90" s="4"/>
      <c r="AD90" s="4"/>
      <c r="AE90" s="4"/>
      <c r="AF90" s="4"/>
      <c r="AG90" s="4"/>
    </row>
    <row r="91" spans="1:33" s="3" customFormat="1" ht="15" customHeight="1" thickBot="1">
      <c r="A91" s="1"/>
      <c r="C91" s="163" t="s">
        <v>93</v>
      </c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4"/>
      <c r="Q91" s="69">
        <f t="shared" si="28"/>
        <v>5000</v>
      </c>
      <c r="R91" s="64">
        <f t="shared" si="30"/>
        <v>5000</v>
      </c>
      <c r="S91" s="41"/>
      <c r="T91" s="84"/>
      <c r="U91" s="84"/>
      <c r="V91" s="84">
        <v>5000</v>
      </c>
      <c r="W91" s="84"/>
      <c r="X91" s="83">
        <f t="shared" si="31"/>
        <v>5000</v>
      </c>
      <c r="Y91" s="39"/>
      <c r="Z91" s="74">
        <f t="shared" si="29"/>
        <v>0</v>
      </c>
      <c r="AA91" s="41"/>
      <c r="AB91" s="4"/>
      <c r="AC91" s="4"/>
      <c r="AD91" s="4"/>
      <c r="AE91" s="4"/>
      <c r="AF91" s="4"/>
      <c r="AG91" s="4"/>
    </row>
    <row r="92" spans="1:33" s="3" customFormat="1" ht="15" customHeight="1" thickBot="1">
      <c r="A92" s="1"/>
      <c r="C92" s="163" t="s">
        <v>94</v>
      </c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4"/>
      <c r="Q92" s="69">
        <f t="shared" si="28"/>
        <v>37648</v>
      </c>
      <c r="R92" s="64">
        <f t="shared" si="30"/>
        <v>37648</v>
      </c>
      <c r="S92" s="41"/>
      <c r="T92" s="84"/>
      <c r="U92" s="84"/>
      <c r="V92" s="84">
        <v>37648</v>
      </c>
      <c r="W92" s="84"/>
      <c r="X92" s="83">
        <f t="shared" si="31"/>
        <v>37648</v>
      </c>
      <c r="Y92" s="39"/>
      <c r="Z92" s="74">
        <f t="shared" si="29"/>
        <v>0</v>
      </c>
      <c r="AA92" s="41"/>
      <c r="AB92" s="4"/>
      <c r="AC92" s="4"/>
      <c r="AD92" s="4"/>
      <c r="AE92" s="4"/>
      <c r="AF92" s="4"/>
      <c r="AG92" s="4"/>
    </row>
    <row r="93" spans="1:33" s="3" customFormat="1" ht="15" customHeight="1" thickBot="1">
      <c r="A93" s="1"/>
      <c r="C93" s="163" t="s">
        <v>95</v>
      </c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4"/>
      <c r="Q93" s="69">
        <f t="shared" si="28"/>
        <v>15000</v>
      </c>
      <c r="R93" s="64">
        <f t="shared" si="30"/>
        <v>15000</v>
      </c>
      <c r="S93" s="41"/>
      <c r="T93" s="84"/>
      <c r="U93" s="84"/>
      <c r="V93" s="84">
        <v>15000</v>
      </c>
      <c r="W93" s="84"/>
      <c r="X93" s="83">
        <f t="shared" si="31"/>
        <v>15000</v>
      </c>
      <c r="Y93" s="39"/>
      <c r="Z93" s="74">
        <f t="shared" si="29"/>
        <v>0</v>
      </c>
      <c r="AA93" s="41"/>
      <c r="AB93" s="4"/>
      <c r="AC93" s="4"/>
      <c r="AD93" s="4"/>
      <c r="AE93" s="4"/>
      <c r="AF93" s="4"/>
      <c r="AG93" s="4"/>
    </row>
    <row r="94" spans="1:33" s="3" customFormat="1" ht="15" customHeight="1" thickBot="1">
      <c r="A94" s="1"/>
      <c r="C94" s="163" t="s">
        <v>96</v>
      </c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4"/>
      <c r="Q94" s="69">
        <f t="shared" si="28"/>
        <v>120000</v>
      </c>
      <c r="R94" s="64">
        <f t="shared" si="30"/>
        <v>120000</v>
      </c>
      <c r="S94" s="41"/>
      <c r="T94" s="84"/>
      <c r="U94" s="84"/>
      <c r="V94" s="84">
        <v>120000</v>
      </c>
      <c r="W94" s="84"/>
      <c r="X94" s="83">
        <f t="shared" si="31"/>
        <v>120000</v>
      </c>
      <c r="Y94" s="39"/>
      <c r="Z94" s="74">
        <f t="shared" si="29"/>
        <v>0</v>
      </c>
      <c r="AA94" s="41"/>
      <c r="AB94" s="4"/>
      <c r="AC94" s="4"/>
      <c r="AD94" s="4"/>
      <c r="AE94" s="4"/>
      <c r="AF94" s="4"/>
      <c r="AG94" s="4"/>
    </row>
    <row r="95" spans="1:33" s="3" customFormat="1" ht="15" customHeight="1">
      <c r="A95" s="1"/>
      <c r="C95" s="163" t="s">
        <v>97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4"/>
      <c r="Q95" s="77">
        <f t="shared" si="28"/>
        <v>0</v>
      </c>
      <c r="R95" s="64">
        <f t="shared" si="30"/>
        <v>0</v>
      </c>
      <c r="S95" s="106"/>
      <c r="T95" s="107"/>
      <c r="U95" s="107"/>
      <c r="V95" s="107"/>
      <c r="W95" s="107"/>
      <c r="X95" s="83">
        <f t="shared" si="31"/>
        <v>0</v>
      </c>
      <c r="Y95" s="39"/>
      <c r="Z95" s="80">
        <f t="shared" si="29"/>
        <v>0</v>
      </c>
      <c r="AA95" s="106"/>
      <c r="AB95" s="4"/>
      <c r="AC95" s="4"/>
      <c r="AD95" s="4"/>
      <c r="AE95" s="4"/>
      <c r="AF95" s="4"/>
      <c r="AG95" s="4"/>
    </row>
    <row r="96" spans="1:33" s="3" customFormat="1" ht="15" customHeight="1" thickBot="1">
      <c r="A96" s="1"/>
      <c r="C96" s="49"/>
      <c r="D96" s="49"/>
      <c r="F96" s="4"/>
      <c r="G96" s="4"/>
      <c r="H96" s="4"/>
      <c r="I96" s="4"/>
      <c r="J96" s="4"/>
      <c r="K96" s="4"/>
      <c r="L96" s="4"/>
      <c r="M96" s="153" t="s">
        <v>23</v>
      </c>
      <c r="N96" s="153"/>
      <c r="O96" s="153"/>
      <c r="P96" s="154"/>
      <c r="Q96" s="50">
        <f aca="true" t="shared" si="32" ref="Q96:X96">SUM(Q85:Q95)</f>
        <v>723830</v>
      </c>
      <c r="R96" s="51">
        <f t="shared" si="32"/>
        <v>679980</v>
      </c>
      <c r="S96" s="52">
        <f t="shared" si="32"/>
        <v>186856</v>
      </c>
      <c r="T96" s="53">
        <f t="shared" si="32"/>
        <v>195003</v>
      </c>
      <c r="U96" s="53">
        <f t="shared" si="32"/>
        <v>0</v>
      </c>
      <c r="V96" s="53">
        <f t="shared" si="32"/>
        <v>298121</v>
      </c>
      <c r="W96" s="53">
        <f t="shared" si="32"/>
        <v>0</v>
      </c>
      <c r="X96" s="53">
        <f t="shared" si="32"/>
        <v>679980</v>
      </c>
      <c r="Y96" s="54"/>
      <c r="Z96" s="55">
        <f>SUM(Z85:Z95)</f>
        <v>43850</v>
      </c>
      <c r="AA96" s="52">
        <f>SUM(AA85:AA95)</f>
        <v>43850</v>
      </c>
      <c r="AB96" s="4"/>
      <c r="AC96" s="4"/>
      <c r="AD96" s="4"/>
      <c r="AE96" s="4"/>
      <c r="AF96" s="4"/>
      <c r="AG96" s="4"/>
    </row>
    <row r="97" spans="1:33" s="3" customFormat="1" ht="3.75" customHeight="1" thickBot="1">
      <c r="A97" s="92"/>
      <c r="B97" s="121"/>
      <c r="C97" s="122"/>
      <c r="D97" s="122"/>
      <c r="E97" s="93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6"/>
      <c r="R97" s="123"/>
      <c r="S97" s="124"/>
      <c r="T97" s="124"/>
      <c r="U97" s="124"/>
      <c r="V97" s="124"/>
      <c r="W97" s="125"/>
      <c r="X97" s="124"/>
      <c r="Y97" s="126"/>
      <c r="Z97" s="127"/>
      <c r="AA97" s="124"/>
      <c r="AB97" s="4"/>
      <c r="AC97" s="4"/>
      <c r="AD97" s="4"/>
      <c r="AE97" s="4"/>
      <c r="AF97" s="4"/>
      <c r="AG97" s="4"/>
    </row>
    <row r="98" spans="1:33" s="3" customFormat="1" ht="3.75" customHeight="1">
      <c r="A98" s="1"/>
      <c r="B98" s="26"/>
      <c r="C98" s="108"/>
      <c r="D98" s="108"/>
      <c r="E98" s="4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S98" s="58"/>
      <c r="T98" s="58"/>
      <c r="U98" s="58"/>
      <c r="V98" s="58"/>
      <c r="W98" s="6"/>
      <c r="X98" s="58"/>
      <c r="Y98" s="39"/>
      <c r="Z98" s="59"/>
      <c r="AA98" s="58"/>
      <c r="AB98" s="4"/>
      <c r="AC98" s="4"/>
      <c r="AD98" s="4"/>
      <c r="AE98" s="4"/>
      <c r="AF98" s="4"/>
      <c r="AG98" s="4"/>
    </row>
    <row r="99" spans="1:33" s="3" customFormat="1" ht="15" customHeight="1" hidden="1">
      <c r="A99" s="1"/>
      <c r="B99" s="25" t="s">
        <v>98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6"/>
      <c r="R99" s="26"/>
      <c r="S99" s="58"/>
      <c r="T99" s="58"/>
      <c r="U99" s="58"/>
      <c r="V99" s="58"/>
      <c r="X99" s="58"/>
      <c r="Y99" s="39"/>
      <c r="Z99" s="59"/>
      <c r="AA99" s="58"/>
      <c r="AB99" s="4"/>
      <c r="AC99" s="4"/>
      <c r="AD99" s="4"/>
      <c r="AE99" s="4"/>
      <c r="AF99" s="4"/>
      <c r="AG99" s="4"/>
    </row>
    <row r="100" spans="1:33" s="3" customFormat="1" ht="15" customHeight="1" hidden="1">
      <c r="A100" s="1"/>
      <c r="C100" s="165" t="s">
        <v>99</v>
      </c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6"/>
      <c r="Q100" s="63">
        <f aca="true" t="shared" si="33" ref="Q100:Q106">R100+Z100</f>
        <v>0</v>
      </c>
      <c r="R100" s="104">
        <f aca="true" t="shared" si="34" ref="R100:R106">SUM(S100:X100)</f>
        <v>0</v>
      </c>
      <c r="S100" s="35"/>
      <c r="T100" s="83"/>
      <c r="U100" s="83"/>
      <c r="V100" s="83"/>
      <c r="W100" s="83"/>
      <c r="X100" s="83"/>
      <c r="Y100" s="33"/>
      <c r="Z100" s="67">
        <f aca="true" t="shared" si="35" ref="Z100:Z106">SUM(AA100:AA100)</f>
        <v>0</v>
      </c>
      <c r="AA100" s="35"/>
      <c r="AB100" s="4"/>
      <c r="AC100" s="4"/>
      <c r="AD100" s="4"/>
      <c r="AE100" s="4"/>
      <c r="AF100" s="4"/>
      <c r="AG100" s="4"/>
    </row>
    <row r="101" spans="1:33" s="3" customFormat="1" ht="15" customHeight="1" hidden="1">
      <c r="A101" s="1"/>
      <c r="C101" s="161" t="s">
        <v>100</v>
      </c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  <c r="Q101" s="69">
        <f t="shared" si="33"/>
        <v>0</v>
      </c>
      <c r="R101" s="128">
        <f t="shared" si="34"/>
        <v>0</v>
      </c>
      <c r="S101" s="41"/>
      <c r="T101" s="84"/>
      <c r="U101" s="84"/>
      <c r="V101" s="84"/>
      <c r="W101" s="84"/>
      <c r="X101" s="84"/>
      <c r="Y101" s="39"/>
      <c r="Z101" s="129">
        <f t="shared" si="35"/>
        <v>0</v>
      </c>
      <c r="AA101" s="41"/>
      <c r="AB101" s="4"/>
      <c r="AC101" s="4"/>
      <c r="AD101" s="4"/>
      <c r="AE101" s="4"/>
      <c r="AF101" s="4"/>
      <c r="AG101" s="4"/>
    </row>
    <row r="102" spans="1:33" s="3" customFormat="1" ht="15" customHeight="1" hidden="1">
      <c r="A102" s="1"/>
      <c r="C102" s="161" t="s">
        <v>101</v>
      </c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2"/>
      <c r="Q102" s="69">
        <f t="shared" si="33"/>
        <v>0</v>
      </c>
      <c r="R102" s="128">
        <f t="shared" si="34"/>
        <v>0</v>
      </c>
      <c r="S102" s="41"/>
      <c r="T102" s="84"/>
      <c r="U102" s="84"/>
      <c r="V102" s="84"/>
      <c r="W102" s="84"/>
      <c r="X102" s="84"/>
      <c r="Y102" s="39"/>
      <c r="Z102" s="129">
        <f t="shared" si="35"/>
        <v>0</v>
      </c>
      <c r="AA102" s="41"/>
      <c r="AB102" s="4"/>
      <c r="AC102" s="4"/>
      <c r="AD102" s="4"/>
      <c r="AE102" s="4"/>
      <c r="AF102" s="4"/>
      <c r="AG102" s="4"/>
    </row>
    <row r="103" spans="1:33" s="3" customFormat="1" ht="15" customHeight="1" hidden="1">
      <c r="A103" s="1"/>
      <c r="C103" s="161" t="s">
        <v>102</v>
      </c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2"/>
      <c r="Q103" s="69">
        <f t="shared" si="33"/>
        <v>0</v>
      </c>
      <c r="R103" s="128">
        <f t="shared" si="34"/>
        <v>0</v>
      </c>
      <c r="S103" s="41"/>
      <c r="T103" s="84"/>
      <c r="U103" s="84"/>
      <c r="V103" s="84"/>
      <c r="W103" s="84"/>
      <c r="X103" s="84"/>
      <c r="Y103" s="39"/>
      <c r="Z103" s="129">
        <f t="shared" si="35"/>
        <v>0</v>
      </c>
      <c r="AA103" s="41"/>
      <c r="AB103" s="4"/>
      <c r="AC103" s="4"/>
      <c r="AD103" s="4"/>
      <c r="AE103" s="4"/>
      <c r="AF103" s="4"/>
      <c r="AG103" s="4"/>
    </row>
    <row r="104" spans="1:33" s="3" customFormat="1" ht="15" customHeight="1" hidden="1">
      <c r="A104" s="1"/>
      <c r="C104" s="161" t="s">
        <v>103</v>
      </c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2"/>
      <c r="Q104" s="69">
        <f t="shared" si="33"/>
        <v>0</v>
      </c>
      <c r="R104" s="128">
        <f t="shared" si="34"/>
        <v>0</v>
      </c>
      <c r="S104" s="41"/>
      <c r="T104" s="84"/>
      <c r="U104" s="84"/>
      <c r="V104" s="84"/>
      <c r="W104" s="84"/>
      <c r="X104" s="84"/>
      <c r="Y104" s="39"/>
      <c r="Z104" s="129">
        <f t="shared" si="35"/>
        <v>0</v>
      </c>
      <c r="AA104" s="41"/>
      <c r="AB104" s="4"/>
      <c r="AC104" s="4"/>
      <c r="AD104" s="4"/>
      <c r="AE104" s="4"/>
      <c r="AF104" s="4"/>
      <c r="AG104" s="4"/>
    </row>
    <row r="105" spans="1:33" s="3" customFormat="1" ht="15" customHeight="1" hidden="1">
      <c r="A105" s="1"/>
      <c r="C105" s="161" t="s">
        <v>104</v>
      </c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2"/>
      <c r="Q105" s="69">
        <f t="shared" si="33"/>
        <v>0</v>
      </c>
      <c r="R105" s="128">
        <f t="shared" si="34"/>
        <v>0</v>
      </c>
      <c r="S105" s="41"/>
      <c r="T105" s="84"/>
      <c r="U105" s="84"/>
      <c r="V105" s="84"/>
      <c r="W105" s="84"/>
      <c r="X105" s="84"/>
      <c r="Y105" s="39"/>
      <c r="Z105" s="129">
        <f t="shared" si="35"/>
        <v>0</v>
      </c>
      <c r="AA105" s="41"/>
      <c r="AB105" s="4"/>
      <c r="AC105" s="4"/>
      <c r="AD105" s="4"/>
      <c r="AE105" s="4"/>
      <c r="AF105" s="4"/>
      <c r="AG105" s="4"/>
    </row>
    <row r="106" spans="1:33" s="3" customFormat="1" ht="15" customHeight="1" hidden="1">
      <c r="A106" s="1"/>
      <c r="C106" s="161" t="s">
        <v>105</v>
      </c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2"/>
      <c r="Q106" s="77">
        <f t="shared" si="33"/>
        <v>0</v>
      </c>
      <c r="R106" s="128">
        <f t="shared" si="34"/>
        <v>0</v>
      </c>
      <c r="S106" s="106"/>
      <c r="T106" s="107"/>
      <c r="U106" s="107"/>
      <c r="V106" s="107"/>
      <c r="W106" s="107"/>
      <c r="X106" s="107"/>
      <c r="Y106" s="39"/>
      <c r="Z106" s="130">
        <f t="shared" si="35"/>
        <v>0</v>
      </c>
      <c r="AA106" s="106"/>
      <c r="AB106" s="4"/>
      <c r="AC106" s="4"/>
      <c r="AD106" s="4"/>
      <c r="AE106" s="4"/>
      <c r="AF106" s="4"/>
      <c r="AG106" s="4"/>
    </row>
    <row r="107" spans="1:33" s="3" customFormat="1" ht="15" customHeight="1" hidden="1">
      <c r="A107" s="1"/>
      <c r="C107" s="49"/>
      <c r="D107" s="49"/>
      <c r="F107" s="4"/>
      <c r="G107" s="4"/>
      <c r="H107" s="4"/>
      <c r="I107" s="4"/>
      <c r="J107" s="4"/>
      <c r="K107" s="4"/>
      <c r="L107" s="4"/>
      <c r="M107" s="153" t="s">
        <v>23</v>
      </c>
      <c r="N107" s="153"/>
      <c r="O107" s="153"/>
      <c r="P107" s="154"/>
      <c r="Q107" s="50">
        <f aca="true" t="shared" si="36" ref="Q107:X107">SUM(Q100:Q106)</f>
        <v>0</v>
      </c>
      <c r="R107" s="51">
        <f t="shared" si="36"/>
        <v>0</v>
      </c>
      <c r="S107" s="52">
        <f t="shared" si="36"/>
        <v>0</v>
      </c>
      <c r="T107" s="53">
        <f t="shared" si="36"/>
        <v>0</v>
      </c>
      <c r="U107" s="53">
        <f t="shared" si="36"/>
        <v>0</v>
      </c>
      <c r="V107" s="53">
        <f t="shared" si="36"/>
        <v>0</v>
      </c>
      <c r="W107" s="53">
        <f t="shared" si="36"/>
        <v>0</v>
      </c>
      <c r="X107" s="53">
        <f t="shared" si="36"/>
        <v>0</v>
      </c>
      <c r="Y107" s="54"/>
      <c r="Z107" s="55">
        <f>SUM(Z100:Z106)</f>
        <v>0</v>
      </c>
      <c r="AA107" s="52">
        <f>SUM(AA100:AA106)</f>
        <v>0</v>
      </c>
      <c r="AB107" s="4"/>
      <c r="AC107" s="4"/>
      <c r="AD107" s="4"/>
      <c r="AE107" s="4"/>
      <c r="AF107" s="4"/>
      <c r="AG107" s="4"/>
    </row>
    <row r="108" spans="1:33" s="3" customFormat="1" ht="7.5" customHeight="1" thickBot="1">
      <c r="A108" s="1"/>
      <c r="B108" s="42"/>
      <c r="C108" s="49"/>
      <c r="D108" s="49"/>
      <c r="E108" s="131"/>
      <c r="Q108" s="59"/>
      <c r="S108" s="58"/>
      <c r="T108" s="58"/>
      <c r="U108" s="58"/>
      <c r="V108" s="58"/>
      <c r="X108" s="58"/>
      <c r="Y108" s="39"/>
      <c r="Z108" s="59"/>
      <c r="AA108" s="58"/>
      <c r="AB108" s="4"/>
      <c r="AC108" s="4"/>
      <c r="AD108" s="4"/>
      <c r="AE108" s="4"/>
      <c r="AF108" s="4"/>
      <c r="AG108" s="4"/>
    </row>
    <row r="109" spans="1:33" s="3" customFormat="1" ht="15" customHeight="1" thickBot="1">
      <c r="A109" s="1"/>
      <c r="B109" s="155" t="s">
        <v>106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7"/>
      <c r="Q109" s="132">
        <f>Q16+Q35+Q51+Q56+Q107+Q64+Q75+Q82+Q96</f>
        <v>18238284.9</v>
      </c>
      <c r="R109" s="133">
        <f>R16+R35+R51+R56+R107+R64+R75+R82+R96</f>
        <v>15130320</v>
      </c>
      <c r="S109" s="134"/>
      <c r="T109" s="134"/>
      <c r="U109" s="134"/>
      <c r="V109" s="134"/>
      <c r="W109" s="134"/>
      <c r="X109" s="134"/>
      <c r="Y109" s="33"/>
      <c r="Z109" s="135">
        <f>Z16+Z35+Z51+Z56+Z107+Z64+Z75+Z82+Z96</f>
        <v>3107965.4</v>
      </c>
      <c r="AA109" s="134"/>
      <c r="AB109" s="4"/>
      <c r="AC109" s="4"/>
      <c r="AD109" s="4"/>
      <c r="AE109" s="4"/>
      <c r="AF109" s="4"/>
      <c r="AG109" s="4"/>
    </row>
    <row r="110" spans="1:33" s="3" customFormat="1" ht="15" customHeight="1" thickBot="1">
      <c r="A110" s="1"/>
      <c r="B110" s="158" t="s">
        <v>107</v>
      </c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60"/>
      <c r="Q110" s="50">
        <f>R110+Z110</f>
        <v>18238285</v>
      </c>
      <c r="R110" s="51">
        <f>SUM(S110:W110)</f>
        <v>15130320</v>
      </c>
      <c r="S110" s="136">
        <f aca="true" t="shared" si="37" ref="S110:X110">S16+S35+S51+S56+S107+S64+S75+S82+S96</f>
        <v>1542810</v>
      </c>
      <c r="T110" s="137">
        <f t="shared" si="37"/>
        <v>1050000</v>
      </c>
      <c r="U110" s="137">
        <f t="shared" si="37"/>
        <v>1800000</v>
      </c>
      <c r="V110" s="137">
        <f t="shared" si="37"/>
        <v>9737510</v>
      </c>
      <c r="W110" s="137">
        <f t="shared" si="37"/>
        <v>1000000</v>
      </c>
      <c r="X110" s="137">
        <f t="shared" si="37"/>
        <v>15130320</v>
      </c>
      <c r="Y110" s="138"/>
      <c r="Z110" s="55">
        <f>AA110</f>
        <v>3107965</v>
      </c>
      <c r="AA110" s="136">
        <f>AA16+AA35+AA51+AA56+AA107+AA64+AA75+AA82+AA96</f>
        <v>3107965</v>
      </c>
      <c r="AB110" s="4"/>
      <c r="AC110" s="16"/>
      <c r="AD110" s="4"/>
      <c r="AE110" s="4"/>
      <c r="AF110" s="4"/>
      <c r="AG110" s="4"/>
    </row>
    <row r="111" spans="1:33" s="3" customFormat="1" ht="15" customHeight="1" thickBot="1">
      <c r="A111" s="92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39"/>
      <c r="R111" s="123"/>
      <c r="S111" s="140"/>
      <c r="T111" s="123"/>
      <c r="U111" s="123"/>
      <c r="V111" s="123"/>
      <c r="W111" s="125"/>
      <c r="X111" s="125"/>
      <c r="Y111" s="123"/>
      <c r="Z111" s="123"/>
      <c r="AA111" s="123"/>
      <c r="AB111" s="4"/>
      <c r="AC111" s="16"/>
      <c r="AD111" s="4"/>
      <c r="AE111" s="4"/>
      <c r="AF111" s="4"/>
      <c r="AG111" s="4"/>
    </row>
    <row r="112" spans="2:33" s="3" customFormat="1" ht="15" customHeight="1">
      <c r="B112" s="141"/>
      <c r="C112" s="141"/>
      <c r="D112" s="141"/>
      <c r="E112" s="141"/>
      <c r="Q112" s="22"/>
      <c r="R112" s="13">
        <v>15130320</v>
      </c>
      <c r="S112" s="13"/>
      <c r="T112" s="13"/>
      <c r="U112" s="14"/>
      <c r="V112" s="142"/>
      <c r="W112" s="143"/>
      <c r="X112" s="143"/>
      <c r="AB112" s="4"/>
      <c r="AC112" s="4"/>
      <c r="AD112" s="4"/>
      <c r="AE112" s="4"/>
      <c r="AF112" s="4"/>
      <c r="AG112" s="4"/>
    </row>
    <row r="113" spans="12:33" s="3" customFormat="1" ht="15" customHeight="1">
      <c r="L113" s="13">
        <f>Q109</f>
        <v>18238284.9</v>
      </c>
      <c r="Q113" s="144"/>
      <c r="R113" s="145"/>
      <c r="S113" s="3">
        <f>15130320</f>
        <v>15130320</v>
      </c>
      <c r="T113" s="3" t="s">
        <v>108</v>
      </c>
      <c r="W113" s="6"/>
      <c r="X113" s="6"/>
      <c r="AB113" s="4"/>
      <c r="AC113" s="4"/>
      <c r="AD113" s="4"/>
      <c r="AE113" s="4"/>
      <c r="AF113" s="4"/>
      <c r="AG113" s="4"/>
    </row>
    <row r="114" spans="2:33" s="3" customFormat="1" ht="15" customHeight="1">
      <c r="B114" s="146"/>
      <c r="C114" s="146"/>
      <c r="D114" s="146"/>
      <c r="E114" s="146"/>
      <c r="I114" s="3" t="s">
        <v>109</v>
      </c>
      <c r="L114" s="13">
        <f>L113-(Q46+Q47+Q82+Q94)</f>
        <v>16534364.899999999</v>
      </c>
      <c r="V114" s="141"/>
      <c r="W114" s="6"/>
      <c r="X114" s="6"/>
      <c r="AB114" s="4"/>
      <c r="AC114" s="4"/>
      <c r="AD114" s="4"/>
      <c r="AE114" s="4"/>
      <c r="AF114" s="4"/>
      <c r="AG114" s="4"/>
    </row>
    <row r="115" spans="2:33" s="3" customFormat="1" ht="15" customHeight="1">
      <c r="B115" s="147"/>
      <c r="C115" s="148"/>
      <c r="D115" s="147"/>
      <c r="E115" s="147"/>
      <c r="L115" s="13"/>
      <c r="V115" s="148" t="s">
        <v>75</v>
      </c>
      <c r="W115" s="6" t="s">
        <v>110</v>
      </c>
      <c r="X115" s="149">
        <v>26</v>
      </c>
      <c r="Z115" s="3" t="s">
        <v>111</v>
      </c>
      <c r="AA115" s="150">
        <f>26*48</f>
        <v>1248</v>
      </c>
      <c r="AB115" s="4"/>
      <c r="AC115" s="4"/>
      <c r="AD115" s="4"/>
      <c r="AE115" s="4"/>
      <c r="AF115" s="4"/>
      <c r="AG115" s="4"/>
    </row>
    <row r="116" spans="2:33" s="3" customFormat="1" ht="15" customHeight="1">
      <c r="B116" s="147"/>
      <c r="C116" s="148"/>
      <c r="D116" s="147"/>
      <c r="E116" s="148"/>
      <c r="L116" s="13">
        <f>L114</f>
        <v>16534364.899999999</v>
      </c>
      <c r="V116" s="148"/>
      <c r="W116" s="6" t="s">
        <v>112</v>
      </c>
      <c r="X116" s="6" t="s">
        <v>113</v>
      </c>
      <c r="AA116" s="14">
        <f>0.095*'[1]Form 6E'!G41</f>
        <v>0.95</v>
      </c>
      <c r="AB116" s="4"/>
      <c r="AC116" s="4"/>
      <c r="AD116" s="4"/>
      <c r="AE116" s="4"/>
      <c r="AF116" s="4"/>
      <c r="AG116" s="4"/>
    </row>
    <row r="117" spans="2:33" s="3" customFormat="1" ht="15" customHeight="1">
      <c r="B117" s="151"/>
      <c r="C117" s="151"/>
      <c r="D117" s="151"/>
      <c r="E117" s="152"/>
      <c r="L117" s="14">
        <v>120000</v>
      </c>
      <c r="S117" s="145"/>
      <c r="V117" s="152"/>
      <c r="W117" s="6"/>
      <c r="X117" s="6"/>
      <c r="Z117" s="3" t="s">
        <v>114</v>
      </c>
      <c r="AA117" s="14">
        <f>AA116+AA120</f>
        <v>2160.95</v>
      </c>
      <c r="AC117" s="4"/>
      <c r="AD117" s="4"/>
      <c r="AE117" s="4"/>
      <c r="AF117" s="4"/>
      <c r="AG117" s="4"/>
    </row>
    <row r="118" spans="2:33" s="3" customFormat="1" ht="15" customHeight="1">
      <c r="B118" s="151"/>
      <c r="C118" s="151"/>
      <c r="D118" s="151"/>
      <c r="E118" s="152"/>
      <c r="L118" s="145">
        <f>0.075*5000000</f>
        <v>375000</v>
      </c>
      <c r="V118" s="152"/>
      <c r="W118" s="6"/>
      <c r="X118" s="6"/>
      <c r="AB118" s="4"/>
      <c r="AC118" s="4"/>
      <c r="AD118" s="4"/>
      <c r="AE118" s="4"/>
      <c r="AF118" s="4"/>
      <c r="AG118" s="4"/>
    </row>
    <row r="119" spans="2:33" s="3" customFormat="1" ht="15" customHeight="1">
      <c r="B119" s="146"/>
      <c r="C119" s="146"/>
      <c r="D119" s="146"/>
      <c r="E119" s="152"/>
      <c r="L119" s="13">
        <f>0.05*6000000</f>
        <v>300000</v>
      </c>
      <c r="V119" s="152"/>
      <c r="W119" s="6"/>
      <c r="X119" s="6"/>
      <c r="AB119" s="4"/>
      <c r="AC119" s="4"/>
      <c r="AD119" s="4"/>
      <c r="AE119" s="4"/>
      <c r="AF119" s="4"/>
      <c r="AG119" s="4"/>
    </row>
    <row r="120" spans="12:33" s="3" customFormat="1" ht="15" customHeight="1">
      <c r="L120" s="3">
        <f>0.025*(L114-12000000)</f>
        <v>113359.12249999997</v>
      </c>
      <c r="R120" s="14"/>
      <c r="W120" s="6" t="s">
        <v>115</v>
      </c>
      <c r="X120" s="6"/>
      <c r="Z120" s="150">
        <v>45</v>
      </c>
      <c r="AA120" s="150">
        <f>Z120*48</f>
        <v>2160</v>
      </c>
      <c r="AB120" s="4"/>
      <c r="AC120" s="4"/>
      <c r="AD120" s="4"/>
      <c r="AE120" s="4"/>
      <c r="AF120" s="4"/>
      <c r="AG120" s="4"/>
    </row>
    <row r="121" spans="2:33" s="3" customFormat="1" ht="15" customHeight="1">
      <c r="B121" s="146"/>
      <c r="C121" s="146"/>
      <c r="D121" s="146"/>
      <c r="E121" s="146"/>
      <c r="L121" s="14">
        <f>SUM(L117:L120)</f>
        <v>908359.1224999999</v>
      </c>
      <c r="V121" s="141"/>
      <c r="W121" s="6"/>
      <c r="X121" s="6"/>
      <c r="AB121" s="4"/>
      <c r="AC121" s="4"/>
      <c r="AD121" s="4"/>
      <c r="AE121" s="4"/>
      <c r="AF121" s="4"/>
      <c r="AG121" s="4"/>
    </row>
  </sheetData>
  <mergeCells count="97">
    <mergeCell ref="H1:S1"/>
    <mergeCell ref="H5:K5"/>
    <mergeCell ref="Q5:Q8"/>
    <mergeCell ref="R5:X5"/>
    <mergeCell ref="Z5:AA5"/>
    <mergeCell ref="R6:R8"/>
    <mergeCell ref="Z6:Z8"/>
    <mergeCell ref="S7:S8"/>
    <mergeCell ref="T7:T8"/>
    <mergeCell ref="U7:U8"/>
    <mergeCell ref="C19:P19"/>
    <mergeCell ref="V7:V8"/>
    <mergeCell ref="W7:W8"/>
    <mergeCell ref="X7:X8"/>
    <mergeCell ref="AA7:AA8"/>
    <mergeCell ref="C10:P10"/>
    <mergeCell ref="C11:P11"/>
    <mergeCell ref="C12:P12"/>
    <mergeCell ref="C13:P13"/>
    <mergeCell ref="C14:P14"/>
    <mergeCell ref="E15:O15"/>
    <mergeCell ref="M16:P16"/>
    <mergeCell ref="C20:P20"/>
    <mergeCell ref="C21:P21"/>
    <mergeCell ref="C22:P22"/>
    <mergeCell ref="C23:P23"/>
    <mergeCell ref="C24:M24"/>
    <mergeCell ref="N24:P24"/>
    <mergeCell ref="M35:P35"/>
    <mergeCell ref="C25:M25"/>
    <mergeCell ref="N25:P25"/>
    <mergeCell ref="C26:P26"/>
    <mergeCell ref="C27:P27"/>
    <mergeCell ref="C28:P28"/>
    <mergeCell ref="C29:P29"/>
    <mergeCell ref="C30:P30"/>
    <mergeCell ref="C31:P31"/>
    <mergeCell ref="C32:P32"/>
    <mergeCell ref="C33:P33"/>
    <mergeCell ref="E34:O34"/>
    <mergeCell ref="E50:O50"/>
    <mergeCell ref="C38:P38"/>
    <mergeCell ref="C39:P39"/>
    <mergeCell ref="C40:P40"/>
    <mergeCell ref="C41:P41"/>
    <mergeCell ref="C42:P42"/>
    <mergeCell ref="C43:P43"/>
    <mergeCell ref="C44:P44"/>
    <mergeCell ref="C45:P45"/>
    <mergeCell ref="C46:P46"/>
    <mergeCell ref="C47:P47"/>
    <mergeCell ref="C48:P48"/>
    <mergeCell ref="C68:P68"/>
    <mergeCell ref="M51:P51"/>
    <mergeCell ref="C54:P54"/>
    <mergeCell ref="C55:P55"/>
    <mergeCell ref="M56:P56"/>
    <mergeCell ref="C59:P59"/>
    <mergeCell ref="C60:P60"/>
    <mergeCell ref="C61:P61"/>
    <mergeCell ref="C62:P62"/>
    <mergeCell ref="C63:P63"/>
    <mergeCell ref="M64:P64"/>
    <mergeCell ref="C67:P67"/>
    <mergeCell ref="C85:P85"/>
    <mergeCell ref="C69:P69"/>
    <mergeCell ref="C70:P70"/>
    <mergeCell ref="C71:P71"/>
    <mergeCell ref="C72:P72"/>
    <mergeCell ref="C73:P73"/>
    <mergeCell ref="E74:O74"/>
    <mergeCell ref="M75:P75"/>
    <mergeCell ref="C78:P78"/>
    <mergeCell ref="C79:P79"/>
    <mergeCell ref="E80:O80"/>
    <mergeCell ref="M82:P82"/>
    <mergeCell ref="C100:P100"/>
    <mergeCell ref="C86:P86"/>
    <mergeCell ref="C87:P87"/>
    <mergeCell ref="C88:P88"/>
    <mergeCell ref="C89:P89"/>
    <mergeCell ref="C90:P90"/>
    <mergeCell ref="C91:P91"/>
    <mergeCell ref="C92:P92"/>
    <mergeCell ref="C93:P93"/>
    <mergeCell ref="C94:P94"/>
    <mergeCell ref="C95:P95"/>
    <mergeCell ref="M96:P96"/>
    <mergeCell ref="M107:P107"/>
    <mergeCell ref="B109:P109"/>
    <mergeCell ref="B110:P110"/>
    <mergeCell ref="C101:P101"/>
    <mergeCell ref="C102:P102"/>
    <mergeCell ref="C103:P103"/>
    <mergeCell ref="C104:P104"/>
    <mergeCell ref="C105:P105"/>
    <mergeCell ref="C106:P106"/>
  </mergeCells>
  <conditionalFormatting sqref="AA46:AA47 S46:V47">
    <cfRule type="expression" priority="2" dxfId="2">
      <formula>#REF!&gt;(0.1*$S$119)</formula>
    </cfRule>
  </conditionalFormatting>
  <conditionalFormatting sqref="Q110">
    <cfRule type="cellIs" priority="3" dxfId="3" operator="notEqual">
      <formula>'\\dchs-shares01\home\HCD\HFP\FUNDING ROUNDS\2014 Funding Round\2014 Applications received\LIHI - University Commons\[2014 9.3.UNIV COMMONS WORKBOOK-FINAL.xlsx]Form 7A'!#REF!+'\\dchs-shares01\home\HCD\HFP\FUNDING ROUNDS\2014 Funding Round\2014 Applications received\LIHI - University Commons\[2014 9.3.UNIV COMMONS WORKBOOK-FINAL.xlsx]Form 7A'!#REF!</formula>
    </cfRule>
  </conditionalFormatting>
  <conditionalFormatting sqref="Q109">
    <cfRule type="cellIs" priority="1" dxfId="3" operator="notEqual">
      <formula>'\\dchs-shares01\home\HCD\HFP\FUNDING ROUNDS\2014 Funding Round\2014 Applications received\LIHI - University Commons\[2014 9.3.UNIV COMMONS WORKBOOK-FINAL.xlsx]Form 7A'!#REF!+'\\dchs-shares01\home\HCD\HFP\FUNDING ROUNDS\2014 Funding Round\2014 Applications received\LIHI - University Commons\[2014 9.3.UNIV COMMONS WORKBOOK-FINAL.xlsx]Form 7A'!#REF!</formula>
    </cfRule>
  </conditionalFormatting>
  <dataValidations count="3">
    <dataValidation allowBlank="1" showInputMessage="1" showErrorMessage="1" promptTitle="New Construction Contingency %" prompt="Defined as New Construction Contingency divided by the sum of New Building, Contractor Profit, Contractor Overhead, and Bond Premium amounts _x000a__x000a_% = F33 / (F29+F31+F32+F41))" sqref="N24"/>
    <dataValidation allowBlank="1" showInputMessage="1" showErrorMessage="1" promptTitle="Rehab Contingency %" prompt="Defined as Rehab Contingency divided by the sum of Rehab, Contractor Profit, Contractor Overhead, and Bond Premium amounts_x000a__x000a_% = F34 / (F30+F31+F32+F41)" sqref="N25"/>
    <dataValidation operator="lessThanOrEqual" allowBlank="1" showInputMessage="1" showErrorMessage="1" sqref="AA46:AA47 S46:S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DeRobbio, Wendy</dc:creator>
  <cp:keywords/>
  <dc:description/>
  <cp:lastModifiedBy>DeRobbio, Wendy</cp:lastModifiedBy>
  <dcterms:created xsi:type="dcterms:W3CDTF">2018-05-24T23:09:48Z</dcterms:created>
  <dcterms:modified xsi:type="dcterms:W3CDTF">2018-06-11T04:44:20Z</dcterms:modified>
  <cp:category/>
  <cp:version/>
  <cp:contentType/>
  <cp:contentStatus/>
</cp:coreProperties>
</file>