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HTF\Application\Funding Round - 2017\Stage 2 Applications Received\Beacon Communities Inc -M17K001- Filipino Community Village\"/>
    </mc:Choice>
  </mc:AlternateContent>
  <bookViews>
    <workbookView xWindow="0" yWindow="0" windowWidth="24000" windowHeight="9135" firstSheet="8" activeTab="27"/>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HTF_Quickload" sheetId="51" state="hidden" r:id="rId8"/>
    <sheet name="1" sheetId="1" r:id="rId9"/>
    <sheet name="2A" sheetId="3" r:id="rId10"/>
    <sheet name="2B" sheetId="4" r:id="rId11"/>
    <sheet name="2C" sheetId="81" r:id="rId12"/>
    <sheet name="3" sheetId="6" r:id="rId13"/>
    <sheet name="4" sheetId="7" r:id="rId14"/>
    <sheet name="5" sheetId="8" r:id="rId15"/>
    <sheet name="6A" sheetId="9" r:id="rId16"/>
    <sheet name="6B" sheetId="10" r:id="rId17"/>
    <sheet name="6C" sheetId="11" r:id="rId18"/>
    <sheet name="6D" sheetId="12" r:id="rId19"/>
    <sheet name="6E" sheetId="13" r:id="rId20"/>
    <sheet name="7A" sheetId="49"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77" r:id="rId33"/>
    <sheet name="11B " sheetId="78" r:id="rId34"/>
    <sheet name="4% LIHTC ScoringLists" sheetId="79" state="hidden" r:id="rId35"/>
    <sheet name="9% ScoringLists" sheetId="80" state="hidden" r:id="rId36"/>
  </sheets>
  <externalReferences>
    <externalReference r:id="rId37"/>
  </externalReferences>
  <definedNames>
    <definedName name="_xlnm._FilterDatabase" localSheetId="14"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Debt_Type">Dropdowns!$B$56:$B$58</definedName>
    <definedName name="Enable">Dropdowns!$B$110:$B$110</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oan">Dropdowns!$H$52:$H$56</definedName>
    <definedName name="LoanType">Dropdowns!$H$52:$H$56</definedName>
    <definedName name="nine_pecent_inc_percent">'9% ScoringLists'!$B$91:$B$100</definedName>
    <definedName name="nine_perc_higher_income_counties">'9% ScoringLists'!$B$2:$B$20</definedName>
    <definedName name="nine_perc_higher_income_county_setasides">'9% ScoringLists'!$B$22:$B$42</definedName>
    <definedName name="nine_perc_lower_income_counties">'9% ScoringLists'!$B$44:$B$67</definedName>
    <definedName name="nine_perc_lower_income_county_setasides">'9% ScoringLists'!$B$69:$B$89</definedName>
    <definedName name="nine_percent_at_risk">'9% ScoringLists'!$B$199:$B$202</definedName>
    <definedName name="nine_percent_dev_fees">'9% ScoringLists'!$B$192:$B$197</definedName>
    <definedName name="nine_percent_eligible_tribes">'9% ScoringLists'!$B$211:$B$224</definedName>
    <definedName name="nine_percent_federal_funding_sources">'9% ScoringLists'!$B$174:$B$180</definedName>
    <definedName name="nine_percent_historic">'9% ScoringLists'!$B$207:$B$209</definedName>
    <definedName name="nine_percent_homeless">'9% ScoringLists'!$B$126:$B$128</definedName>
    <definedName name="nine_percent_in_within">'9% ScoringLists'!$B$239:$B$242</definedName>
    <definedName name="nine_percent_job_centers">'9% ScoringLists'!$B$245:$B$295</definedName>
    <definedName name="nine_percent_KC_HTF">'9% ScoringLists'!$B$182:$B$184</definedName>
    <definedName name="nine_percent_kc_opp_area">'9% ScoringLists'!$B$235:$B$237</definedName>
    <definedName name="nine_percent_king_county_tod">'9% ScoringLists'!$B$231:$B$233</definedName>
    <definedName name="nine_percent_local_funding_counties">'9% ScoringLists'!$B$143:$B$150</definedName>
    <definedName name="nine_percent_local_funding_sources">'9% ScoringLists'!$B$152:$B$164</definedName>
    <definedName name="nine_percent_local_funding_types">'9% ScoringLists'!$B$166:$B$172</definedName>
    <definedName name="nine_percent_location_efficient_projects">'9% ScoringLists'!$B$226:$B$229</definedName>
    <definedName name="nine_percent_np_sponsor">'9% ScoringLists'!$B$298:$B$301</definedName>
    <definedName name="nine_percent_pbra_units">'9% ScoringLists'!$B$186:$B$189</definedName>
    <definedName name="nine_percent_special_needs">'9% ScoringLists'!$B$133:$B$141</definedName>
    <definedName name="nine_percent_tdc_limits">'9% ScoringLists'!$B$303:$B$307</definedName>
    <definedName name="nine_percent_years">'9% ScoringLists'!$B$102:$B$124</definedName>
    <definedName name="Non_LIH_Units">Dropdowns!$B$87:$B$89</definedName>
    <definedName name="NonRes_FundSource">Dropdowns!$E$153:$E$168</definedName>
    <definedName name="OnSite_OffSite">Dropdowns!$B$170:$B$172</definedName>
    <definedName name="OnTime_OnBudget">Dropdowns!$B$147:$B$151</definedName>
    <definedName name="Population_Types">Dropdowns!$B$3:$B$22</definedName>
    <definedName name="_xlnm.Print_Area" localSheetId="8">'1'!$B$2:$Q$60</definedName>
    <definedName name="_xlnm.Print_Area" localSheetId="32">'11A'!$A$2:$M$244</definedName>
    <definedName name="_xlnm.Print_Area" localSheetId="9">'2A'!$B$2:$O$22</definedName>
    <definedName name="_xlnm.Print_Area" localSheetId="10">'2B'!$B$12:$P$34</definedName>
    <definedName name="_xlnm.Print_Area" localSheetId="11">'2C'!$B$12:$L$154</definedName>
    <definedName name="_xlnm.Print_Area" localSheetId="12">'3'!$B$15:$H$47</definedName>
    <definedName name="_xlnm.Print_Area" localSheetId="13">'4'!$B$2:$H$34</definedName>
    <definedName name="_xlnm.Print_Area" localSheetId="14">'5'!$B$11:$G$77</definedName>
    <definedName name="_xlnm.Print_Area" localSheetId="3">'5 Default Check'!$B$3:$F$62</definedName>
    <definedName name="_xlnm.Print_Area" localSheetId="15">'6A'!$B$12:$V$123</definedName>
    <definedName name="_xlnm.Print_Area" localSheetId="16">'6B'!$B$6:$L$101</definedName>
    <definedName name="_xlnm.Print_Area" localSheetId="17">'6C'!$B$10:$L$123</definedName>
    <definedName name="_xlnm.Print_Area" localSheetId="18">'6D'!$B$6:$H$54</definedName>
    <definedName name="_xlnm.Print_Area" localSheetId="19">'6E'!$B$7:$J$59</definedName>
    <definedName name="_xlnm.Print_Area" localSheetId="20">'7A'!$B$9:$Q$51</definedName>
    <definedName name="_xlnm.Print_Area" localSheetId="21">'7B'!$B$11:$U$58</definedName>
    <definedName name="_xlnm.Print_Area" localSheetId="22">'8A'!$B$8:$P$52</definedName>
    <definedName name="_xlnm.Print_Area" localSheetId="23">'8B'!$B$10:$H$40</definedName>
    <definedName name="_xlnm.Print_Area" localSheetId="24">'8C'!$B$9:$S$62</definedName>
    <definedName name="_xlnm.Print_Area" localSheetId="25">'8D'!$B$13:$W$111</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'9D'!$B$15:$L$57</definedName>
    <definedName name="_xlnm.Print_Area" localSheetId="31">'9E'!$B$7:$J$25</definedName>
    <definedName name="_xlnm.Print_Area" localSheetId="4">Definitions!$A$1:$L$44</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ublic_or_Private">Dropdowns!$B$60:$B$62</definedName>
    <definedName name="Region" localSheetId="11">'[1]ESDS-Lookup Table'!$A$2:$A$4</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ype" localSheetId="11">'[1]ESDS-Lookup Table'!$B$2:$B$5</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s>
  <calcPr calcId="162913"/>
</workbook>
</file>

<file path=xl/calcChain.xml><?xml version="1.0" encoding="utf-8"?>
<calcChain xmlns="http://schemas.openxmlformats.org/spreadsheetml/2006/main">
  <c r="H78" i="20" l="1"/>
  <c r="H44" i="15" l="1"/>
  <c r="H41" i="15"/>
  <c r="H43" i="15"/>
  <c r="P74" i="9" l="1"/>
  <c r="U74" i="9"/>
  <c r="U71" i="9"/>
  <c r="P71" i="9"/>
  <c r="J71" i="9"/>
  <c r="M49" i="12" l="1"/>
  <c r="J59" i="9"/>
  <c r="T25" i="9" l="1"/>
  <c r="L43" i="9"/>
  <c r="N25" i="9" l="1"/>
  <c r="H72" i="20" l="1"/>
  <c r="J143" i="81" l="1"/>
  <c r="J152" i="81" s="1"/>
  <c r="K142" i="81"/>
  <c r="I142" i="81" a="1"/>
  <c r="I142" i="81" s="1"/>
  <c r="K141" i="81"/>
  <c r="I141" i="81" a="1"/>
  <c r="I141" i="81" s="1"/>
  <c r="K140" i="81"/>
  <c r="I140" i="81" a="1"/>
  <c r="I140" i="81" s="1"/>
  <c r="K139" i="81"/>
  <c r="I139" i="81" a="1"/>
  <c r="I139" i="81" s="1"/>
  <c r="I138" i="81" a="1"/>
  <c r="I138" i="81" s="1"/>
  <c r="K137" i="81"/>
  <c r="I137" i="81" a="1"/>
  <c r="I137" i="81" s="1"/>
  <c r="J132" i="81"/>
  <c r="J151" i="81" s="1"/>
  <c r="K131" i="81"/>
  <c r="I131" i="81" a="1"/>
  <c r="I131" i="81" s="1"/>
  <c r="K130" i="81"/>
  <c r="I130" i="81" a="1"/>
  <c r="I130" i="81" s="1"/>
  <c r="K129" i="81"/>
  <c r="I129" i="81" a="1"/>
  <c r="I129" i="81" s="1"/>
  <c r="K128" i="81"/>
  <c r="I128" i="81" a="1"/>
  <c r="I128" i="81" s="1"/>
  <c r="K127" i="81"/>
  <c r="I127" i="81"/>
  <c r="I127" i="81" a="1"/>
  <c r="K126" i="81"/>
  <c r="I126" i="81" a="1"/>
  <c r="I126" i="81" s="1"/>
  <c r="K125" i="81"/>
  <c r="I125" i="81" a="1"/>
  <c r="I125" i="81" s="1"/>
  <c r="K124" i="81"/>
  <c r="I124" i="81" a="1"/>
  <c r="I124" i="81" s="1"/>
  <c r="K123" i="81"/>
  <c r="I123" i="81"/>
  <c r="I123" i="81" a="1"/>
  <c r="K122" i="81"/>
  <c r="I122" i="81" a="1"/>
  <c r="I122" i="81" s="1"/>
  <c r="K121" i="81"/>
  <c r="I121" i="81" a="1"/>
  <c r="I121" i="81" s="1"/>
  <c r="K120" i="81"/>
  <c r="I120" i="81" a="1"/>
  <c r="I120" i="81" s="1"/>
  <c r="K119" i="81"/>
  <c r="I119" i="81"/>
  <c r="I119" i="81" a="1"/>
  <c r="K118" i="81"/>
  <c r="I118" i="81" a="1"/>
  <c r="I118" i="81" s="1"/>
  <c r="K117" i="81"/>
  <c r="I117" i="81" a="1"/>
  <c r="I117" i="81" s="1"/>
  <c r="K116" i="81"/>
  <c r="I116" i="81" a="1"/>
  <c r="I116" i="81" s="1"/>
  <c r="K115" i="81"/>
  <c r="I115" i="81"/>
  <c r="I115" i="81" a="1"/>
  <c r="K114" i="81"/>
  <c r="I114" i="81" a="1"/>
  <c r="I114" i="81" s="1"/>
  <c r="K113" i="81"/>
  <c r="I113" i="81" a="1"/>
  <c r="I113" i="81" s="1"/>
  <c r="K112" i="81"/>
  <c r="I112" i="81" a="1"/>
  <c r="I112" i="81" s="1"/>
  <c r="K111" i="81"/>
  <c r="I111" i="81"/>
  <c r="I111" i="81" a="1"/>
  <c r="J106" i="81"/>
  <c r="J150" i="81" s="1"/>
  <c r="I105" i="81" a="1"/>
  <c r="I105" i="81" s="1"/>
  <c r="I104" i="81" a="1"/>
  <c r="I104" i="81" s="1"/>
  <c r="K103" i="81"/>
  <c r="I103" i="81" a="1"/>
  <c r="I103" i="81" s="1"/>
  <c r="K102" i="81"/>
  <c r="I102" i="81" a="1"/>
  <c r="I102" i="81" s="1"/>
  <c r="K101" i="81"/>
  <c r="I101" i="81" a="1"/>
  <c r="I101" i="81" s="1"/>
  <c r="K100" i="81"/>
  <c r="I100" i="81" a="1"/>
  <c r="I100" i="81" s="1"/>
  <c r="K99" i="81"/>
  <c r="I99" i="81"/>
  <c r="I99" i="81" a="1"/>
  <c r="J95" i="81"/>
  <c r="J149" i="81" s="1"/>
  <c r="K94" i="81"/>
  <c r="I94" i="81" a="1"/>
  <c r="I94" i="81" s="1"/>
  <c r="K93" i="81"/>
  <c r="I93" i="81" a="1"/>
  <c r="I93" i="81" s="1"/>
  <c r="K92" i="81"/>
  <c r="I92" i="81"/>
  <c r="I92" i="81" a="1"/>
  <c r="K91" i="81"/>
  <c r="I91" i="81" a="1"/>
  <c r="I91" i="81" s="1"/>
  <c r="K90" i="81"/>
  <c r="I90" i="81" a="1"/>
  <c r="I90" i="81" s="1"/>
  <c r="K89" i="81"/>
  <c r="I89" i="81" a="1"/>
  <c r="I89" i="81" s="1"/>
  <c r="K88" i="81"/>
  <c r="I88" i="81" a="1"/>
  <c r="I88" i="81" s="1"/>
  <c r="K87" i="81"/>
  <c r="I87" i="81" a="1"/>
  <c r="I87" i="81" s="1"/>
  <c r="K86" i="81"/>
  <c r="I86" i="81" a="1"/>
  <c r="I86" i="81" s="1"/>
  <c r="K85" i="81"/>
  <c r="I85" i="81" a="1"/>
  <c r="I85" i="81" s="1"/>
  <c r="K84" i="81"/>
  <c r="I84" i="81"/>
  <c r="I84" i="81" a="1"/>
  <c r="K83" i="81"/>
  <c r="I83" i="81" a="1"/>
  <c r="I83" i="81" s="1"/>
  <c r="K82" i="81"/>
  <c r="I82" i="81" a="1"/>
  <c r="I82" i="81" s="1"/>
  <c r="K81" i="81"/>
  <c r="I81" i="81" a="1"/>
  <c r="I81" i="81" s="1"/>
  <c r="K80" i="81"/>
  <c r="I80" i="81" a="1"/>
  <c r="I80" i="81" s="1"/>
  <c r="K79" i="81"/>
  <c r="I79" i="81" a="1"/>
  <c r="I79" i="81" s="1"/>
  <c r="K78" i="81"/>
  <c r="I78" i="81" a="1"/>
  <c r="I78" i="81" s="1"/>
  <c r="K77" i="81"/>
  <c r="I77" i="81" a="1"/>
  <c r="I77" i="81" s="1"/>
  <c r="J72" i="81"/>
  <c r="J148" i="81" s="1"/>
  <c r="I71" i="81"/>
  <c r="I71" i="81" a="1"/>
  <c r="K70" i="81"/>
  <c r="I70" i="81" a="1"/>
  <c r="I70" i="81" s="1"/>
  <c r="K69" i="81"/>
  <c r="I69" i="81" a="1"/>
  <c r="I69" i="81" s="1"/>
  <c r="I68" i="81" a="1"/>
  <c r="I68" i="81" s="1"/>
  <c r="K67" i="81"/>
  <c r="I67" i="81" a="1"/>
  <c r="I67" i="81" s="1"/>
  <c r="J63" i="81"/>
  <c r="J147" i="81" s="1"/>
  <c r="K62" i="81"/>
  <c r="I62" i="81" a="1"/>
  <c r="I62" i="81" s="1"/>
  <c r="K61" i="81"/>
  <c r="I61" i="81" a="1"/>
  <c r="I61" i="81" s="1"/>
  <c r="K60" i="81"/>
  <c r="I60" i="81" a="1"/>
  <c r="I60" i="81" s="1"/>
  <c r="K59" i="81"/>
  <c r="I59" i="81"/>
  <c r="I59" i="81" a="1"/>
  <c r="K58" i="81"/>
  <c r="I58" i="81" a="1"/>
  <c r="I58" i="81" s="1"/>
  <c r="K57" i="81"/>
  <c r="I57" i="81" a="1"/>
  <c r="I57" i="81" s="1"/>
  <c r="K56" i="81"/>
  <c r="I56" i="81" a="1"/>
  <c r="I56" i="81" s="1"/>
  <c r="K55" i="81"/>
  <c r="I55" i="81" a="1"/>
  <c r="I55" i="81" s="1"/>
  <c r="J51" i="81"/>
  <c r="J146" i="81" s="1"/>
  <c r="K50" i="81"/>
  <c r="I50" i="81" a="1"/>
  <c r="I50" i="81" s="1"/>
  <c r="K49" i="81"/>
  <c r="I49" i="81" a="1"/>
  <c r="I49" i="81" s="1"/>
  <c r="K48" i="81"/>
  <c r="I48" i="81" a="1"/>
  <c r="I48" i="81" s="1"/>
  <c r="K47" i="81"/>
  <c r="I47" i="81" a="1"/>
  <c r="I47" i="81" s="1"/>
  <c r="K46" i="81"/>
  <c r="I46" i="81"/>
  <c r="I46" i="81" a="1"/>
  <c r="K45" i="81"/>
  <c r="I45" i="81" a="1"/>
  <c r="I45" i="81" s="1"/>
  <c r="K44" i="81"/>
  <c r="I44" i="81"/>
  <c r="I44" i="81" a="1"/>
  <c r="K43" i="81"/>
  <c r="I43" i="81" a="1"/>
  <c r="I43" i="81" s="1"/>
  <c r="K42" i="81"/>
  <c r="I42" i="81" a="1"/>
  <c r="I42" i="81" s="1"/>
  <c r="K41" i="81"/>
  <c r="I41" i="81" a="1"/>
  <c r="I41" i="81" s="1"/>
  <c r="K40" i="81"/>
  <c r="I40" i="81" a="1"/>
  <c r="I40" i="81" s="1"/>
  <c r="J36" i="81"/>
  <c r="J145" i="81" s="1"/>
  <c r="I35" i="81" a="1"/>
  <c r="I35" i="81" s="1"/>
  <c r="I34" i="81" a="1"/>
  <c r="I34" i="81" s="1"/>
  <c r="I33" i="81" a="1"/>
  <c r="I33" i="81" s="1"/>
  <c r="K32" i="81"/>
  <c r="I32" i="81" a="1"/>
  <c r="I32" i="81" s="1"/>
  <c r="I31" i="81"/>
  <c r="I31" i="81" a="1"/>
  <c r="K30" i="81"/>
  <c r="I30" i="81" a="1"/>
  <c r="I30" i="81" s="1"/>
  <c r="J153" i="81" l="1"/>
  <c r="N20" i="4" l="1"/>
  <c r="I20" i="4"/>
  <c r="I23" i="78" l="1"/>
  <c r="M26" i="78"/>
  <c r="M33" i="78"/>
  <c r="J67" i="78"/>
  <c r="M59" i="78" s="1"/>
  <c r="M70" i="78"/>
  <c r="I89" i="78"/>
  <c r="M80" i="78" s="1"/>
  <c r="I101" i="78"/>
  <c r="I103" i="78" s="1"/>
  <c r="M92" i="78" s="1"/>
  <c r="I113" i="78"/>
  <c r="M106" i="78" s="1"/>
  <c r="M117" i="78"/>
  <c r="K134" i="78"/>
  <c r="M152" i="78"/>
  <c r="M189" i="78"/>
  <c r="I30" i="77"/>
  <c r="K79" i="77"/>
  <c r="L91" i="77"/>
  <c r="I224" i="77"/>
  <c r="K232" i="77"/>
  <c r="M234" i="77"/>
  <c r="K242" i="77"/>
  <c r="M234" i="78" l="1"/>
  <c r="C20" i="4" l="1"/>
  <c r="G24" i="12" l="1"/>
  <c r="C33" i="4" l="1"/>
  <c r="C32" i="4"/>
  <c r="C31" i="4"/>
  <c r="C30" i="4"/>
  <c r="C29" i="4"/>
  <c r="C28" i="4"/>
  <c r="C27" i="4"/>
  <c r="C26" i="4"/>
  <c r="C25" i="4"/>
  <c r="C24" i="4"/>
  <c r="C23" i="4"/>
  <c r="C22" i="4"/>
  <c r="C21" i="4"/>
  <c r="J2" i="51" l="1"/>
  <c r="BH2" i="51"/>
  <c r="BG2" i="51"/>
  <c r="E2" i="51"/>
  <c r="D2" i="51"/>
  <c r="C2" i="51"/>
  <c r="CQ2" i="51" l="1"/>
  <c r="CP2" i="51"/>
  <c r="BT2" i="51"/>
  <c r="BZ2" i="51"/>
  <c r="BX2" i="51"/>
  <c r="BW2" i="51"/>
  <c r="BV2" i="51"/>
  <c r="BU2" i="51"/>
  <c r="BR2" i="51" l="1"/>
  <c r="BK2" i="51"/>
  <c r="BI2" i="51"/>
  <c r="BF2" i="51"/>
  <c r="BE2" i="51"/>
  <c r="BB2" i="51"/>
  <c r="BA2" i="51"/>
  <c r="AZ2" i="51"/>
  <c r="AY2" i="51"/>
  <c r="AW2" i="51"/>
  <c r="AV2" i="51"/>
  <c r="AU2" i="51"/>
  <c r="AT2" i="51"/>
  <c r="N5" i="51"/>
  <c r="M5" i="51"/>
  <c r="K5" i="51"/>
  <c r="I2" i="51"/>
  <c r="H2" i="51"/>
  <c r="G2" i="51"/>
  <c r="F2" i="51"/>
  <c r="B2" i="51"/>
  <c r="A2" i="51"/>
  <c r="K51" i="16" l="1"/>
  <c r="AG2" i="51" s="1"/>
  <c r="J51" i="16"/>
  <c r="AF2" i="51" s="1"/>
  <c r="I51" i="16"/>
  <c r="AE2" i="51" s="1"/>
  <c r="H51" i="16"/>
  <c r="AD2" i="51" s="1"/>
  <c r="G51" i="16"/>
  <c r="AC2" i="51" s="1"/>
  <c r="F51" i="16"/>
  <c r="E51" i="16"/>
  <c r="D51" i="16"/>
  <c r="K50" i="16"/>
  <c r="J50" i="16"/>
  <c r="I50" i="16"/>
  <c r="H50" i="16"/>
  <c r="G50" i="16"/>
  <c r="F50" i="16"/>
  <c r="E50" i="16"/>
  <c r="D50" i="16"/>
  <c r="T41" i="15"/>
  <c r="F19" i="7"/>
  <c r="AB2" i="51" l="1"/>
  <c r="AH2" i="51"/>
  <c r="C33" i="15"/>
  <c r="C32" i="15"/>
  <c r="C31" i="15"/>
  <c r="C30"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L55" i="36" l="1"/>
  <c r="BQ2" i="51"/>
  <c r="G23" i="37" l="1"/>
  <c r="F46" i="49"/>
  <c r="E46" i="49"/>
  <c r="F33" i="49"/>
  <c r="E33" i="49"/>
  <c r="F20" i="49"/>
  <c r="E20" i="49"/>
  <c r="C12" i="49"/>
  <c r="F48" i="49" l="1"/>
  <c r="CB2" i="51" s="1"/>
  <c r="CC2" i="51"/>
  <c r="CD2" i="51"/>
  <c r="F22" i="49"/>
  <c r="BS2" i="51" s="1"/>
  <c r="F35" i="49"/>
  <c r="G36" i="12" s="1"/>
  <c r="G48" i="12"/>
  <c r="R31" i="36" l="1"/>
  <c r="R43" i="36" s="1"/>
  <c r="O31" i="36"/>
  <c r="O43" i="36" s="1"/>
  <c r="BP2" i="51" l="1"/>
  <c r="BO2" i="51" s="1"/>
  <c r="R41" i="36" l="1"/>
  <c r="P41" i="36"/>
  <c r="O41" i="36"/>
  <c r="N41" i="36"/>
  <c r="H40" i="36"/>
  <c r="H39" i="36"/>
  <c r="H38" i="36"/>
  <c r="K38" i="36" s="1"/>
  <c r="H37" i="36"/>
  <c r="K37" i="36" s="1"/>
  <c r="H36" i="36"/>
  <c r="H35" i="36"/>
  <c r="H34" i="36"/>
  <c r="K34" i="36" s="1"/>
  <c r="H33" i="36"/>
  <c r="H32" i="36"/>
  <c r="K33" i="36" l="1"/>
  <c r="L33" i="36"/>
  <c r="K35" i="36"/>
  <c r="L35" i="36" s="1"/>
  <c r="K39" i="36"/>
  <c r="L39" i="36" s="1"/>
  <c r="K32" i="36"/>
  <c r="L32" i="36" s="1"/>
  <c r="K36" i="36"/>
  <c r="L36" i="36" s="1"/>
  <c r="K40" i="36"/>
  <c r="L40" i="36" s="1"/>
  <c r="L34" i="36"/>
  <c r="L38"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H97" i="20" s="1"/>
  <c r="CS2" i="51" s="1"/>
  <c r="CX2" i="51" s="1"/>
  <c r="E65" i="43"/>
  <c r="G37" i="9"/>
  <c r="G36" i="9"/>
  <c r="G17" i="37" l="1"/>
  <c r="H20" i="36"/>
  <c r="K20" i="36" l="1"/>
  <c r="L20" i="36" s="1"/>
  <c r="C65" i="20"/>
  <c r="C10" i="26"/>
  <c r="C18" i="25"/>
  <c r="C15" i="24"/>
  <c r="C10" i="23"/>
  <c r="C5" i="22"/>
  <c r="C10" i="21"/>
  <c r="C16" i="20"/>
  <c r="C12" i="36"/>
  <c r="C13" i="17"/>
  <c r="C11" i="16"/>
  <c r="C14" i="15"/>
  <c r="C10" i="13"/>
  <c r="C9" i="12"/>
  <c r="C13" i="11"/>
  <c r="C9" i="10"/>
  <c r="C15" i="9"/>
  <c r="C14" i="8"/>
  <c r="C5" i="7"/>
  <c r="C18" i="6"/>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AR2" i="51"/>
  <c r="AQ2" i="51"/>
  <c r="AP2" i="51"/>
  <c r="AO2" i="51"/>
  <c r="AN2" i="51"/>
  <c r="AM2" i="51"/>
  <c r="AL2" i="51"/>
  <c r="AK2" i="51"/>
  <c r="G24" i="37" l="1"/>
  <c r="G22" i="37"/>
  <c r="G21" i="37"/>
  <c r="G14" i="37"/>
  <c r="G13" i="37"/>
  <c r="G12" i="37"/>
  <c r="G11" i="37"/>
  <c r="G10" i="37"/>
  <c r="E29" i="21" l="1"/>
  <c r="F17" i="17"/>
  <c r="F18" i="17"/>
  <c r="F19" i="17"/>
  <c r="F20" i="17"/>
  <c r="F26" i="17"/>
  <c r="F27" i="17"/>
  <c r="F29" i="17"/>
  <c r="F35" i="17"/>
  <c r="F37" i="17"/>
  <c r="F38" i="17"/>
  <c r="J19" i="16"/>
  <c r="I88" i="20" l="1"/>
  <c r="J88" i="20" s="1"/>
  <c r="K88" i="20" s="1"/>
  <c r="L88" i="20" s="1"/>
  <c r="M88" i="20" s="1"/>
  <c r="N88" i="20" s="1"/>
  <c r="O88" i="20" s="1"/>
  <c r="P88" i="20" s="1"/>
  <c r="Q88" i="20" s="1"/>
  <c r="R88" i="20" s="1"/>
  <c r="S88" i="20" s="1"/>
  <c r="T88" i="20" s="1"/>
  <c r="U88" i="20" s="1"/>
  <c r="V88" i="20" s="1"/>
  <c r="E43" i="21"/>
  <c r="E41" i="21"/>
  <c r="E31" i="21"/>
  <c r="J18" i="16"/>
  <c r="J17" i="16"/>
  <c r="P15" i="36" l="1"/>
  <c r="O15" i="36"/>
  <c r="D39" i="17"/>
  <c r="CJ2" i="51" s="1"/>
  <c r="E39" i="17"/>
  <c r="CK2" i="51" s="1"/>
  <c r="E30" i="17"/>
  <c r="CG2" i="51" s="1"/>
  <c r="D30" i="17"/>
  <c r="CF2" i="51" s="1"/>
  <c r="T44" i="15"/>
  <c r="T47" i="15"/>
  <c r="T46" i="15"/>
  <c r="T45" i="15"/>
  <c r="T43" i="15"/>
  <c r="T42" i="15"/>
  <c r="T40" i="15"/>
  <c r="T39" i="15"/>
  <c r="T31" i="15"/>
  <c r="T33" i="15"/>
  <c r="T32" i="15"/>
  <c r="T30" i="15"/>
  <c r="T29" i="15"/>
  <c r="T28" i="15"/>
  <c r="T27" i="15"/>
  <c r="T26" i="15"/>
  <c r="L23" i="15"/>
  <c r="T22" i="15"/>
  <c r="T21" i="15"/>
  <c r="T20" i="15"/>
  <c r="T19" i="15"/>
  <c r="K49" i="15"/>
  <c r="D49" i="15"/>
  <c r="J49" i="15"/>
  <c r="I49" i="15"/>
  <c r="H49" i="15"/>
  <c r="G49" i="15"/>
  <c r="F49" i="15"/>
  <c r="E49" i="15"/>
  <c r="K34" i="15"/>
  <c r="J34" i="15"/>
  <c r="I34" i="15"/>
  <c r="H34" i="15"/>
  <c r="G34" i="15"/>
  <c r="F34" i="15"/>
  <c r="E34" i="15"/>
  <c r="D34" i="15"/>
  <c r="K23" i="15"/>
  <c r="J23" i="15"/>
  <c r="I23" i="15"/>
  <c r="H23" i="15"/>
  <c r="G23" i="15"/>
  <c r="F23" i="15"/>
  <c r="E23" i="15"/>
  <c r="D23" i="15"/>
  <c r="D36" i="15" s="1"/>
  <c r="K28" i="4"/>
  <c r="O28" i="4" s="1"/>
  <c r="F39" i="17" l="1"/>
  <c r="N55" i="36" s="1"/>
  <c r="F30" i="17"/>
  <c r="K36" i="15"/>
  <c r="K51" i="15" s="1"/>
  <c r="T49" i="15"/>
  <c r="D51" i="15"/>
  <c r="H36" i="15"/>
  <c r="H51" i="15" s="1"/>
  <c r="E36" i="15"/>
  <c r="E51" i="15" s="1"/>
  <c r="I36" i="15"/>
  <c r="I51" i="15" s="1"/>
  <c r="F36" i="15"/>
  <c r="F51" i="15" s="1"/>
  <c r="J36" i="15"/>
  <c r="J51" i="15" s="1"/>
  <c r="G36" i="15"/>
  <c r="G51" i="15" s="1"/>
  <c r="H26" i="20" l="1"/>
  <c r="H24" i="36"/>
  <c r="R27" i="36"/>
  <c r="P27" i="36"/>
  <c r="O27" i="36"/>
  <c r="H23" i="36"/>
  <c r="H22" i="36"/>
  <c r="K22" i="36" s="1"/>
  <c r="H21" i="36"/>
  <c r="K21" i="36" s="1"/>
  <c r="H19" i="36"/>
  <c r="K19" i="36" s="1"/>
  <c r="H18" i="36"/>
  <c r="H17" i="36"/>
  <c r="H16" i="36"/>
  <c r="K17" i="36" l="1"/>
  <c r="L17" i="36" s="1"/>
  <c r="K16" i="36"/>
  <c r="L16" i="36" s="1"/>
  <c r="N28" i="36"/>
  <c r="K18" i="36"/>
  <c r="L18" i="36" s="1"/>
  <c r="K23" i="36"/>
  <c r="L23" i="36" s="1"/>
  <c r="K24" i="36"/>
  <c r="L24" i="36" s="1"/>
  <c r="L22" i="36"/>
  <c r="L19" i="36"/>
  <c r="L21" i="36"/>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5" i="20"/>
  <c r="P35" i="20"/>
  <c r="Q35" i="20"/>
  <c r="R35" i="20"/>
  <c r="S35" i="20"/>
  <c r="T35" i="20"/>
  <c r="U35" i="20"/>
  <c r="V35" i="20"/>
  <c r="I99" i="20"/>
  <c r="J99" i="20" s="1"/>
  <c r="K99" i="20" s="1"/>
  <c r="L99" i="20" s="1"/>
  <c r="M99" i="20" s="1"/>
  <c r="N99" i="20" s="1"/>
  <c r="O99" i="20" s="1"/>
  <c r="I97" i="20"/>
  <c r="H95" i="20"/>
  <c r="I94" i="20"/>
  <c r="I93" i="20"/>
  <c r="J93" i="20" s="1"/>
  <c r="I90" i="20"/>
  <c r="J90" i="20" s="1"/>
  <c r="K90" i="20" s="1"/>
  <c r="L90" i="20" s="1"/>
  <c r="M90" i="20" s="1"/>
  <c r="N90" i="20" s="1"/>
  <c r="O90" i="20" s="1"/>
  <c r="P90" i="20" s="1"/>
  <c r="Q90" i="20" s="1"/>
  <c r="R90" i="20" s="1"/>
  <c r="S90" i="20" s="1"/>
  <c r="T90" i="20" s="1"/>
  <c r="U90" i="20" s="1"/>
  <c r="V90" i="20" s="1"/>
  <c r="I89" i="20"/>
  <c r="J89" i="20" s="1"/>
  <c r="K89" i="20" s="1"/>
  <c r="L89" i="20" s="1"/>
  <c r="M89" i="20" s="1"/>
  <c r="N89" i="20" s="1"/>
  <c r="O89" i="20" s="1"/>
  <c r="P89" i="20" s="1"/>
  <c r="Q89" i="20" s="1"/>
  <c r="R89" i="20" s="1"/>
  <c r="S89" i="20" s="1"/>
  <c r="T89" i="20" s="1"/>
  <c r="U89" i="20" s="1"/>
  <c r="V89"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I72" i="20"/>
  <c r="J72" i="20" s="1"/>
  <c r="K72" i="20" s="1"/>
  <c r="L72" i="20" s="1"/>
  <c r="M72" i="20" s="1"/>
  <c r="N72" i="20" s="1"/>
  <c r="O72" i="20" s="1"/>
  <c r="P72" i="20" s="1"/>
  <c r="Q72" i="20" s="1"/>
  <c r="R72" i="20" s="1"/>
  <c r="S72" i="20" s="1"/>
  <c r="T72" i="20" s="1"/>
  <c r="U72" i="20" s="1"/>
  <c r="V72" i="20" s="1"/>
  <c r="V57" i="20"/>
  <c r="U57" i="20"/>
  <c r="T57" i="20"/>
  <c r="S57" i="20"/>
  <c r="R57" i="20"/>
  <c r="Q57" i="20"/>
  <c r="P57" i="20"/>
  <c r="O57" i="20"/>
  <c r="V48" i="20"/>
  <c r="U48" i="20"/>
  <c r="T48" i="20"/>
  <c r="S48" i="20"/>
  <c r="R48" i="20"/>
  <c r="Q48" i="20"/>
  <c r="P48" i="20"/>
  <c r="O48" i="20"/>
  <c r="L26" i="36" l="1"/>
  <c r="K73" i="20"/>
  <c r="L73" i="20" s="1"/>
  <c r="M73" i="20" s="1"/>
  <c r="N73" i="20" s="1"/>
  <c r="O73" i="20" s="1"/>
  <c r="P73" i="20" s="1"/>
  <c r="Q73" i="20" s="1"/>
  <c r="R73" i="20" s="1"/>
  <c r="S73" i="20" s="1"/>
  <c r="T73" i="20" s="1"/>
  <c r="U73" i="20" s="1"/>
  <c r="V73" i="20" s="1"/>
  <c r="L25" i="36"/>
  <c r="H70" i="20" s="1"/>
  <c r="J94" i="20"/>
  <c r="K94" i="20" s="1"/>
  <c r="L94" i="20" s="1"/>
  <c r="M94" i="20" s="1"/>
  <c r="N94" i="20" s="1"/>
  <c r="O94" i="20" s="1"/>
  <c r="P94" i="20" s="1"/>
  <c r="Q94" i="20" s="1"/>
  <c r="R94" i="20" s="1"/>
  <c r="S94" i="20" s="1"/>
  <c r="T94" i="20" s="1"/>
  <c r="U94" i="20" s="1"/>
  <c r="V94" i="20" s="1"/>
  <c r="CR2" i="51"/>
  <c r="J97" i="20"/>
  <c r="K97" i="20" s="1"/>
  <c r="L97" i="20" s="1"/>
  <c r="M97" i="20" s="1"/>
  <c r="N97" i="20" s="1"/>
  <c r="O97" i="20" s="1"/>
  <c r="P97" i="20" s="1"/>
  <c r="Q97" i="20" s="1"/>
  <c r="R97" i="20" s="1"/>
  <c r="S97" i="20" s="1"/>
  <c r="T97" i="20" s="1"/>
  <c r="U97" i="20" s="1"/>
  <c r="V97" i="20" s="1"/>
  <c r="L27" i="36"/>
  <c r="L28" i="36" s="1"/>
  <c r="E45" i="16"/>
  <c r="E48" i="16" s="1"/>
  <c r="O29" i="16"/>
  <c r="O26" i="16"/>
  <c r="P99" i="20"/>
  <c r="Q99" i="20" s="1"/>
  <c r="K93" i="20"/>
  <c r="I95" i="20"/>
  <c r="S34" i="15"/>
  <c r="R34" i="15"/>
  <c r="Q34" i="15"/>
  <c r="P34" i="15"/>
  <c r="O34" i="15"/>
  <c r="N34" i="15"/>
  <c r="M34" i="15"/>
  <c r="L34" i="15"/>
  <c r="L36" i="15" s="1"/>
  <c r="S23" i="15"/>
  <c r="S36" i="15" s="1"/>
  <c r="R23" i="15"/>
  <c r="Q23" i="15"/>
  <c r="P23" i="15"/>
  <c r="O23" i="15"/>
  <c r="N23" i="15"/>
  <c r="M23" i="15"/>
  <c r="N36" i="15" l="1"/>
  <c r="O36" i="15"/>
  <c r="CM2" i="51"/>
  <c r="J95" i="20"/>
  <c r="M36" i="15"/>
  <c r="Q36" i="15"/>
  <c r="P36" i="15"/>
  <c r="R36" i="15"/>
  <c r="R99" i="20"/>
  <c r="L93" i="20"/>
  <c r="K95" i="20"/>
  <c r="D23" i="22"/>
  <c r="D52" i="22"/>
  <c r="I70" i="20" l="1"/>
  <c r="S99" i="20"/>
  <c r="M93" i="20"/>
  <c r="N93" i="20" s="1"/>
  <c r="O93" i="20" s="1"/>
  <c r="L95" i="20"/>
  <c r="N34" i="4"/>
  <c r="J70" i="20" l="1"/>
  <c r="P93" i="20"/>
  <c r="O95" i="20"/>
  <c r="T99" i="20"/>
  <c r="M95" i="20"/>
  <c r="N95" i="20"/>
  <c r="K70" i="20" l="1"/>
  <c r="Q93" i="20"/>
  <c r="P95" i="20"/>
  <c r="U99" i="20"/>
  <c r="L70" i="20" l="1"/>
  <c r="R93" i="20"/>
  <c r="Q95" i="20"/>
  <c r="V99" i="20"/>
  <c r="M70" i="20" l="1"/>
  <c r="R95" i="20"/>
  <c r="S93" i="20"/>
  <c r="D67" i="20"/>
  <c r="N70" i="20" l="1"/>
  <c r="S95" i="20"/>
  <c r="T93" i="20"/>
  <c r="D12" i="26"/>
  <c r="D21" i="25"/>
  <c r="D28" i="22"/>
  <c r="D27" i="22"/>
  <c r="D24" i="22"/>
  <c r="D19" i="22"/>
  <c r="D18" i="22"/>
  <c r="D17" i="22"/>
  <c r="D8" i="22"/>
  <c r="H35" i="20"/>
  <c r="N57" i="20"/>
  <c r="M57" i="20"/>
  <c r="L57" i="20"/>
  <c r="K57" i="20"/>
  <c r="J57" i="20"/>
  <c r="I57" i="20"/>
  <c r="H57" i="20"/>
  <c r="N48" i="20"/>
  <c r="M48" i="20"/>
  <c r="L48" i="20"/>
  <c r="K48" i="20"/>
  <c r="J48" i="20"/>
  <c r="I48" i="20"/>
  <c r="H48" i="20"/>
  <c r="N35" i="20"/>
  <c r="M35" i="20"/>
  <c r="L35" i="20"/>
  <c r="K35" i="20"/>
  <c r="J35" i="20"/>
  <c r="I35" i="20"/>
  <c r="I28" i="20"/>
  <c r="I29" i="20"/>
  <c r="J29" i="20" s="1"/>
  <c r="K29" i="20" s="1"/>
  <c r="L29" i="20" s="1"/>
  <c r="M29" i="20" s="1"/>
  <c r="N29" i="20" s="1"/>
  <c r="O29" i="20" s="1"/>
  <c r="P29" i="20" s="1"/>
  <c r="Q29" i="20" s="1"/>
  <c r="R29" i="20" s="1"/>
  <c r="S29" i="20" s="1"/>
  <c r="T29" i="20" s="1"/>
  <c r="U29" i="20" s="1"/>
  <c r="V29" i="20" s="1"/>
  <c r="E21" i="17"/>
  <c r="CI2" i="51" s="1"/>
  <c r="D21" i="17"/>
  <c r="O70" i="20" l="1"/>
  <c r="F21" i="17"/>
  <c r="H25" i="20" s="1"/>
  <c r="I25" i="20" s="1"/>
  <c r="CH2" i="51"/>
  <c r="J28" i="20"/>
  <c r="K28" i="20" s="1"/>
  <c r="L28" i="20" s="1"/>
  <c r="M28" i="20" s="1"/>
  <c r="N28" i="20" s="1"/>
  <c r="O28" i="20" s="1"/>
  <c r="P28" i="20" s="1"/>
  <c r="Q28" i="20" s="1"/>
  <c r="R28" i="20" s="1"/>
  <c r="S28" i="20" s="1"/>
  <c r="T28" i="20" s="1"/>
  <c r="U28" i="20" s="1"/>
  <c r="V28" i="20" s="1"/>
  <c r="T95" i="20"/>
  <c r="U93" i="20"/>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49" i="15"/>
  <c r="S51" i="15" s="1"/>
  <c r="R49" i="15"/>
  <c r="R51" i="15" s="1"/>
  <c r="Q49" i="15"/>
  <c r="Q51" i="15" s="1"/>
  <c r="P49" i="15"/>
  <c r="P51" i="15" s="1"/>
  <c r="O49" i="15"/>
  <c r="O51" i="15" s="1"/>
  <c r="N49" i="15"/>
  <c r="N51" i="15" s="1"/>
  <c r="M49" i="15"/>
  <c r="M51" i="15" s="1"/>
  <c r="L49" i="15"/>
  <c r="L51" i="15" s="1"/>
  <c r="P70" i="20" l="1"/>
  <c r="N30" i="16"/>
  <c r="H24" i="20" s="1"/>
  <c r="L22" i="16"/>
  <c r="L23" i="16"/>
  <c r="U95" i="20"/>
  <c r="V93" i="20"/>
  <c r="V95" i="20" s="1"/>
  <c r="M30" i="16"/>
  <c r="L15" i="16"/>
  <c r="O20" i="16"/>
  <c r="O21" i="16"/>
  <c r="O16" i="16"/>
  <c r="O25" i="16"/>
  <c r="L14" i="16"/>
  <c r="O17" i="16"/>
  <c r="O24" i="16"/>
  <c r="O18" i="16"/>
  <c r="O22" i="16"/>
  <c r="O19" i="16"/>
  <c r="O23" i="16"/>
  <c r="O15" i="16"/>
  <c r="O14" i="16"/>
  <c r="H38" i="20"/>
  <c r="T34" i="15"/>
  <c r="T23" i="15"/>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K46" i="11"/>
  <c r="K62" i="11"/>
  <c r="K75" i="11"/>
  <c r="K106" i="11"/>
  <c r="J106" i="11"/>
  <c r="J75" i="11"/>
  <c r="J62" i="11"/>
  <c r="J46" i="11"/>
  <c r="Q70" i="20" l="1"/>
  <c r="J25" i="20"/>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O30" i="16"/>
  <c r="L50" i="16"/>
  <c r="H23" i="20"/>
  <c r="T36" i="15"/>
  <c r="T51" i="15" s="1"/>
  <c r="H52" i="13"/>
  <c r="H45" i="13"/>
  <c r="H37" i="13"/>
  <c r="H26" i="13"/>
  <c r="J118" i="11"/>
  <c r="F16" i="12" s="1"/>
  <c r="F21" i="12" s="1"/>
  <c r="F23" i="12" s="1"/>
  <c r="F26" i="12" s="1"/>
  <c r="K118" i="11"/>
  <c r="G16" i="12" s="1"/>
  <c r="G21" i="12" s="1"/>
  <c r="G23" i="12" s="1"/>
  <c r="G26" i="12" s="1"/>
  <c r="G28" i="12" s="1"/>
  <c r="G30" i="12" s="1"/>
  <c r="U118" i="9"/>
  <c r="T118" i="9"/>
  <c r="Q118" i="9"/>
  <c r="P118" i="9"/>
  <c r="O118" i="9"/>
  <c r="N118" i="9"/>
  <c r="M118" i="9"/>
  <c r="L118" i="9"/>
  <c r="U107" i="9"/>
  <c r="T107" i="9"/>
  <c r="Q107" i="9"/>
  <c r="P107" i="9"/>
  <c r="O107" i="9"/>
  <c r="N107" i="9"/>
  <c r="M107" i="9"/>
  <c r="L107" i="9"/>
  <c r="U93" i="9"/>
  <c r="T93" i="9"/>
  <c r="Q93" i="9"/>
  <c r="P93" i="9"/>
  <c r="O93" i="9"/>
  <c r="N93" i="9"/>
  <c r="M93" i="9"/>
  <c r="L93" i="9"/>
  <c r="U87" i="9"/>
  <c r="T87" i="9"/>
  <c r="Q87" i="9"/>
  <c r="P87" i="9"/>
  <c r="O87" i="9"/>
  <c r="N87" i="9"/>
  <c r="M87" i="9"/>
  <c r="L87" i="9"/>
  <c r="U76" i="9"/>
  <c r="T76" i="9"/>
  <c r="Q76" i="9"/>
  <c r="P76" i="9"/>
  <c r="O76" i="9"/>
  <c r="N76" i="9"/>
  <c r="M76" i="9"/>
  <c r="L76" i="9"/>
  <c r="U68" i="9"/>
  <c r="T68" i="9"/>
  <c r="Q68" i="9"/>
  <c r="P68" i="9"/>
  <c r="O68" i="9"/>
  <c r="N68" i="9"/>
  <c r="M68" i="9"/>
  <c r="L68" i="9"/>
  <c r="U63" i="9"/>
  <c r="T63" i="9"/>
  <c r="Q63" i="9"/>
  <c r="P63" i="9"/>
  <c r="O63" i="9"/>
  <c r="N63" i="9"/>
  <c r="M63" i="9"/>
  <c r="L63" i="9"/>
  <c r="U47" i="9"/>
  <c r="T47" i="9"/>
  <c r="Q47" i="9"/>
  <c r="P47" i="9"/>
  <c r="O47" i="9"/>
  <c r="N47" i="9"/>
  <c r="M47" i="9"/>
  <c r="L47" i="9"/>
  <c r="U28" i="9"/>
  <c r="T28" i="9"/>
  <c r="Q28" i="9"/>
  <c r="Q121" i="9" s="1"/>
  <c r="P28" i="9"/>
  <c r="O28" i="9"/>
  <c r="N28" i="9"/>
  <c r="M28" i="9"/>
  <c r="L28" i="9"/>
  <c r="S117" i="9"/>
  <c r="S116" i="9"/>
  <c r="S115" i="9"/>
  <c r="S114" i="9"/>
  <c r="S113" i="9"/>
  <c r="S112" i="9"/>
  <c r="S111" i="9"/>
  <c r="S106" i="9"/>
  <c r="S105" i="9"/>
  <c r="S104" i="9"/>
  <c r="S103" i="9"/>
  <c r="S102" i="9"/>
  <c r="S101" i="9"/>
  <c r="S100" i="9"/>
  <c r="S99" i="9"/>
  <c r="S98" i="9"/>
  <c r="S97" i="9"/>
  <c r="S96" i="9"/>
  <c r="S92" i="9"/>
  <c r="S91" i="9"/>
  <c r="S90" i="9"/>
  <c r="S86" i="9"/>
  <c r="S85" i="9"/>
  <c r="S84" i="9"/>
  <c r="S83" i="9"/>
  <c r="S82" i="9"/>
  <c r="S81" i="9"/>
  <c r="S80" i="9"/>
  <c r="S79" i="9"/>
  <c r="S75" i="9"/>
  <c r="S74" i="9"/>
  <c r="S73" i="9"/>
  <c r="S72" i="9"/>
  <c r="S71" i="9"/>
  <c r="S67" i="9"/>
  <c r="S66" i="9"/>
  <c r="S62" i="9"/>
  <c r="S61" i="9"/>
  <c r="S60" i="9"/>
  <c r="S59" i="9"/>
  <c r="S58" i="9"/>
  <c r="S57" i="9"/>
  <c r="S56" i="9"/>
  <c r="S55" i="9"/>
  <c r="S54" i="9"/>
  <c r="S53" i="9"/>
  <c r="S52" i="9"/>
  <c r="S51" i="9"/>
  <c r="S50" i="9"/>
  <c r="S46" i="9"/>
  <c r="S45" i="9"/>
  <c r="S44" i="9"/>
  <c r="S43" i="9"/>
  <c r="S42" i="9"/>
  <c r="S41" i="9"/>
  <c r="S40" i="9"/>
  <c r="S39" i="9"/>
  <c r="S38" i="9"/>
  <c r="S37" i="9"/>
  <c r="S36" i="9"/>
  <c r="S35" i="9"/>
  <c r="S34" i="9"/>
  <c r="S33" i="9"/>
  <c r="S32" i="9"/>
  <c r="S31" i="9"/>
  <c r="S27" i="9"/>
  <c r="S26" i="9"/>
  <c r="S25" i="9"/>
  <c r="S24" i="9"/>
  <c r="S23" i="9"/>
  <c r="K117" i="9"/>
  <c r="I115" i="11" s="1"/>
  <c r="K116" i="9"/>
  <c r="K115" i="9"/>
  <c r="K114" i="9"/>
  <c r="I112" i="11" s="1"/>
  <c r="K113" i="9"/>
  <c r="I111" i="11" s="1"/>
  <c r="K112" i="9"/>
  <c r="K111" i="9"/>
  <c r="K106" i="9"/>
  <c r="K105" i="9"/>
  <c r="K104" i="9"/>
  <c r="K103" i="9"/>
  <c r="K102" i="9"/>
  <c r="I101" i="11" s="1"/>
  <c r="K101" i="9"/>
  <c r="I100" i="11" s="1"/>
  <c r="K100" i="9"/>
  <c r="K99" i="9"/>
  <c r="K98" i="9"/>
  <c r="I97" i="11" s="1"/>
  <c r="K97" i="9"/>
  <c r="I96" i="11" s="1"/>
  <c r="K96" i="9"/>
  <c r="K92" i="9"/>
  <c r="K91" i="9"/>
  <c r="BL2" i="51" s="1"/>
  <c r="K90" i="9"/>
  <c r="BJ2" i="51" s="1"/>
  <c r="K86" i="9"/>
  <c r="K85" i="9"/>
  <c r="K84" i="9"/>
  <c r="K83" i="9"/>
  <c r="K82" i="9"/>
  <c r="K81" i="9"/>
  <c r="K80" i="9"/>
  <c r="K79" i="9"/>
  <c r="K75" i="9"/>
  <c r="K74" i="9"/>
  <c r="K73" i="9"/>
  <c r="I72" i="11" s="1"/>
  <c r="K72" i="9"/>
  <c r="I71" i="11" s="1"/>
  <c r="K71" i="9"/>
  <c r="K67" i="9"/>
  <c r="K66" i="9"/>
  <c r="I65" i="11" s="1"/>
  <c r="K62" i="9"/>
  <c r="I61" i="11" s="1"/>
  <c r="E61" i="11" s="1"/>
  <c r="K61" i="9"/>
  <c r="K60" i="9"/>
  <c r="K59" i="9"/>
  <c r="K58" i="9"/>
  <c r="K57" i="9"/>
  <c r="K56" i="9"/>
  <c r="K55" i="9"/>
  <c r="K54" i="9"/>
  <c r="I53" i="11" s="1"/>
  <c r="K53" i="9"/>
  <c r="K52" i="9"/>
  <c r="K51" i="9"/>
  <c r="I50" i="11" s="1"/>
  <c r="K50" i="9"/>
  <c r="K46" i="9"/>
  <c r="K45" i="9"/>
  <c r="K44" i="9"/>
  <c r="I43" i="11" s="1"/>
  <c r="K43" i="9"/>
  <c r="K42" i="9"/>
  <c r="K41" i="9"/>
  <c r="K40" i="9"/>
  <c r="I39" i="11" s="1"/>
  <c r="K39" i="9"/>
  <c r="K38" i="9"/>
  <c r="K37" i="9"/>
  <c r="K36" i="9"/>
  <c r="I35" i="11" s="1"/>
  <c r="K35" i="9"/>
  <c r="K34" i="9"/>
  <c r="K33" i="9"/>
  <c r="K32" i="9"/>
  <c r="I31" i="11" s="1"/>
  <c r="K31" i="9"/>
  <c r="S22" i="9"/>
  <c r="I23" i="20" l="1"/>
  <c r="I71" i="20" s="1"/>
  <c r="I91" i="20" s="1"/>
  <c r="I100" i="20" s="1"/>
  <c r="H71" i="20"/>
  <c r="P121" i="9"/>
  <c r="U121" i="9"/>
  <c r="R70" i="20"/>
  <c r="N121" i="9"/>
  <c r="O121" i="9"/>
  <c r="J23" i="20"/>
  <c r="J71" i="20" s="1"/>
  <c r="J91" i="20" s="1"/>
  <c r="J100" i="20" s="1"/>
  <c r="I30" i="20"/>
  <c r="H30" i="20"/>
  <c r="H32" i="20" s="1"/>
  <c r="H58" i="13"/>
  <c r="G101" i="9" s="1"/>
  <c r="F28" i="12"/>
  <c r="F30" i="12" s="1"/>
  <c r="G32" i="12" s="1"/>
  <c r="S28" i="9"/>
  <c r="S68" i="9"/>
  <c r="I41" i="11"/>
  <c r="I85" i="11"/>
  <c r="E85" i="11" s="1"/>
  <c r="I33" i="11"/>
  <c r="I56" i="11"/>
  <c r="I59" i="10"/>
  <c r="I70" i="11"/>
  <c r="I99" i="11"/>
  <c r="I110" i="11"/>
  <c r="I22" i="10"/>
  <c r="I30" i="11"/>
  <c r="I26" i="10"/>
  <c r="I34" i="11"/>
  <c r="I30" i="10"/>
  <c r="I38" i="11"/>
  <c r="I34" i="10"/>
  <c r="I42" i="11"/>
  <c r="I40" i="10"/>
  <c r="I49" i="11"/>
  <c r="I48" i="10"/>
  <c r="I57" i="11"/>
  <c r="I66" i="10"/>
  <c r="I78" i="11"/>
  <c r="I70" i="10"/>
  <c r="I82" i="11"/>
  <c r="I76" i="10"/>
  <c r="I89" i="11"/>
  <c r="I90" i="10"/>
  <c r="I104" i="11"/>
  <c r="S118" i="9"/>
  <c r="I37" i="11"/>
  <c r="I43" i="10"/>
  <c r="I52" i="11"/>
  <c r="I60" i="11"/>
  <c r="I81" i="11"/>
  <c r="I95" i="11"/>
  <c r="I103" i="11"/>
  <c r="I45" i="10"/>
  <c r="I54" i="11"/>
  <c r="I49" i="10"/>
  <c r="I58" i="11"/>
  <c r="I67" i="10"/>
  <c r="I79" i="11"/>
  <c r="I71" i="10"/>
  <c r="I83" i="11"/>
  <c r="I77" i="10"/>
  <c r="I90" i="11"/>
  <c r="I91" i="10"/>
  <c r="I105" i="11"/>
  <c r="I45" i="11"/>
  <c r="E45" i="11" s="1"/>
  <c r="I74" i="11"/>
  <c r="I114" i="11"/>
  <c r="I24" i="10"/>
  <c r="I32" i="11"/>
  <c r="I28" i="10"/>
  <c r="I36" i="11"/>
  <c r="I32" i="10"/>
  <c r="I40" i="11"/>
  <c r="I44" i="11"/>
  <c r="I51" i="11"/>
  <c r="I55" i="11"/>
  <c r="I50" i="10"/>
  <c r="I59" i="11"/>
  <c r="I66" i="11"/>
  <c r="I67" i="11" s="1"/>
  <c r="I73" i="11"/>
  <c r="I68" i="10"/>
  <c r="I80" i="11"/>
  <c r="I72" i="10"/>
  <c r="I84" i="11"/>
  <c r="I78" i="10"/>
  <c r="I91" i="11"/>
  <c r="E91" i="11" s="1"/>
  <c r="I98" i="11"/>
  <c r="I88" i="10"/>
  <c r="I102" i="11"/>
  <c r="I109" i="11"/>
  <c r="I113" i="11"/>
  <c r="S47" i="9"/>
  <c r="S63" i="9"/>
  <c r="S76" i="9"/>
  <c r="S87" i="9"/>
  <c r="S93" i="9"/>
  <c r="S107" i="9"/>
  <c r="I97" i="10"/>
  <c r="I29" i="10"/>
  <c r="I25" i="10"/>
  <c r="I37" i="10"/>
  <c r="I94" i="10"/>
  <c r="M121" i="9"/>
  <c r="I42" i="10"/>
  <c r="I62" i="10"/>
  <c r="T121" i="9"/>
  <c r="I33" i="10"/>
  <c r="I46" i="10"/>
  <c r="I63" i="10"/>
  <c r="I98" i="10"/>
  <c r="I95" i="10"/>
  <c r="I99" i="10"/>
  <c r="I96" i="10"/>
  <c r="I100" i="10"/>
  <c r="I84" i="10"/>
  <c r="I85" i="10"/>
  <c r="I89" i="10"/>
  <c r="I82" i="10"/>
  <c r="I86" i="10"/>
  <c r="I83" i="10"/>
  <c r="I87" i="10"/>
  <c r="I81" i="10"/>
  <c r="I69" i="10"/>
  <c r="I73" i="10"/>
  <c r="I60" i="10"/>
  <c r="I61" i="10"/>
  <c r="I55" i="10"/>
  <c r="I56" i="10"/>
  <c r="I47" i="10"/>
  <c r="I51" i="10"/>
  <c r="I44" i="10"/>
  <c r="I41" i="10"/>
  <c r="I52" i="10"/>
  <c r="I23" i="10"/>
  <c r="I27" i="10"/>
  <c r="I31" i="10"/>
  <c r="I35" i="10"/>
  <c r="I36" i="10"/>
  <c r="K118" i="9"/>
  <c r="BN2" i="51" s="1"/>
  <c r="K93" i="9"/>
  <c r="K87" i="9"/>
  <c r="K76" i="9"/>
  <c r="K68" i="9"/>
  <c r="K63" i="9"/>
  <c r="K47" i="9"/>
  <c r="BD2" i="51" s="1"/>
  <c r="L121" i="9"/>
  <c r="K107" i="9"/>
  <c r="E25" i="7"/>
  <c r="F24" i="7"/>
  <c r="F23" i="7"/>
  <c r="F22" i="7"/>
  <c r="F21" i="7"/>
  <c r="F20" i="7"/>
  <c r="F12" i="7"/>
  <c r="F11" i="7"/>
  <c r="F10" i="7"/>
  <c r="F9" i="7"/>
  <c r="J34" i="4"/>
  <c r="I34" i="4"/>
  <c r="H34" i="4"/>
  <c r="G34" i="4"/>
  <c r="F34" i="4"/>
  <c r="E34" i="4"/>
  <c r="G31" i="16" s="1"/>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CN2" i="51" l="1"/>
  <c r="H91" i="20"/>
  <c r="S121" i="9"/>
  <c r="S70" i="20"/>
  <c r="O27" i="4"/>
  <c r="O34" i="4" s="1"/>
  <c r="AJ2" i="51" s="1"/>
  <c r="I58" i="13"/>
  <c r="I60" i="13" s="1"/>
  <c r="J118" i="9"/>
  <c r="BM2" i="51" s="1"/>
  <c r="J68" i="9"/>
  <c r="I34" i="20"/>
  <c r="I32" i="20"/>
  <c r="H34" i="20"/>
  <c r="K23" i="20"/>
  <c r="K71" i="20" s="1"/>
  <c r="K91" i="20" s="1"/>
  <c r="K100" i="20" s="1"/>
  <c r="J30" i="20"/>
  <c r="J32" i="20" s="1"/>
  <c r="F25" i="7"/>
  <c r="L22" i="3"/>
  <c r="K34" i="4"/>
  <c r="AI2" i="51" s="1"/>
  <c r="I75" i="11"/>
  <c r="I92" i="11"/>
  <c r="S120" i="9"/>
  <c r="I62" i="11"/>
  <c r="I46" i="11"/>
  <c r="I106" i="11"/>
  <c r="J76" i="9"/>
  <c r="G100" i="9"/>
  <c r="I116" i="11"/>
  <c r="I86" i="11"/>
  <c r="K121" i="9"/>
  <c r="J107" i="9"/>
  <c r="J93" i="9"/>
  <c r="J87" i="9"/>
  <c r="J63" i="9"/>
  <c r="J47" i="9"/>
  <c r="BC2" i="51" s="1"/>
  <c r="G55" i="1"/>
  <c r="H55" i="1" s="1"/>
  <c r="K22" i="9"/>
  <c r="AX2" i="51" s="1"/>
  <c r="K24" i="9"/>
  <c r="I23" i="11" s="1"/>
  <c r="K23" i="9"/>
  <c r="K25" i="9"/>
  <c r="K26" i="9"/>
  <c r="I25" i="11" s="1"/>
  <c r="K27" i="9"/>
  <c r="I26" i="11" s="1"/>
  <c r="E26" i="11" s="1"/>
  <c r="G93" i="20" l="1"/>
  <c r="G72" i="20"/>
  <c r="CO2" i="51"/>
  <c r="H100" i="20"/>
  <c r="J121" i="9"/>
  <c r="T70" i="20"/>
  <c r="F57" i="1"/>
  <c r="G76" i="20"/>
  <c r="G94" i="20"/>
  <c r="G88" i="20"/>
  <c r="G83" i="20"/>
  <c r="G79" i="20"/>
  <c r="G74" i="20"/>
  <c r="G97" i="20"/>
  <c r="G80" i="20"/>
  <c r="G87" i="20"/>
  <c r="G82" i="20"/>
  <c r="G78" i="20"/>
  <c r="G73" i="20"/>
  <c r="G89" i="20"/>
  <c r="G75" i="20"/>
  <c r="G86" i="20"/>
  <c r="G90" i="20"/>
  <c r="G85" i="20"/>
  <c r="G81" i="20"/>
  <c r="G77" i="20"/>
  <c r="G84" i="20"/>
  <c r="G71" i="20"/>
  <c r="G70" i="20"/>
  <c r="G91" i="20"/>
  <c r="J34" i="20"/>
  <c r="I36" i="20"/>
  <c r="L23" i="20"/>
  <c r="L71" i="20" s="1"/>
  <c r="L91" i="20" s="1"/>
  <c r="L100" i="20" s="1"/>
  <c r="K30" i="20"/>
  <c r="H36" i="20"/>
  <c r="H102" i="20" s="1"/>
  <c r="I21" i="11"/>
  <c r="I17" i="10"/>
  <c r="I24" i="11"/>
  <c r="I15" i="10"/>
  <c r="I22" i="11"/>
  <c r="I19" i="10"/>
  <c r="I18" i="10"/>
  <c r="I16" i="10"/>
  <c r="K28" i="9"/>
  <c r="K120" i="9" s="1"/>
  <c r="I14" i="10"/>
  <c r="U70" i="20" l="1"/>
  <c r="I102" i="20"/>
  <c r="I41" i="20" s="1"/>
  <c r="H41" i="20"/>
  <c r="H59" i="20" s="1"/>
  <c r="CL2" i="51"/>
  <c r="K34" i="20"/>
  <c r="K32" i="20"/>
  <c r="M23" i="20"/>
  <c r="M71" i="20" s="1"/>
  <c r="M91" i="20" s="1"/>
  <c r="M100" i="20" s="1"/>
  <c r="L30" i="20"/>
  <c r="J36" i="20"/>
  <c r="G35" i="12"/>
  <c r="I27" i="11"/>
  <c r="I118" i="11" s="1"/>
  <c r="J28" i="9"/>
  <c r="J120" i="9" s="1"/>
  <c r="V70" i="20" l="1"/>
  <c r="G37" i="12"/>
  <c r="G39" i="12" s="1"/>
  <c r="G42" i="12" s="1"/>
  <c r="I59" i="20"/>
  <c r="I49" i="20"/>
  <c r="I50" i="20"/>
  <c r="I60" i="20" s="1"/>
  <c r="CV2" i="51" s="1"/>
  <c r="J102" i="20"/>
  <c r="J41" i="20" s="1"/>
  <c r="H49" i="20"/>
  <c r="CT2" i="51" s="1"/>
  <c r="K36" i="20"/>
  <c r="L34" i="20"/>
  <c r="L32" i="20"/>
  <c r="H50" i="20"/>
  <c r="H60" i="20" s="1"/>
  <c r="CU2" i="51" s="1"/>
  <c r="N23" i="20"/>
  <c r="N71" i="20" s="1"/>
  <c r="N91" i="20" s="1"/>
  <c r="N100" i="20" s="1"/>
  <c r="M30" i="20"/>
  <c r="J50" i="20" l="1"/>
  <c r="J60" i="20" s="1"/>
  <c r="CW2" i="51" s="1"/>
  <c r="J59" i="20"/>
  <c r="J49" i="20"/>
  <c r="K102" i="20"/>
  <c r="K41" i="20" s="1"/>
  <c r="O23" i="20"/>
  <c r="O71" i="20" s="1"/>
  <c r="O91" i="20" s="1"/>
  <c r="O100" i="20" s="1"/>
  <c r="G19" i="37"/>
  <c r="L36" i="20"/>
  <c r="L102" i="20" s="1"/>
  <c r="M34" i="20"/>
  <c r="M32" i="20"/>
  <c r="N30" i="20"/>
  <c r="I28" i="9"/>
  <c r="I63" i="9"/>
  <c r="I117" i="9"/>
  <c r="I82" i="9"/>
  <c r="I46" i="9"/>
  <c r="I111" i="9"/>
  <c r="I81" i="9"/>
  <c r="I56" i="9"/>
  <c r="I37" i="9"/>
  <c r="I118" i="9"/>
  <c r="I106" i="9"/>
  <c r="I84" i="9"/>
  <c r="I59" i="9"/>
  <c r="I40" i="9"/>
  <c r="I68" i="9"/>
  <c r="I101" i="9"/>
  <c r="I79" i="9"/>
  <c r="I54" i="9"/>
  <c r="I35" i="9"/>
  <c r="I53" i="9"/>
  <c r="I45" i="9"/>
  <c r="I73" i="9"/>
  <c r="I32" i="9"/>
  <c r="I90" i="9"/>
  <c r="I43" i="9"/>
  <c r="I38" i="9"/>
  <c r="I96" i="9"/>
  <c r="I116" i="9"/>
  <c r="I60" i="9"/>
  <c r="I22" i="9"/>
  <c r="I66" i="9"/>
  <c r="I25" i="9"/>
  <c r="I83" i="9"/>
  <c r="I86" i="9"/>
  <c r="I112" i="9"/>
  <c r="I75" i="9"/>
  <c r="I87" i="9"/>
  <c r="I103" i="9"/>
  <c r="I74" i="9"/>
  <c r="I52" i="9"/>
  <c r="I33" i="9"/>
  <c r="I76" i="9"/>
  <c r="I102" i="9"/>
  <c r="I80" i="9"/>
  <c r="I55" i="9"/>
  <c r="I36" i="9"/>
  <c r="I114" i="9"/>
  <c r="I97" i="9"/>
  <c r="I72" i="9"/>
  <c r="I50" i="9"/>
  <c r="I31" i="9"/>
  <c r="I42" i="9"/>
  <c r="I99" i="9"/>
  <c r="I104" i="9"/>
  <c r="I61" i="9"/>
  <c r="I47" i="9"/>
  <c r="I92" i="9"/>
  <c r="I67" i="9"/>
  <c r="I26" i="9"/>
  <c r="I98" i="9"/>
  <c r="I51" i="9"/>
  <c r="I113" i="9"/>
  <c r="I62" i="9"/>
  <c r="I24" i="9"/>
  <c r="I107" i="9"/>
  <c r="I93" i="9"/>
  <c r="I57" i="9"/>
  <c r="I85" i="9"/>
  <c r="I41" i="9"/>
  <c r="I115" i="9"/>
  <c r="I91" i="9"/>
  <c r="I44" i="9"/>
  <c r="I105" i="9"/>
  <c r="I58" i="9"/>
  <c r="I39" i="9"/>
  <c r="I27" i="9"/>
  <c r="I23" i="9"/>
  <c r="I100" i="9"/>
  <c r="I34" i="9"/>
  <c r="I71" i="9"/>
  <c r="K59" i="20" l="1"/>
  <c r="K50" i="20"/>
  <c r="K60" i="20" s="1"/>
  <c r="K49" i="20"/>
  <c r="P23" i="20"/>
  <c r="O30" i="20"/>
  <c r="O32" i="20" s="1"/>
  <c r="L41" i="20"/>
  <c r="L50" i="20" s="1"/>
  <c r="L60" i="20" s="1"/>
  <c r="N34" i="20"/>
  <c r="N32" i="20"/>
  <c r="M36" i="20"/>
  <c r="P30" i="20" l="1"/>
  <c r="P34" i="20" s="1"/>
  <c r="P71" i="20"/>
  <c r="P91" i="20" s="1"/>
  <c r="P100" i="20" s="1"/>
  <c r="M102" i="20"/>
  <c r="M41" i="20" s="1"/>
  <c r="O34" i="20"/>
  <c r="O36" i="20" s="1"/>
  <c r="Q23" i="20"/>
  <c r="L49" i="20"/>
  <c r="L59" i="20"/>
  <c r="P32" i="20"/>
  <c r="N36" i="20"/>
  <c r="Q30" i="20" l="1"/>
  <c r="Q34" i="20" s="1"/>
  <c r="Q71" i="20"/>
  <c r="Q91" i="20" s="1"/>
  <c r="Q100" i="20" s="1"/>
  <c r="M49" i="20"/>
  <c r="M59" i="20"/>
  <c r="M50" i="20"/>
  <c r="M60" i="20" s="1"/>
  <c r="N102" i="20"/>
  <c r="N41" i="20" s="1"/>
  <c r="N49" i="20" s="1"/>
  <c r="O102" i="20"/>
  <c r="O41" i="20" s="1"/>
  <c r="R23" i="20"/>
  <c r="P36" i="20"/>
  <c r="Q32" i="20"/>
  <c r="S23" i="20" l="1"/>
  <c r="S71" i="20" s="1"/>
  <c r="S91" i="20" s="1"/>
  <c r="S100" i="20" s="1"/>
  <c r="R71" i="20"/>
  <c r="R91" i="20" s="1"/>
  <c r="R100" i="20" s="1"/>
  <c r="O59" i="20"/>
  <c r="O50" i="20"/>
  <c r="O60" i="20" s="1"/>
  <c r="R30" i="20"/>
  <c r="R34" i="20" s="1"/>
  <c r="N59" i="20"/>
  <c r="N50" i="20"/>
  <c r="N60" i="20" s="1"/>
  <c r="O49" i="20"/>
  <c r="P102" i="20"/>
  <c r="P41" i="20" s="1"/>
  <c r="Q36" i="20"/>
  <c r="T23" i="20"/>
  <c r="T71" i="20" s="1"/>
  <c r="T91" i="20" s="1"/>
  <c r="T100" i="20" s="1"/>
  <c r="S30" i="20"/>
  <c r="R32" i="20" l="1"/>
  <c r="R36" i="20" s="1"/>
  <c r="P49" i="20"/>
  <c r="P50" i="20"/>
  <c r="P60" i="20" s="1"/>
  <c r="P59" i="20"/>
  <c r="Q102" i="20"/>
  <c r="Q41" i="20" s="1"/>
  <c r="S32" i="20"/>
  <c r="S34" i="20"/>
  <c r="T30" i="20"/>
  <c r="U23" i="20"/>
  <c r="U71" i="20" s="1"/>
  <c r="U91" i="20" s="1"/>
  <c r="U100" i="20" s="1"/>
  <c r="Q50" i="20" l="1"/>
  <c r="Q60" i="20" s="1"/>
  <c r="Q49" i="20"/>
  <c r="Q59" i="20"/>
  <c r="R102" i="20"/>
  <c r="R41" i="20" s="1"/>
  <c r="V23" i="20"/>
  <c r="U30" i="20"/>
  <c r="T34" i="20"/>
  <c r="T32" i="20"/>
  <c r="S36" i="20"/>
  <c r="V30" i="20" l="1"/>
  <c r="V71" i="20"/>
  <c r="V91" i="20" s="1"/>
  <c r="V100" i="20" s="1"/>
  <c r="R59" i="20"/>
  <c r="R50" i="20"/>
  <c r="R60" i="20" s="1"/>
  <c r="R49" i="20"/>
  <c r="S102" i="20"/>
  <c r="S41" i="20" s="1"/>
  <c r="T36" i="20"/>
  <c r="U34" i="20"/>
  <c r="U32" i="20"/>
  <c r="V32" i="20"/>
  <c r="V34" i="20"/>
  <c r="S50" i="20" l="1"/>
  <c r="S60" i="20" s="1"/>
  <c r="S49" i="20"/>
  <c r="S59" i="20"/>
  <c r="T102" i="20"/>
  <c r="T41" i="20" s="1"/>
  <c r="U36" i="20"/>
  <c r="V36" i="20"/>
  <c r="G45" i="16"/>
  <c r="G48" i="16" s="1"/>
  <c r="U2" i="51" s="1"/>
  <c r="L36" i="16"/>
  <c r="L42" i="16"/>
  <c r="T59" i="20" l="1"/>
  <c r="T49" i="20"/>
  <c r="T50" i="20"/>
  <c r="T60" i="20" s="1"/>
  <c r="U102" i="20"/>
  <c r="U41" i="20" s="1"/>
  <c r="V102" i="20"/>
  <c r="V41" i="20" s="1"/>
  <c r="L47" i="16"/>
  <c r="Q2" i="51" s="1"/>
  <c r="L43" i="16"/>
  <c r="L40" i="16"/>
  <c r="J45" i="16"/>
  <c r="J48" i="16" s="1"/>
  <c r="X2" i="51" s="1"/>
  <c r="D45" i="16"/>
  <c r="D48" i="16" s="1"/>
  <c r="Z2" i="51" s="1"/>
  <c r="L37" i="16"/>
  <c r="L39" i="16"/>
  <c r="N2" i="51" s="1"/>
  <c r="L46" i="16"/>
  <c r="R2" i="51" s="1"/>
  <c r="L44" i="16"/>
  <c r="L41" i="16"/>
  <c r="O2" i="51" s="1"/>
  <c r="L38" i="16"/>
  <c r="F45" i="16"/>
  <c r="F48" i="16" s="1"/>
  <c r="T2" i="51" s="1"/>
  <c r="L35" i="16"/>
  <c r="I45" i="16"/>
  <c r="I48" i="16" s="1"/>
  <c r="W2" i="51" s="1"/>
  <c r="H45" i="16"/>
  <c r="K45" i="16"/>
  <c r="K48" i="16" s="1"/>
  <c r="Y2" i="51" s="1"/>
  <c r="M2" i="51" l="1"/>
  <c r="V49" i="20"/>
  <c r="V50" i="20"/>
  <c r="V60" i="20" s="1"/>
  <c r="V59" i="20"/>
  <c r="U59" i="20"/>
  <c r="U50" i="20"/>
  <c r="U60" i="20" s="1"/>
  <c r="U49" i="20"/>
  <c r="P2" i="51"/>
  <c r="G47" i="12"/>
  <c r="G49" i="12" s="1"/>
  <c r="G51" i="12" s="1"/>
  <c r="L2" i="51"/>
  <c r="L45" i="16"/>
  <c r="H48" i="16"/>
  <c r="V2" i="51" s="1"/>
  <c r="K2" i="51" l="1"/>
  <c r="L48" i="16"/>
  <c r="G53" i="12"/>
  <c r="F37" i="49" s="1"/>
  <c r="CE2" i="51" s="1"/>
  <c r="F39" i="49" l="1"/>
  <c r="BY2" i="51"/>
  <c r="G95" i="20"/>
  <c r="J122" i="9" l="1"/>
  <c r="CA2" i="51"/>
  <c r="F50" i="49"/>
  <c r="G25" i="37" s="1"/>
</calcChain>
</file>

<file path=xl/comments1.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2"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46"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46"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Harrington, Sean (COM)</author>
    <author>Whitney Goetter</author>
  </authors>
  <commentList>
    <comment ref="I26"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3" authorId="1" shapeId="0">
      <text>
        <r>
          <rPr>
            <b/>
            <sz val="9"/>
            <color indexed="81"/>
            <rFont val="Calibri"/>
            <family val="2"/>
          </rPr>
          <t>Capital Funds:</t>
        </r>
        <r>
          <rPr>
            <sz val="9"/>
            <color indexed="81"/>
            <rFont val="Calibri"/>
            <family val="2"/>
          </rPr>
          <t xml:space="preserve">
2 points for 10-14% TPC)
3 points for 15-24% of TPC
5 points for ≥ 25% of TPC
</t>
        </r>
      </text>
    </comment>
    <comment ref="M100" authorId="1" shapeId="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5" authorId="1" shapeId="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I230" authorId="2" shapeId="0">
      <text>
        <r>
          <rPr>
            <b/>
            <sz val="9"/>
            <color indexed="81"/>
            <rFont val="Calibri"/>
            <family val="2"/>
            <scheme val="minor"/>
          </rPr>
          <t>Consult the Commission's Policies for the Applicable Cost Limit</t>
        </r>
        <r>
          <rPr>
            <sz val="9"/>
            <color indexed="81"/>
            <rFont val="Tahoma"/>
            <family val="2"/>
          </rPr>
          <t xml:space="preserve">
</t>
        </r>
      </text>
    </comment>
    <comment ref="C231" authorId="2" shapeId="0">
      <text>
        <r>
          <rPr>
            <b/>
            <sz val="9"/>
            <color indexed="81"/>
            <rFont val="Tahoma"/>
            <family val="2"/>
          </rPr>
          <t>Total Residential Development Cost (form 6A, cell K118) less Land, Offsite Infrastructure and Capitalized Reserves</t>
        </r>
      </text>
    </comment>
    <comment ref="M236" authorId="3" shapeId="0">
      <text>
        <r>
          <rPr>
            <b/>
            <sz val="9"/>
            <color indexed="81"/>
            <rFont val="Calibri"/>
            <family val="2"/>
            <scheme val="minor"/>
          </rPr>
          <t>To be completed by the Commission</t>
        </r>
      </text>
    </comment>
    <comment ref="C240" authorId="2" shapeId="0">
      <text>
        <r>
          <rPr>
            <b/>
            <sz val="9"/>
            <color indexed="81"/>
            <rFont val="Tahoma"/>
            <family val="2"/>
          </rPr>
          <t>Total Residential Development Cost (form 6A, cell K118) less Land, Offsite Infrastructure and Capitalized Reserves</t>
        </r>
      </text>
    </comment>
    <comment ref="C241" authorId="2" shapeId="0">
      <text>
        <r>
          <rPr>
            <b/>
            <sz val="9"/>
            <color indexed="81"/>
            <rFont val="Tahoma"/>
            <family val="2"/>
          </rPr>
          <t>Form 2B</t>
        </r>
      </text>
    </comment>
  </commentList>
</comments>
</file>

<file path=xl/sharedStrings.xml><?xml version="1.0" encoding="utf-8"?>
<sst xmlns="http://schemas.openxmlformats.org/spreadsheetml/2006/main" count="7760" uniqueCount="2150">
  <si>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</si>
  <si>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</si>
  <si>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</si>
  <si>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</si>
  <si>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</si>
  <si>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</si>
  <si>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</si>
  <si>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</si>
  <si>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</si>
  <si>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</si>
  <si>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</si>
  <si>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</si>
  <si>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</si>
  <si>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</si>
  <si>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</si>
  <si>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</si>
  <si>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</si>
  <si>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</si>
  <si>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</si>
  <si>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</si>
  <si>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</si>
  <si>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</si>
  <si>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</si>
  <si>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</si>
  <si>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</si>
  <si>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</si>
  <si>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</si>
  <si>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</si>
  <si>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</si>
  <si>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</si>
  <si>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</si>
  <si>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</si>
  <si>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</si>
  <si>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</si>
  <si>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</si>
  <si>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</si>
  <si>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</si>
  <si>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</si>
  <si>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</si>
  <si>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</si>
  <si>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</si>
  <si>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</si>
  <si>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</si>
  <si>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</si>
  <si>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</si>
  <si>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</si>
  <si>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</si>
  <si>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</si>
  <si>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</si>
  <si>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</si>
  <si>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</si>
  <si>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</si>
  <si>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</si>
  <si>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</si>
  <si>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</si>
  <si>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</si>
  <si>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</si>
  <si>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</si>
  <si>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</si>
  <si>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</si>
  <si>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</si>
  <si>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</si>
  <si>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</si>
  <si>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</si>
  <si>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</si>
  <si>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</si>
  <si>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</si>
  <si>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</si>
  <si>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</si>
  <si>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</si>
  <si>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</si>
  <si>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</si>
  <si>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</si>
  <si>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</si>
  <si>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</si>
  <si>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</si>
  <si>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</si>
  <si>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</si>
  <si>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</si>
  <si>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</si>
  <si>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</si>
  <si>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</si>
  <si>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</si>
  <si>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</si>
  <si>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</si>
  <si>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</si>
  <si>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</si>
  <si>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</si>
  <si>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</si>
  <si>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</si>
  <si>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</si>
  <si>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</si>
  <si>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 xml:space="preserve">(e.g., Executed PSA/ Option)  </t>
  </si>
  <si>
    <t>Site Control</t>
  </si>
  <si>
    <t>Maximum Extensions</t>
  </si>
  <si>
    <t xml:space="preserve">(e.g., Must Waive Financing Contingency 6/30/08)  </t>
  </si>
  <si>
    <t>Closing</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</si>
  <si>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</si>
  <si>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</si>
  <si>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</si>
  <si>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</si>
  <si>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</si>
  <si>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</si>
  <si>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</si>
  <si>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</si>
  <si>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</si>
  <si>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</si>
  <si>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</si>
  <si>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</si>
  <si>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</si>
  <si>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</si>
  <si>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</si>
  <si>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</si>
  <si>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</si>
  <si>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</si>
  <si>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</si>
  <si>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</si>
  <si>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</si>
  <si>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</si>
  <si>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</si>
  <si>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</si>
  <si>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</si>
  <si>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</si>
  <si>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</si>
  <si>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</si>
  <si>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</si>
  <si>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</si>
  <si>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</si>
  <si>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</si>
  <si>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</si>
  <si>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</si>
  <si>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</si>
  <si>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</si>
  <si>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</si>
  <si>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</si>
  <si>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</si>
  <si>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</si>
  <si>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</si>
  <si>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</si>
  <si>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</si>
  <si>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</si>
  <si>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</si>
  <si>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</si>
  <si>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</si>
  <si>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</si>
  <si>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</si>
  <si>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</si>
  <si>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</si>
  <si>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</si>
  <si>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</si>
  <si>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</si>
  <si>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</si>
  <si>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</si>
  <si>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</si>
  <si>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</si>
  <si>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</si>
  <si>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</si>
  <si>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</si>
  <si>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</si>
  <si>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</si>
  <si>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</si>
  <si>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</si>
  <si>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</si>
  <si>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</si>
  <si>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</si>
  <si>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</si>
  <si>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</si>
  <si>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</si>
  <si>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</si>
  <si>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</si>
  <si>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</si>
  <si>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</si>
  <si>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</si>
  <si>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</si>
  <si>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</si>
  <si>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</si>
  <si>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</si>
  <si>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</si>
  <si>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</si>
  <si>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</si>
  <si>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</si>
  <si>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</si>
  <si>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</si>
  <si>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</si>
  <si>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</si>
  <si>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</si>
  <si>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</si>
  <si>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</si>
  <si>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</si>
  <si>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</si>
  <si>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</si>
  <si>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</si>
  <si>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</si>
  <si>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</si>
  <si>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</si>
  <si>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</si>
  <si>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</si>
  <si>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</si>
  <si>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</si>
  <si>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</si>
  <si>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</si>
  <si>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</si>
  <si>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</si>
  <si>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</si>
  <si>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</si>
  <si>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</si>
  <si>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</si>
  <si>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</si>
  <si>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</si>
  <si>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</si>
  <si>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</si>
  <si>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</si>
  <si>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</si>
  <si>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</si>
  <si>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</si>
  <si>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</si>
  <si>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</si>
  <si>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</si>
  <si>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</si>
  <si>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</si>
  <si>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</si>
  <si>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</si>
  <si>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</si>
  <si>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</si>
  <si>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</si>
  <si>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</si>
  <si>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</si>
  <si>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</si>
  <si>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</si>
  <si>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</si>
  <si>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</si>
  <si>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</si>
  <si>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</si>
  <si>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</si>
  <si>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</si>
  <si>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</si>
  <si>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</si>
  <si>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</si>
  <si>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</si>
  <si>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</si>
  <si>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</si>
  <si>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</si>
  <si>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</si>
  <si>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</si>
  <si>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</si>
  <si>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</si>
  <si>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</si>
  <si>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</si>
  <si>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</si>
  <si>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</si>
  <si>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</si>
  <si>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</si>
  <si>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</si>
  <si>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</si>
  <si>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</si>
  <si>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</si>
  <si>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</si>
  <si>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</si>
  <si>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</si>
  <si>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</si>
  <si>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</si>
  <si>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</si>
  <si>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</si>
  <si>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</si>
  <si>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</si>
  <si>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</si>
  <si>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</si>
  <si>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</si>
  <si>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</si>
  <si>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</si>
  <si>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</si>
  <si>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</si>
  <si>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</si>
  <si>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</si>
  <si>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</si>
  <si>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</si>
  <si>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</si>
  <si>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</si>
  <si>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</si>
  <si>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</si>
  <si>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</si>
  <si>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</si>
  <si>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</si>
  <si>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</si>
  <si>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</si>
  <si>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</si>
  <si>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</si>
  <si>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</si>
  <si>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</si>
  <si>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</si>
  <si>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</si>
  <si>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</si>
  <si>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</si>
  <si>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</si>
  <si>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</si>
  <si>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</si>
  <si>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</si>
  <si>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</si>
  <si>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</si>
  <si>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</si>
  <si>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</si>
  <si>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</si>
  <si>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</si>
  <si>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</si>
  <si>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</si>
  <si>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</si>
  <si>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</si>
  <si>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</si>
  <si>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</si>
  <si>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</si>
  <si>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</si>
  <si>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</si>
  <si>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</si>
  <si>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</si>
  <si>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</si>
  <si>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</si>
  <si>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</si>
  <si>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</si>
  <si>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</si>
  <si>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</si>
  <si>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</si>
  <si>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</si>
  <si>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</si>
  <si>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</si>
  <si>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</si>
  <si>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</si>
  <si>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</si>
  <si>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</si>
  <si>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</si>
  <si>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</si>
  <si>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</si>
  <si>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</si>
  <si>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</si>
  <si>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</si>
  <si>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</si>
  <si>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</si>
  <si>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</si>
  <si>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</si>
  <si>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</si>
  <si>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</si>
  <si>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</si>
  <si>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</si>
  <si>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</si>
  <si>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</si>
  <si>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</si>
  <si>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</si>
  <si>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</si>
  <si>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</si>
  <si>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</si>
  <si>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</si>
  <si>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</si>
  <si>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</si>
  <si>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</si>
  <si>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</si>
  <si>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</si>
  <si>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</si>
  <si>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</si>
  <si>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</si>
  <si>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</si>
  <si>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</si>
  <si>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</si>
  <si>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</si>
  <si>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</si>
  <si>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</si>
  <si>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</si>
  <si>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</si>
  <si>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</si>
  <si>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</si>
  <si>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</si>
  <si>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</si>
  <si>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</si>
  <si>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</si>
  <si>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</si>
  <si>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</si>
  <si>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</si>
  <si>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</si>
  <si>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</si>
  <si>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</si>
  <si>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</si>
  <si>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</si>
  <si>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</si>
  <si>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</si>
  <si>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</si>
  <si>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</si>
  <si>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</si>
  <si>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</si>
  <si>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</si>
  <si>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</si>
  <si>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</si>
  <si>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</si>
  <si>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</si>
  <si>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</si>
  <si>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</si>
  <si>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</si>
  <si>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</si>
  <si>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</si>
  <si>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</si>
  <si>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</si>
  <si>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</si>
  <si>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</si>
  <si>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</si>
  <si>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</si>
  <si>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</si>
  <si>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</si>
  <si>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</si>
  <si>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</si>
  <si>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</si>
  <si>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</si>
  <si>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</si>
  <si>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</si>
  <si>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</si>
  <si>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</si>
  <si>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</si>
  <si>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</si>
  <si>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</si>
  <si>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</si>
  <si>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Total Hard Debt Service</t>
  </si>
  <si>
    <t>Debt Coverage Ratio (Hard Debt)</t>
  </si>
  <si>
    <t>Soft Debt</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</si>
  <si>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</si>
  <si>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</si>
  <si>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</si>
  <si>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</si>
  <si>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</si>
  <si>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</si>
  <si>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</si>
  <si>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</si>
  <si>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</si>
  <si>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</si>
  <si>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</si>
  <si>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</si>
  <si>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</si>
  <si>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</si>
  <si>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</si>
  <si>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</si>
  <si>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</si>
  <si>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</si>
  <si>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</si>
  <si>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</si>
  <si>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</si>
  <si>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</si>
  <si>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</si>
  <si>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</si>
  <si>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</si>
  <si>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</si>
  <si>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</si>
  <si>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</si>
  <si>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</si>
  <si>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</si>
  <si>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</si>
  <si>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</si>
  <si>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</si>
  <si>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</si>
  <si>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</si>
  <si>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</si>
  <si>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</si>
  <si>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</si>
  <si>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</si>
  <si>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</si>
  <si>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</si>
  <si>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</si>
  <si>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</si>
  <si>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</si>
  <si>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</si>
  <si>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</si>
  <si>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</si>
  <si>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</si>
  <si>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</si>
  <si>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</si>
  <si>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</si>
  <si>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</si>
  <si>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</si>
  <si>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</si>
  <si>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</si>
  <si>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</si>
  <si>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</si>
  <si>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</si>
  <si>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</si>
  <si>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</si>
  <si>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</si>
  <si>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</si>
  <si>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</si>
  <si>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</si>
  <si>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</si>
  <si>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</si>
  <si>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</si>
  <si>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</si>
  <si>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</si>
  <si>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</si>
  <si>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</si>
  <si>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</si>
  <si>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</si>
  <si>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</si>
  <si>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</si>
  <si>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</si>
  <si>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</si>
  <si>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</si>
  <si>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</si>
  <si>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</si>
  <si>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</si>
  <si>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</si>
  <si>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</si>
  <si>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</si>
  <si>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</si>
  <si>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</si>
  <si>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</si>
  <si>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</si>
  <si>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</si>
  <si>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</si>
  <si>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</si>
  <si>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</si>
  <si>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</si>
  <si>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</si>
  <si>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</si>
  <si>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</si>
  <si>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</si>
  <si>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</si>
  <si>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</si>
  <si>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</si>
  <si>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</si>
  <si>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</si>
  <si>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</si>
  <si>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</si>
  <si>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</si>
  <si>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</si>
  <si>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</si>
  <si>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</si>
  <si>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</si>
  <si>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</si>
  <si>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</si>
  <si>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</si>
  <si>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</si>
  <si>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</si>
  <si>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</si>
  <si>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</si>
  <si>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</si>
  <si>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</si>
  <si>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</si>
  <si>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</si>
  <si>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</si>
  <si>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</si>
  <si>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</si>
  <si>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</si>
  <si>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</si>
  <si>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</si>
  <si>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</si>
  <si>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</si>
  <si>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</si>
  <si>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</si>
  <si>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</si>
  <si>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</si>
  <si>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</si>
  <si>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</si>
  <si>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</si>
  <si>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</si>
  <si>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</si>
  <si>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</si>
  <si>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</si>
  <si>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</si>
  <si>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</si>
  <si>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</si>
  <si>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</si>
  <si>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</si>
  <si>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</si>
  <si>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</si>
  <si>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</si>
  <si>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</si>
  <si>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</si>
  <si>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</si>
  <si>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</si>
  <si>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</si>
  <si>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</si>
  <si>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</si>
  <si>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</si>
  <si>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</si>
  <si>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</si>
  <si>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</si>
  <si>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</si>
  <si>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</si>
  <si>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</si>
  <si>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</si>
  <si>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</si>
  <si>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</si>
  <si>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</si>
  <si>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</si>
  <si>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</si>
  <si>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</si>
  <si>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</si>
  <si>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</si>
  <si>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</si>
  <si>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</si>
  <si>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</si>
  <si>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</si>
  <si>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</si>
  <si>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</si>
  <si>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</si>
  <si>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</si>
  <si>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</si>
  <si>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</si>
  <si>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</si>
  <si>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</si>
  <si>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</si>
  <si>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</si>
  <si>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</si>
  <si>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</si>
  <si>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</si>
  <si>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</si>
  <si>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</si>
  <si>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</si>
  <si>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</si>
  <si>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</si>
  <si>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</si>
  <si>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</si>
  <si>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</si>
  <si>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</si>
  <si>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</si>
  <si>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</si>
  <si>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</si>
  <si>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</si>
  <si>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</si>
  <si>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</si>
  <si>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</si>
  <si>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</si>
  <si>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</si>
  <si>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</si>
  <si>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</si>
  <si>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</si>
  <si>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</si>
  <si>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</si>
  <si>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</si>
  <si>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</si>
  <si>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</si>
  <si>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</si>
  <si>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</si>
  <si>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</si>
  <si>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</si>
  <si>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</si>
  <si>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</si>
  <si>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</si>
  <si>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</si>
  <si>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</si>
  <si>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</si>
  <si>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</si>
  <si>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</si>
  <si>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</si>
  <si>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</si>
  <si>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</si>
  <si>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</si>
  <si>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</si>
  <si>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</si>
  <si>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</si>
  <si>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</si>
  <si>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</si>
  <si>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</si>
  <si>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</si>
  <si>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</si>
  <si>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</si>
  <si>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</si>
  <si>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</si>
  <si>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</si>
  <si>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</si>
  <si>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</si>
  <si>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</si>
  <si>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</si>
  <si>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</si>
  <si>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</si>
  <si>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</si>
  <si>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</si>
  <si>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</si>
  <si>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</si>
  <si>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</si>
  <si>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</si>
  <si>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</si>
  <si>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</si>
  <si>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</si>
  <si>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</si>
  <si>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</si>
  <si>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</si>
  <si>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</si>
  <si>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</si>
  <si>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</si>
  <si>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</si>
  <si>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</si>
  <si>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</si>
  <si>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</si>
  <si>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</si>
  <si>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</si>
  <si>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</si>
  <si>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</si>
  <si>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</si>
  <si>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</si>
  <si>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</si>
  <si>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</si>
  <si>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</si>
  <si>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</si>
  <si>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</si>
  <si>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</si>
  <si>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</si>
  <si>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</si>
  <si>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</si>
  <si>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</si>
  <si>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</si>
  <si>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</si>
  <si>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</si>
  <si>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</si>
  <si>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</si>
  <si>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</si>
  <si>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</si>
  <si>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</si>
  <si>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</si>
  <si>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</si>
  <si>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</si>
  <si>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</si>
  <si>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</si>
  <si>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</si>
  <si>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</si>
  <si>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</si>
  <si>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</si>
  <si>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</si>
  <si>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</si>
  <si>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</si>
  <si>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</si>
  <si>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</si>
  <si>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</si>
  <si>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</si>
  <si>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</si>
  <si>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</si>
  <si>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</si>
  <si>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</si>
  <si>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</si>
  <si>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</si>
  <si>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</si>
  <si>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</si>
  <si>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</si>
  <si>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</si>
  <si>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</si>
  <si>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</si>
  <si>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</si>
  <si>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</si>
  <si>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</si>
  <si>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</si>
  <si>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</si>
  <si>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</si>
  <si>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</si>
  <si>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</si>
  <si>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</si>
  <si>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</si>
  <si>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</si>
  <si>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</si>
  <si>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</si>
  <si>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</si>
  <si>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</si>
  <si>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</si>
  <si>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</si>
  <si>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</si>
  <si>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</si>
  <si>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</si>
  <si>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</si>
  <si>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</si>
  <si>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</si>
  <si>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</si>
  <si>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</si>
  <si>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</si>
  <si>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</si>
  <si>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</si>
  <si>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</si>
  <si>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</si>
  <si>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</si>
  <si>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</si>
  <si>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</si>
  <si>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</si>
  <si>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</si>
  <si>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</si>
  <si>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</si>
  <si>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</si>
  <si>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</si>
  <si>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</si>
  <si>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</si>
  <si>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</si>
  <si>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</si>
  <si>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</si>
  <si>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</si>
  <si>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</si>
  <si>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</si>
  <si>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</si>
  <si>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</si>
  <si>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</si>
  <si>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</si>
  <si>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</si>
  <si>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</si>
  <si>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</si>
  <si>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</si>
  <si>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</si>
  <si>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</si>
  <si>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</si>
  <si>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</si>
  <si>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</si>
  <si>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</si>
  <si>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</si>
  <si>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</si>
  <si>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</si>
  <si>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</si>
  <si>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</si>
  <si>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</si>
  <si>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</si>
  <si>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</si>
  <si>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</si>
  <si>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</si>
  <si>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</si>
  <si>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</si>
  <si>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</si>
  <si>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</si>
  <si>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</si>
  <si>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</si>
  <si>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</si>
  <si>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</si>
  <si>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</si>
  <si>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</si>
  <si>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</si>
  <si>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</si>
  <si>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</si>
  <si>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</si>
  <si>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</si>
  <si>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</si>
  <si>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</si>
  <si>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</si>
  <si>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</si>
  <si>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</si>
  <si>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</si>
  <si>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</si>
  <si>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</si>
  <si>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</si>
  <si>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</si>
  <si>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</si>
  <si>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</si>
  <si>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</si>
  <si>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</si>
  <si>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</si>
  <si>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</si>
  <si>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</si>
  <si>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</si>
  <si>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</si>
  <si>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</si>
  <si>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</si>
  <si>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</si>
  <si>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</si>
  <si>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</si>
  <si>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</si>
  <si>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</si>
  <si>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</si>
  <si>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</si>
  <si>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</si>
  <si>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</si>
  <si>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</si>
  <si>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</si>
  <si>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</si>
  <si>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</si>
  <si>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</si>
  <si>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</si>
  <si>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</si>
  <si>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</si>
  <si>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</si>
  <si>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</si>
  <si>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</si>
  <si>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</si>
  <si>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</si>
  <si>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</si>
  <si>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</si>
  <si>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</si>
  <si>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</si>
  <si>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</si>
  <si>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</si>
  <si>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</si>
  <si>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</si>
  <si>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</si>
  <si>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</si>
  <si>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</si>
  <si>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</si>
  <si>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</si>
  <si>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</si>
  <si>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</si>
  <si>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</si>
  <si>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</si>
  <si>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</si>
  <si>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</si>
  <si>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</si>
  <si>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</si>
  <si>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</si>
  <si>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</si>
  <si>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</si>
  <si>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</si>
  <si>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</si>
  <si>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</si>
  <si>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</si>
  <si>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</si>
  <si>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</si>
  <si>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</si>
  <si>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</si>
  <si>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</si>
  <si>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</si>
  <si>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</si>
  <si>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</si>
  <si>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</si>
  <si>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</si>
  <si>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</si>
  <si>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</si>
  <si>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</si>
  <si>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</si>
  <si>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</si>
  <si>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</si>
  <si>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</si>
  <si>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</si>
  <si>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</si>
  <si>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</si>
  <si>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</si>
  <si>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</si>
  <si>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</si>
  <si>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</si>
  <si>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</si>
  <si>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</si>
  <si>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</si>
  <si>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</si>
  <si>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</si>
  <si>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</si>
  <si>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</si>
  <si>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</si>
  <si>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</si>
  <si>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</si>
  <si>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</si>
  <si>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</si>
  <si>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</si>
  <si>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</si>
  <si>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</si>
  <si>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</si>
  <si>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</si>
  <si>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</si>
  <si>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</si>
  <si>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</si>
  <si>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</si>
  <si>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</si>
  <si>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</si>
  <si>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</si>
  <si>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</si>
  <si>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</si>
  <si>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</si>
  <si>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</si>
  <si>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</si>
  <si>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</si>
  <si>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</si>
  <si>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</si>
  <si>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</si>
  <si>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</si>
  <si>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</si>
  <si>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</si>
  <si>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</si>
  <si>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</si>
  <si>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</si>
  <si>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</si>
  <si>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</si>
  <si>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</si>
  <si>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</si>
  <si>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</si>
  <si>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</si>
  <si>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</si>
  <si>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</si>
  <si>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</si>
  <si>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</si>
  <si>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</si>
  <si>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</si>
  <si>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</si>
  <si>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</si>
  <si>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</si>
  <si>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</si>
  <si>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</si>
  <si>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</si>
  <si>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</si>
  <si>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</si>
  <si>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</si>
  <si>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</si>
  <si>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</si>
  <si>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</si>
  <si>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</si>
  <si>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</si>
  <si>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</si>
  <si>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</si>
  <si>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</si>
  <si>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</si>
  <si>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</si>
  <si>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</si>
  <si>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</si>
  <si>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</si>
  <si>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</si>
  <si>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</si>
  <si>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</si>
  <si>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</si>
  <si>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</si>
  <si>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</si>
  <si>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</si>
  <si>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</si>
  <si>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</si>
  <si>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</si>
  <si>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</si>
  <si>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</si>
  <si>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</si>
  <si>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</si>
  <si>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</si>
  <si>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</si>
  <si>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</si>
  <si>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</si>
  <si>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</si>
  <si>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</si>
  <si>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</si>
  <si>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</si>
  <si>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</si>
  <si>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</si>
  <si>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</si>
  <si>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</si>
  <si>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</si>
  <si>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</si>
  <si>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</si>
  <si>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</si>
  <si>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</si>
  <si>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</si>
  <si>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</si>
  <si>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</si>
  <si>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</si>
  <si>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</si>
  <si>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</si>
  <si>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</si>
  <si>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</si>
  <si>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</si>
  <si>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</si>
  <si>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</si>
  <si>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</si>
  <si>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</si>
  <si>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</si>
  <si>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</si>
  <si>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</si>
  <si>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</si>
  <si>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</si>
  <si>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</si>
  <si>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</si>
  <si>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</si>
  <si>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</si>
  <si>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</si>
  <si>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</si>
  <si>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</si>
  <si>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</si>
  <si>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</si>
  <si>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</si>
  <si>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</si>
  <si>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</si>
  <si>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</si>
  <si>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</si>
  <si>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</si>
  <si>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</si>
  <si>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</si>
  <si>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</si>
  <si>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</si>
  <si>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</si>
  <si>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</si>
  <si>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</si>
  <si>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</si>
  <si>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</si>
  <si>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</si>
  <si>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</si>
  <si>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</si>
  <si>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</si>
  <si>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</si>
  <si>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</si>
  <si>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</si>
  <si>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</si>
  <si>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</si>
  <si>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</si>
  <si>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</si>
  <si>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</si>
  <si>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</si>
  <si>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</si>
  <si>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</si>
  <si>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</si>
  <si>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</si>
  <si>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</si>
  <si>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</si>
  <si>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</si>
  <si>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</si>
  <si>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</si>
  <si>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</si>
  <si>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</si>
  <si>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</si>
  <si>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</si>
  <si>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</si>
  <si>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</si>
  <si>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</si>
  <si>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</si>
  <si>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</si>
  <si>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</si>
  <si>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</si>
  <si>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</si>
  <si>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</si>
  <si>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</si>
  <si>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</si>
  <si>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</si>
  <si>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</si>
  <si>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</si>
  <si>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</si>
  <si>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</si>
  <si>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</si>
  <si>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</si>
  <si>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</si>
  <si>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</si>
  <si>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</si>
  <si>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</si>
  <si>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</si>
  <si>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</si>
  <si>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</si>
  <si>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</si>
  <si>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</si>
  <si>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</si>
  <si>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</si>
  <si>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</si>
  <si>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</si>
  <si>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</si>
  <si>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</si>
  <si>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</si>
  <si>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</si>
  <si>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</si>
  <si>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</si>
  <si>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</si>
  <si>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</si>
  <si>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</si>
  <si>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</si>
  <si>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</si>
  <si>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</si>
  <si>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</si>
  <si>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</si>
  <si>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</si>
  <si>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</si>
  <si>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</si>
  <si>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</si>
  <si>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</si>
  <si>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</si>
  <si>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</si>
  <si>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</si>
  <si>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</si>
  <si>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</si>
  <si>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</si>
  <si>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</si>
  <si>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</si>
  <si>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</si>
  <si>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</si>
  <si>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</si>
  <si>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</si>
  <si>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</si>
  <si>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</si>
  <si>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</si>
  <si>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</si>
  <si>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</si>
  <si>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</si>
  <si>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</si>
  <si>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</si>
  <si>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</si>
  <si>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</si>
  <si>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</si>
  <si>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</si>
  <si>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</si>
  <si>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</si>
  <si>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</si>
  <si>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</si>
  <si>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</si>
  <si>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</si>
  <si>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</si>
  <si>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</si>
  <si>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</si>
  <si>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</si>
  <si>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</si>
  <si>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</si>
  <si>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</si>
  <si>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</si>
  <si>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</si>
  <si>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</si>
  <si>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</si>
  <si>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</si>
  <si>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</si>
  <si>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</si>
  <si>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</si>
  <si>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Enter name of local funder</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</si>
  <si>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</si>
  <si>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</si>
  <si>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</si>
  <si>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</si>
  <si>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</si>
  <si>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</si>
  <si>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</si>
  <si>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</si>
  <si>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</si>
  <si>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</si>
  <si>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</si>
  <si>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</si>
  <si>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</si>
  <si>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</si>
  <si>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</si>
  <si>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</si>
  <si>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</si>
  <si>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</si>
  <si>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</si>
  <si>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</si>
  <si>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</si>
  <si>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</si>
  <si>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</si>
  <si>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</si>
  <si>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</si>
  <si>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</si>
  <si>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</si>
  <si>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</si>
  <si>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</si>
  <si>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</si>
  <si>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</si>
  <si>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</si>
  <si>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</si>
  <si>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</si>
  <si>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</si>
  <si>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</si>
  <si>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</si>
  <si>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</si>
  <si>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</si>
  <si>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</si>
  <si>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</si>
  <si>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</si>
  <si>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</si>
  <si>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</si>
  <si>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</si>
  <si>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</si>
  <si>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</si>
  <si>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</si>
  <si>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</si>
  <si>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</si>
  <si>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</si>
  <si>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</si>
  <si>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</si>
  <si>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</si>
  <si>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</si>
  <si>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</si>
  <si>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</si>
  <si>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</si>
  <si>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</si>
  <si>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</si>
  <si>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</si>
  <si>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</si>
  <si>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</si>
  <si>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</si>
  <si>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</si>
  <si>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</si>
  <si>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</si>
  <si>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</si>
  <si>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</si>
  <si>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Applicable Total Development Cost Limit:</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</si>
  <si>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</si>
  <si>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</si>
  <si>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</si>
  <si>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</si>
  <si>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</si>
  <si>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</si>
  <si>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</si>
  <si>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</si>
  <si>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</si>
  <si>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</si>
  <si>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</si>
  <si>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</si>
  <si>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</si>
  <si>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</si>
  <si>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</si>
  <si>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</si>
  <si>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</si>
  <si>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</si>
  <si>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</si>
  <si>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</si>
  <si>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</si>
  <si>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</si>
  <si>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</si>
  <si>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</si>
  <si>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</si>
  <si>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</si>
  <si>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</si>
  <si>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</si>
  <si>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</si>
  <si>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12:</t>
    </r>
    <r>
      <rPr>
        <sz val="11"/>
        <rFont val="Calibri"/>
        <family val="2"/>
      </rPr>
      <t xml:space="preserve">  Not Available in Higher Income Counties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</si>
  <si>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</si>
  <si>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</si>
  <si>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</si>
  <si>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</si>
  <si>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</si>
  <si>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</si>
  <si>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</si>
  <si>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</si>
  <si>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</si>
  <si>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</si>
  <si>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</si>
  <si>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</si>
  <si>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</si>
  <si>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</si>
  <si>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</si>
  <si>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</si>
  <si>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</si>
  <si>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</si>
  <si>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</si>
  <si>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</si>
  <si>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</si>
  <si>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</si>
  <si>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</si>
  <si>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</si>
  <si>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</si>
  <si>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</si>
  <si>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</si>
  <si>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</si>
  <si>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</si>
  <si>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</si>
  <si>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</si>
  <si>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</si>
  <si>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</si>
  <si>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</si>
  <si>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</si>
  <si>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</si>
  <si>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</si>
  <si>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</si>
  <si>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</si>
  <si>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</si>
  <si>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</si>
  <si>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</si>
  <si>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</si>
  <si>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</si>
  <si>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</si>
  <si>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</si>
  <si>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</si>
  <si>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</si>
  <si>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</si>
  <si>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</si>
  <si>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</si>
  <si>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</si>
  <si>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</si>
  <si>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</si>
  <si>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</si>
  <si>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</si>
  <si>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</si>
  <si>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</si>
  <si>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</si>
  <si>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</si>
  <si>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</si>
  <si>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</si>
  <si>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</si>
  <si>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</si>
  <si>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</si>
  <si>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</si>
  <si>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</si>
  <si>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</si>
  <si>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</si>
  <si>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</si>
  <si>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</si>
  <si>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</si>
  <si>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</si>
  <si>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</si>
  <si>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</si>
  <si>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</si>
  <si>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</si>
  <si>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</si>
  <si>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</si>
  <si>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</si>
  <si>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</si>
  <si>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</si>
  <si>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</si>
  <si>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</si>
  <si>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</si>
  <si>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</si>
  <si>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</si>
  <si>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</si>
  <si>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</si>
  <si>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</si>
  <si>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</si>
  <si>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</si>
  <si>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</si>
  <si>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</si>
  <si>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</si>
  <si>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</si>
  <si>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</si>
  <si>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</si>
  <si>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</si>
  <si>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</si>
  <si>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</si>
  <si>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</si>
  <si>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</si>
  <si>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</si>
  <si>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</si>
  <si>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</si>
  <si>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</si>
  <si>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</si>
  <si>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</si>
  <si>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</si>
  <si>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</si>
  <si>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</si>
  <si>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Chehalis - Non-Metro (3 Points)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</si>
  <si>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</si>
  <si>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</si>
  <si>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</si>
  <si>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</si>
  <si>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</si>
  <si>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</si>
  <si>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</si>
  <si>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</si>
  <si>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</si>
  <si>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</si>
  <si>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</si>
  <si>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</si>
  <si>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</si>
  <si>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</si>
  <si>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</si>
  <si>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</si>
  <si>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</si>
  <si>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</si>
  <si>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</si>
  <si>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</si>
  <si>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</si>
  <si>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</si>
  <si>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</si>
  <si>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</si>
  <si>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</si>
  <si>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</si>
  <si>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</si>
  <si>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</si>
  <si>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</si>
  <si>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</si>
  <si>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</si>
  <si>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</si>
  <si>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</si>
  <si>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</si>
  <si>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</si>
  <si>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</si>
  <si>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</si>
  <si>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</si>
  <si>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</si>
  <si>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</si>
  <si>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</si>
  <si>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</si>
  <si>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</si>
  <si>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</si>
  <si>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</si>
  <si>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</si>
  <si>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</si>
  <si>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</si>
  <si>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</si>
  <si>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</si>
  <si>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</si>
  <si>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</si>
  <si>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</si>
  <si>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</si>
  <si>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</si>
  <si>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</si>
  <si>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</si>
  <si>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</si>
  <si>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</si>
  <si>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</si>
  <si>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</si>
  <si>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</si>
  <si>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</si>
  <si>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</si>
  <si>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</si>
  <si>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</si>
  <si>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</si>
  <si>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</si>
  <si>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</si>
  <si>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</si>
  <si>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</si>
  <si>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</si>
  <si>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</si>
  <si>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</si>
  <si>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</si>
  <si>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</si>
  <si>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</si>
  <si>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</si>
  <si>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</si>
  <si>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</si>
  <si>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TOTAL POINTS SELECTED (30 points minimum required)</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</si>
  <si>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</si>
  <si>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</si>
  <si>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</si>
  <si>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</si>
  <si>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</si>
  <si>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</si>
  <si>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</si>
  <si>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</si>
  <si>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</si>
  <si>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</si>
  <si>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</si>
  <si>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</si>
  <si>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</si>
  <si>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</si>
  <si>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</si>
  <si>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</si>
  <si>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</si>
  <si>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</si>
  <si>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</si>
  <si>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</si>
  <si>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</si>
  <si>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</si>
  <si>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</si>
  <si>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</si>
  <si>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</si>
  <si>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</si>
  <si>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</si>
  <si>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</si>
  <si>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</si>
  <si>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</si>
  <si>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</si>
  <si>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</si>
  <si>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</si>
  <si>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</si>
  <si>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</si>
  <si>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</si>
  <si>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</si>
  <si>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</si>
  <si>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</si>
  <si>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</si>
  <si>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</si>
  <si>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</si>
  <si>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</si>
  <si>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</si>
  <si>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</si>
  <si>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</si>
  <si>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</si>
  <si>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</si>
  <si>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</si>
  <si>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</si>
  <si>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</si>
  <si>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</si>
  <si>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</si>
  <si>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</si>
  <si>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</si>
  <si>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</si>
  <si>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</si>
  <si>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</si>
  <si>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</si>
  <si>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</si>
  <si>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</si>
  <si>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</si>
  <si>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</si>
  <si>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</si>
  <si>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</si>
  <si>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</si>
  <si>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</si>
  <si>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</si>
  <si>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</si>
  <si>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</si>
  <si>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</si>
  <si>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</si>
  <si>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</si>
  <si>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</si>
  <si>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</si>
  <si>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</si>
  <si>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</si>
  <si>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</si>
  <si>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</si>
  <si>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</si>
  <si>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</si>
  <si>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</si>
  <si>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</si>
  <si>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</si>
  <si>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</si>
  <si>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</si>
  <si>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</si>
  <si>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</si>
  <si>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</si>
  <si>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</si>
  <si>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</si>
  <si>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</si>
  <si>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</si>
  <si>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</si>
  <si>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</si>
  <si>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</si>
  <si>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</si>
  <si>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</si>
  <si>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</si>
  <si>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</si>
  <si>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</si>
  <si>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</si>
  <si>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</si>
  <si>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</si>
  <si>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</si>
  <si>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</si>
  <si>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</si>
  <si>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</si>
  <si>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</si>
  <si>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</si>
  <si>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</si>
  <si>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</si>
  <si>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</si>
  <si>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</si>
  <si>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</si>
  <si>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</si>
  <si>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</si>
  <si>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</si>
  <si>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</si>
  <si>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</si>
  <si>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</si>
  <si>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</si>
  <si>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</si>
  <si>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</si>
  <si>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</si>
  <si>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</si>
  <si>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</si>
  <si>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</si>
  <si>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</si>
  <si>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</si>
  <si>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</si>
  <si>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</si>
  <si>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</si>
  <si>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</si>
  <si>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</si>
  <si>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</si>
  <si>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</si>
  <si>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</si>
  <si>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</si>
  <si>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</si>
  <si>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</si>
  <si>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</si>
  <si>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</si>
  <si>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</si>
  <si>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Tenant - Paid Utilities (Utility Allowance)</t>
  </si>
  <si>
    <t>* 2017 Maximum Annual Credit Per Low-Income Unit Limit</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</si>
  <si>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</si>
  <si>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</si>
  <si>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</si>
  <si>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</si>
  <si>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</si>
  <si>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</si>
  <si>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</si>
  <si>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</si>
  <si>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</si>
  <si>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Must = Total Units Less CAU</t>
  </si>
  <si>
    <t>2)</t>
  </si>
  <si>
    <r>
      <t xml:space="preserve">ADDITIONAL LOW-INCOME HOUSING USE PERIOD </t>
    </r>
    <r>
      <rPr>
        <b/>
        <sz val="10"/>
        <color theme="6" tint="-0.249977111117893"/>
        <rFont val="Calibri"/>
        <family val="2"/>
      </rPr>
      <t>(4.2)</t>
    </r>
  </si>
  <si>
    <t>Calculated</t>
  </si>
  <si>
    <t>3)</t>
  </si>
  <si>
    <r>
      <t xml:space="preserve">HOUSING COMMITMENTS FOR PRIORITY POPULATIONS </t>
    </r>
    <r>
      <rPr>
        <b/>
        <sz val="10"/>
        <color theme="6" tint="-0.249977111117893"/>
        <rFont val="Calibri"/>
        <family val="2"/>
      </rPr>
      <t>(4.3)</t>
    </r>
  </si>
  <si>
    <t>All Blue Boxes are Drop Downs</t>
  </si>
  <si>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</si>
  <si>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</si>
  <si>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</si>
  <si>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</si>
  <si>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</si>
  <si>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</si>
  <si>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</si>
  <si>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</si>
  <si>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</si>
  <si>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</si>
  <si>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</si>
  <si>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</si>
  <si>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</si>
  <si>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</si>
  <si>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</si>
  <si>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</si>
  <si>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</si>
  <si>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</si>
  <si>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</si>
  <si>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</si>
  <si>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</si>
  <si>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</si>
  <si>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</si>
  <si>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</si>
  <si>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If less than 50%, inelligible</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</si>
  <si>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</si>
  <si>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</si>
  <si>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</si>
  <si>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</si>
  <si>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</si>
  <si>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</si>
  <si>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</si>
  <si>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</si>
  <si>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</si>
  <si>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</si>
  <si>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</si>
  <si>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</si>
  <si>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</si>
  <si>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</si>
  <si>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</si>
  <si>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</si>
  <si>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</si>
  <si>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</si>
  <si>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</si>
  <si>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</si>
  <si>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</si>
  <si>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</si>
  <si>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</si>
  <si>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</si>
  <si>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</si>
  <si>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</si>
  <si>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</si>
  <si>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</si>
  <si>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</si>
  <si>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</si>
  <si>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</si>
  <si>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</si>
  <si>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</si>
  <si>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</si>
  <si>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</si>
  <si>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</si>
  <si>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</si>
  <si>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</si>
  <si>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</si>
  <si>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</si>
  <si>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</si>
  <si>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</si>
  <si>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</si>
  <si>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</si>
  <si>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</si>
  <si>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</si>
  <si>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</si>
  <si>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</si>
  <si>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</si>
  <si>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</si>
  <si>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</si>
  <si>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</si>
  <si>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</si>
  <si>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</si>
  <si>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</si>
  <si>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</si>
  <si>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</si>
  <si>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</si>
  <si>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</si>
  <si>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</si>
  <si>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</si>
  <si>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</si>
  <si>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</si>
  <si>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</si>
  <si>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</si>
  <si>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</si>
  <si>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</si>
  <si>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</si>
  <si>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</si>
  <si>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</si>
  <si>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</si>
  <si>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</si>
  <si>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</si>
  <si>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</si>
  <si>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</si>
  <si>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</si>
  <si>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</si>
  <si>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</si>
  <si>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</si>
  <si>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75% of units set aside for Farmworkers (Non-Metro only)  =</t>
  </si>
  <si>
    <t>Enter Total Project Cost from CFA Form 6D, Cell G35:</t>
  </si>
  <si>
    <t>Percent of Units with Rental Assistance:</t>
  </si>
  <si>
    <t>Enter percent of units with PBRA</t>
  </si>
  <si>
    <t>AT-RISK OF LOSS OR MARKET CONVERSION</t>
  </si>
  <si>
    <t>At Risk Scenario</t>
  </si>
  <si>
    <t xml:space="preserve">Enter number of units at risk </t>
  </si>
  <si>
    <t>MUNICIPAL PARTICIPATION</t>
  </si>
  <si>
    <r>
      <t xml:space="preserve">One Point will be awarded to Projects </t>
    </r>
    <r>
      <rPr>
        <b/>
        <sz val="10"/>
        <rFont val="Calibri"/>
        <family val="2"/>
      </rPr>
      <t>that can demonstrate meaningful municipal participation.</t>
    </r>
  </si>
  <si>
    <t>Participating City or Town</t>
  </si>
  <si>
    <t>Enter name of City or Town</t>
  </si>
  <si>
    <t>23A</t>
  </si>
  <si>
    <t>23B</t>
  </si>
  <si>
    <r>
      <rPr>
        <b/>
        <sz val="11"/>
        <rFont val="Calibri"/>
        <family val="2"/>
      </rPr>
      <t>Option 11:</t>
    </r>
    <r>
      <rPr>
        <sz val="11"/>
        <rFont val="Calibri"/>
        <family val="2"/>
      </rPr>
      <t xml:space="preserve">  40% @ 30% AMI, 50% @ 50% AMI, 10% @ 60% AMI (54 Points)</t>
    </r>
  </si>
  <si>
    <r>
      <rPr>
        <b/>
        <sz val="11"/>
        <rFont val="Calibri"/>
        <family val="2"/>
      </rPr>
      <t xml:space="preserve">Option 14: </t>
    </r>
    <r>
      <rPr>
        <sz val="11"/>
        <rFont val="Calibri"/>
        <family val="2"/>
      </rPr>
      <t xml:space="preserve"> 40% @ 30% AMI, 20% @ 40% AMI, 40% @ 60% AMI (54 Points)</t>
    </r>
  </si>
  <si>
    <r>
      <rPr>
        <b/>
        <sz val="11"/>
        <rFont val="Calibri"/>
        <family val="2"/>
      </rPr>
      <t>Option 15:</t>
    </r>
    <r>
      <rPr>
        <sz val="11"/>
        <rFont val="Calibri"/>
        <family val="2"/>
      </rPr>
      <t xml:space="preserve">  50% @ 30% AMI, 50% @ 60% AMI (54 Points)</t>
    </r>
  </si>
  <si>
    <r>
      <rPr>
        <b/>
        <sz val="11"/>
        <rFont val="Calibri"/>
        <family val="2"/>
      </rPr>
      <t xml:space="preserve">Option 16: </t>
    </r>
    <r>
      <rPr>
        <sz val="11"/>
        <rFont val="Calibri"/>
        <family val="2"/>
      </rPr>
      <t xml:space="preserve"> 25% @ 30% AMI, 75% @ 50% AMI (54 Points)</t>
    </r>
  </si>
  <si>
    <r>
      <rPr>
        <b/>
        <sz val="11"/>
        <rFont val="Calibri"/>
        <family val="2"/>
      </rPr>
      <t>Option 17:</t>
    </r>
    <r>
      <rPr>
        <sz val="11"/>
        <rFont val="Calibri"/>
        <family val="2"/>
      </rPr>
      <t xml:space="preserve">  40% @ 30% AMI, 30@ 50% AMI, 30% @ 60% AMI (54 Points)</t>
    </r>
  </si>
  <si>
    <r>
      <rPr>
        <b/>
        <sz val="11"/>
        <rFont val="Calibri"/>
        <family val="2"/>
      </rPr>
      <t>Option 16:</t>
    </r>
    <r>
      <rPr>
        <sz val="11"/>
        <rFont val="Calibri"/>
        <family val="2"/>
      </rPr>
      <t xml:space="preserve">  25% @ 30% AMI, 75% @ 50% AMI (54 Points)</t>
    </r>
  </si>
  <si>
    <r>
      <rPr>
        <b/>
        <sz val="11"/>
        <rFont val="Calibri"/>
        <family val="2"/>
      </rPr>
      <t>Option 18:</t>
    </r>
    <r>
      <rPr>
        <sz val="11"/>
        <rFont val="Calibri"/>
        <family val="2"/>
      </rPr>
      <t xml:space="preserve">  10% @ 30% AMI, 60% @ 40% AMI, 30% @ 60% AMI (54 Points)</t>
    </r>
  </si>
  <si>
    <r>
      <rPr>
        <b/>
        <sz val="11"/>
        <rFont val="Calibri"/>
        <family val="2"/>
      </rPr>
      <t>Option 19:</t>
    </r>
    <r>
      <rPr>
        <sz val="11"/>
        <rFont val="Calibri"/>
        <family val="2"/>
      </rPr>
      <t xml:space="preserve">  50% @ 40% AMI, 50% @ 50% AMI (54 Points)</t>
    </r>
  </si>
  <si>
    <r>
      <rPr>
        <b/>
        <sz val="11"/>
        <rFont val="Calibri"/>
        <family val="2"/>
      </rPr>
      <t xml:space="preserve">Option 20: </t>
    </r>
    <r>
      <rPr>
        <sz val="11"/>
        <rFont val="Calibri"/>
        <family val="2"/>
      </rPr>
      <t xml:space="preserve"> 40% @ 40% AMI, 60% @ 50% AMI (54 Points)</t>
    </r>
  </si>
  <si>
    <t>50% of Total Housing Units as Supportive Housing for the Homeless (Non-Metro only) - 35 Points</t>
  </si>
  <si>
    <t>• 75% of the Total Housing Units for Farmworkers (Non-Metro only) - 15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</si>
  <si>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</si>
  <si>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</si>
  <si>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</si>
  <si>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</si>
  <si>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</si>
  <si>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</si>
  <si>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</si>
  <si>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</si>
  <si>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</si>
  <si>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</si>
  <si>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</si>
  <si>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</si>
  <si>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</si>
  <si>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</si>
  <si>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</si>
  <si>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</si>
  <si>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</si>
  <si>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</si>
  <si>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</si>
  <si>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</si>
  <si>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</si>
  <si>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</si>
  <si>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</si>
  <si>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</si>
  <si>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</si>
  <si>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</si>
  <si>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</si>
  <si>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</si>
  <si>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</si>
  <si>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</si>
  <si>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</si>
  <si>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</si>
  <si>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four_perc_lih_commit</t>
  </si>
  <si>
    <t>four_perc_inc_percent</t>
  </si>
  <si>
    <t>four_perc_Years</t>
  </si>
  <si>
    <t>four_perc_priority_pops</t>
  </si>
  <si>
    <t>four_perc_leveraging_public_resources</t>
  </si>
  <si>
    <t>four_perc_leveraging_taxable_bonds</t>
  </si>
  <si>
    <t>four_perc_dev_fees</t>
  </si>
  <si>
    <t>four_perc_property_type</t>
  </si>
  <si>
    <t>four_perc_efficient_location</t>
  </si>
  <si>
    <t>four_perc_np_sponsor</t>
  </si>
  <si>
    <t>four_perc_lih_40_percent</t>
  </si>
  <si>
    <t>four_perc_lih_50_percent</t>
  </si>
  <si>
    <t>four_perc_lih_60_percent</t>
  </si>
  <si>
    <t>four_perc_np_donation</t>
  </si>
  <si>
    <t>four_perc_solar_option_1</t>
  </si>
  <si>
    <t>four_perc_solar_option_2</t>
  </si>
  <si>
    <t>four_perc_project_based_rental_assistance</t>
  </si>
  <si>
    <t>see LIHTC 4% cost policy</t>
  </si>
  <si>
    <t>nine_perc_higher_income_counties</t>
  </si>
  <si>
    <t>nine_perc_lower_income_counties</t>
  </si>
  <si>
    <t>nine_perc_higher_income_county_setasides</t>
  </si>
  <si>
    <t>nine_perc_lower_income_county_setasides</t>
  </si>
  <si>
    <t>nine_pecent_inc_percent</t>
  </si>
  <si>
    <t>nine_percent_years</t>
  </si>
  <si>
    <t>nine_percent_homeless</t>
  </si>
  <si>
    <t>nine_percent_special_needs</t>
  </si>
  <si>
    <t>nine_percent_local_funding_counties</t>
  </si>
  <si>
    <t>nine_percent_local_funding_sources</t>
  </si>
  <si>
    <t>nine_percent_local_funding_types</t>
  </si>
  <si>
    <t>nine_percent_federal_funding_sources</t>
  </si>
  <si>
    <t>nine_percent_KC_HTF</t>
  </si>
  <si>
    <t>nine_percent_pbra_units</t>
  </si>
  <si>
    <t>nine_percent_dev_fees</t>
  </si>
  <si>
    <t>nine_percent_at_risk</t>
  </si>
  <si>
    <t>nine_percent_historic</t>
  </si>
  <si>
    <t>nine_percent_eligible_tribes</t>
  </si>
  <si>
    <t>Urban: within 1/2 mile of 5 facilities and a grocery store - 3 points</t>
  </si>
  <si>
    <t>nine_percent_location_efficient_projects</t>
  </si>
  <si>
    <t>nine_percent_king_county_tod</t>
  </si>
  <si>
    <t>nine_percent_in_within</t>
  </si>
  <si>
    <t>nine_percent_job_centers</t>
  </si>
  <si>
    <t>nine_percent_np_sponsor</t>
  </si>
  <si>
    <t>nine_percent_tdc_limits</t>
  </si>
  <si>
    <t>nine_percent_kc_opp_area</t>
  </si>
  <si>
    <t>stuff</t>
  </si>
  <si>
    <t>nonsense</t>
  </si>
  <si>
    <t>junk</t>
  </si>
  <si>
    <t>Form 8D: Operating Pro Forma (Page 2)</t>
  </si>
  <si>
    <t>Expected Placed-In-Service Date (MM/DD/YYYY)</t>
  </si>
  <si>
    <t>Form 11A</t>
  </si>
  <si>
    <t>9% TAX CREDIT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</si>
  <si>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r>
      <rPr>
        <b/>
        <sz val="11"/>
        <color rgb="FFFF0000"/>
        <rFont val="Calibri"/>
        <family val="2"/>
      </rPr>
      <t>NOTE: this form is based on the 2017 scoring criteria. The 2018 criteria are currently under revision, and will not be available until late fall of 2017.</t>
    </r>
  </si>
  <si>
    <t>Choose which scenario puts units at risk</t>
  </si>
  <si>
    <t>Project's Total Development Cost</t>
  </si>
  <si>
    <t>Gross Residential Square Footage:</t>
  </si>
  <si>
    <t>Form 11B</t>
  </si>
  <si>
    <r>
      <t>Urban:  within 1/4 mile of 3 services and 1/2 mile of a grocery store</t>
    </r>
    <r>
      <rPr>
        <sz val="11"/>
        <color indexed="8"/>
        <rFont val="Calibri"/>
        <family val="2"/>
      </rPr>
      <t xml:space="preserve"> - 3 points</t>
    </r>
  </si>
  <si>
    <t>Rural:  within 2 miles of 4 services, one of which is a grocery store - 3 points</t>
  </si>
  <si>
    <t>Filipino Community Village</t>
  </si>
  <si>
    <t>5727 37th Ave S</t>
  </si>
  <si>
    <t>Seattle</t>
  </si>
  <si>
    <t>N/A</t>
  </si>
  <si>
    <t>Beacon Communities, Inc. (dba HumanGood)</t>
  </si>
  <si>
    <t>Brian Lloyd</t>
  </si>
  <si>
    <t>206.204.1966</t>
  </si>
  <si>
    <t>brianl@beacondevgroup.com</t>
  </si>
  <si>
    <t>Beacon Development Group</t>
  </si>
  <si>
    <t>Chris Moxon</t>
  </si>
  <si>
    <t>206.204.1963</t>
  </si>
  <si>
    <t>chrism@beacondevgroup.com</t>
  </si>
  <si>
    <t>LIHTC tax credit partnership TBD</t>
  </si>
  <si>
    <t>77 units of affordable senior housing on floors 2, 3 and 4;  Innovation Learning Center on ground floor</t>
  </si>
  <si>
    <t>Manager</t>
  </si>
  <si>
    <t>BCI</t>
  </si>
  <si>
    <t>Service Coordinator</t>
  </si>
  <si>
    <t>5715, 5717, 5719, 5727, 5733 and 5739 37th Ave S.</t>
  </si>
  <si>
    <t>342660: 0080-00; 0090-08; 0100-06; 0106-00; 0115-09; 0120-02; 0125-07</t>
  </si>
  <si>
    <t>FILIPINO COMMUNITY VILLAGE</t>
  </si>
  <si>
    <t>Site Name:</t>
  </si>
  <si>
    <t>5727 27TH Ave S, Seattle Wa 98118</t>
  </si>
  <si>
    <t>x</t>
  </si>
  <si>
    <t>Seniors age 55 and above</t>
  </si>
  <si>
    <t>1 person</t>
  </si>
  <si>
    <t>5 persons</t>
  </si>
  <si>
    <t>4 person</t>
  </si>
  <si>
    <t>7 parcels purchased between 2008 -2011</t>
  </si>
  <si>
    <t>City of Seattle Office of Housing</t>
  </si>
  <si>
    <t>State HTF</t>
  </si>
  <si>
    <t>WSHFC 4% tax credits/bonds</t>
  </si>
  <si>
    <t>6120 Stoneridge Mall Road, 3rd Floor</t>
  </si>
  <si>
    <t>Pleasanton</t>
  </si>
  <si>
    <t>CA</t>
  </si>
  <si>
    <t>Ancel Romero</t>
  </si>
  <si>
    <t>1680 S. Roberto Maestas Festival Street</t>
  </si>
  <si>
    <t>WA</t>
  </si>
  <si>
    <t>925-924-7197</t>
  </si>
  <si>
    <t>ancel.romero@humangood.org</t>
  </si>
  <si>
    <t>Rolluda Architects</t>
  </si>
  <si>
    <t>Bob Hale, Principal</t>
  </si>
  <si>
    <t>206.682.3232</t>
  </si>
  <si>
    <t>bob@rolludaarchitects.com</t>
  </si>
  <si>
    <t>Kantor Taylor Nelson Evatt &amp; Decina, PC</t>
  </si>
  <si>
    <t>Mark Kantor, Partner</t>
  </si>
  <si>
    <t>206.812.2500</t>
  </si>
  <si>
    <t>Colliers International</t>
  </si>
  <si>
    <t>Cory J. Hutsell, MAI</t>
  </si>
  <si>
    <t>206.965.1136</t>
  </si>
  <si>
    <t>cory.hutsell@colliers.com</t>
  </si>
  <si>
    <t>Kendra Roberts, VP of Operations</t>
  </si>
  <si>
    <t>925.924.7182</t>
  </si>
  <si>
    <t>kendra.roberts@humangood.org</t>
  </si>
  <si>
    <t>TBD</t>
  </si>
  <si>
    <t>Bob Hale</t>
  </si>
  <si>
    <t>Filipino Community of Seattle</t>
  </si>
  <si>
    <t>Sheila Burrus</t>
  </si>
  <si>
    <t>206.300.5832</t>
  </si>
  <si>
    <t>executivedirect@fcseattle.org</t>
  </si>
  <si>
    <t>5740 Martin Luther King Jr. Way S</t>
  </si>
  <si>
    <t xml:space="preserve">BCI/HumanGood is the sponsor, developer and property manager for the project.  BCI/HumanGood will be the 51% member of the General Partner and Filipino Community of Seattle will be the 49% member of the General Partner.  </t>
  </si>
  <si>
    <t>Rotary Plaza</t>
  </si>
  <si>
    <t>Owner, developer</t>
  </si>
  <si>
    <t>South San Francisco, CA</t>
  </si>
  <si>
    <t>181</t>
  </si>
  <si>
    <t>2013</t>
  </si>
  <si>
    <t>2016</t>
  </si>
  <si>
    <t>LIHTC, Municipal Bonds, Seller Note</t>
  </si>
  <si>
    <t>Harborview Manor (Senior Housing)</t>
  </si>
  <si>
    <t>Tacoma, WA</t>
  </si>
  <si>
    <t>169</t>
  </si>
  <si>
    <t>2011</t>
  </si>
  <si>
    <t>LIHTC, Conventional, owner financing</t>
  </si>
  <si>
    <t>Three Rivers Village (Senior Housing)</t>
  </si>
  <si>
    <t>Richland, WA</t>
  </si>
  <si>
    <t>40</t>
  </si>
  <si>
    <t>2012</t>
  </si>
  <si>
    <t>2014</t>
  </si>
  <si>
    <t>LIHTC, WCRA, HTF, private</t>
  </si>
  <si>
    <t>Pearl on Oyster Bay (Senior Housing)</t>
  </si>
  <si>
    <t>Bremerton, WA</t>
  </si>
  <si>
    <t>81</t>
  </si>
  <si>
    <t>LIHTC, HUD 202</t>
  </si>
  <si>
    <t>Life's Garden</t>
  </si>
  <si>
    <t>Sunnyvale, CA</t>
  </si>
  <si>
    <t>208</t>
  </si>
  <si>
    <t>2017</t>
  </si>
  <si>
    <t>LIHTC, HUD 231</t>
  </si>
  <si>
    <t>Judson Terrace Homes</t>
  </si>
  <si>
    <t>San Luis Obispo, CA</t>
  </si>
  <si>
    <t>107</t>
  </si>
  <si>
    <t>2019</t>
  </si>
  <si>
    <t>Miller Avenue (Senior)</t>
  </si>
  <si>
    <t>2018</t>
  </si>
  <si>
    <t>LIHTC</t>
  </si>
  <si>
    <t>Mount Rubidoux (Senior)</t>
  </si>
  <si>
    <t>Co-sponsor, developer</t>
  </si>
  <si>
    <t>Riverside, CA</t>
  </si>
  <si>
    <t>188</t>
  </si>
  <si>
    <t>Sun Tower</t>
  </si>
  <si>
    <t>Yakima, WA</t>
  </si>
  <si>
    <t>141</t>
  </si>
  <si>
    <t>LIHTC, HUD, HTF</t>
  </si>
  <si>
    <t>Harborview Manor</t>
  </si>
  <si>
    <t>Seniors</t>
  </si>
  <si>
    <t>Three Rivers Village</t>
  </si>
  <si>
    <t>Pearl on Oyster Bay</t>
  </si>
  <si>
    <t>Shepherd's Garden</t>
  </si>
  <si>
    <t>Lynnwood, WA</t>
  </si>
  <si>
    <t>2010</t>
  </si>
  <si>
    <t>HUD 202 PRAC, HTF, HOME</t>
  </si>
  <si>
    <t>Salishan Gardens</t>
  </si>
  <si>
    <t>54</t>
  </si>
  <si>
    <t>HUD 202 PRAC, HTF, City of Tacoma HOME</t>
  </si>
  <si>
    <t>SHA Agnes Kehoe Place</t>
  </si>
  <si>
    <t>Spokane, WA</t>
  </si>
  <si>
    <t>04/2008</t>
  </si>
  <si>
    <t>01/2012</t>
  </si>
  <si>
    <t xml:space="preserve">HTF, LIHTC, Historic Tax Credits, City, Section 8 </t>
  </si>
  <si>
    <t>Bonel Mobile Manor</t>
  </si>
  <si>
    <t>Kent, WA</t>
  </si>
  <si>
    <t>06/2010</t>
  </si>
  <si>
    <t>12/2012</t>
  </si>
  <si>
    <t>CHSEW Father Bach Haven</t>
  </si>
  <si>
    <t>08/2010</t>
  </si>
  <si>
    <t>HTF, LIHTC, Section 8</t>
  </si>
  <si>
    <t xml:space="preserve">ABHOW Harbor View Manor </t>
  </si>
  <si>
    <t>07/2010</t>
  </si>
  <si>
    <t>03/2013</t>
  </si>
  <si>
    <t>LIHTC, Section 8</t>
  </si>
  <si>
    <t>CCHS Casa Kino</t>
  </si>
  <si>
    <t>Quincy, WA</t>
  </si>
  <si>
    <t>05/2011</t>
  </si>
  <si>
    <t>10/2013</t>
  </si>
  <si>
    <t>HTF, LIHTC, State HE CDBG</t>
  </si>
  <si>
    <t>Northaven Apartments</t>
  </si>
  <si>
    <t>Seattle, WA</t>
  </si>
  <si>
    <t>04/2009</t>
  </si>
  <si>
    <t>11/2013</t>
  </si>
  <si>
    <t>HUD 223 f</t>
  </si>
  <si>
    <t xml:space="preserve">SG Brettler Family Place 3 </t>
  </si>
  <si>
    <t>06/2012</t>
  </si>
  <si>
    <t>12/2013</t>
  </si>
  <si>
    <t>LIHTC, City, King Cty, Sound Families</t>
  </si>
  <si>
    <t>ABHOW Three Rivers Village</t>
  </si>
  <si>
    <t>03/2009</t>
  </si>
  <si>
    <t>03/2014</t>
  </si>
  <si>
    <t>WWHA Valle Lindo II</t>
  </si>
  <si>
    <t>Walla Walla, WA</t>
  </si>
  <si>
    <t>08/2014</t>
  </si>
  <si>
    <t>HTF, LIHTC</t>
  </si>
  <si>
    <t>Compass on Dexter</t>
  </si>
  <si>
    <t>03/2011</t>
  </si>
  <si>
    <t>09/2014</t>
  </si>
  <si>
    <t>HTF, LIHTC, City</t>
  </si>
  <si>
    <t>ABHOW Pearl on Oyster Bay</t>
  </si>
  <si>
    <t>HUD 202, LIHTC</t>
  </si>
  <si>
    <t>WBBH Garden Terrace</t>
  </si>
  <si>
    <t>Wenatchee, WA</t>
  </si>
  <si>
    <t>10/2014</t>
  </si>
  <si>
    <t>YHA Yakima Family Housing</t>
  </si>
  <si>
    <t>05/2012</t>
  </si>
  <si>
    <t>12/2014</t>
  </si>
  <si>
    <t>CPC Valor Apartments</t>
  </si>
  <si>
    <t>01/2015</t>
  </si>
  <si>
    <t>HTF, City, HUD 811</t>
  </si>
  <si>
    <t>HACPFC Varney Court</t>
  </si>
  <si>
    <t>Pasco, WA</t>
  </si>
  <si>
    <t>02/2012</t>
  </si>
  <si>
    <t>03/2015</t>
  </si>
  <si>
    <t>Hilltop House</t>
  </si>
  <si>
    <t>10/2012</t>
  </si>
  <si>
    <t>01/2016</t>
  </si>
  <si>
    <t>HUD 221d4, SPRAC</t>
  </si>
  <si>
    <t>Plaza Roberto Maestas</t>
  </si>
  <si>
    <t>07/2016</t>
  </si>
  <si>
    <t>Compass Ronald Commons</t>
  </si>
  <si>
    <t>Shoreline, WA</t>
  </si>
  <si>
    <t>1/2017</t>
  </si>
  <si>
    <t>HTF, LIHTC, City, County, Section 8</t>
  </si>
  <si>
    <t xml:space="preserve">Western Ave Senior Housing </t>
  </si>
  <si>
    <t>LIHTC, City, County</t>
  </si>
  <si>
    <t>ABHOW Sun Tower</t>
  </si>
  <si>
    <t>12/2017</t>
  </si>
  <si>
    <t>Mount Baker Village</t>
  </si>
  <si>
    <t>03/2019</t>
  </si>
  <si>
    <t>LIHTC, City, Section 8</t>
  </si>
  <si>
    <t>HopeWorks Station II</t>
  </si>
  <si>
    <t>Everett, WA</t>
  </si>
  <si>
    <t>9/2019</t>
  </si>
  <si>
    <t>HTF, LIHTC, County</t>
  </si>
  <si>
    <t>Cocoon House Youth Center</t>
  </si>
  <si>
    <t>HTF, City, County</t>
  </si>
  <si>
    <t>Maddux Apartments</t>
  </si>
  <si>
    <t>10/2019</t>
  </si>
  <si>
    <t>LIHTC, City</t>
  </si>
  <si>
    <t>YHA Armory</t>
  </si>
  <si>
    <t>LIHTC, HTF, Section 8</t>
  </si>
  <si>
    <t>YWCA Pierce County</t>
  </si>
  <si>
    <t>LIHTC, HTF, City, County</t>
  </si>
  <si>
    <t>12/2019</t>
  </si>
  <si>
    <t>03/2020</t>
  </si>
  <si>
    <t>LIHTC, City, HTF, Section 8, Private Debt</t>
  </si>
  <si>
    <t>LIHTC, City, HTF, Priv. Debt</t>
  </si>
  <si>
    <t>UBI: 602-891-131; Federal Tax ID #:  94-3085296</t>
  </si>
  <si>
    <t xml:space="preserve">Other Sources: </t>
  </si>
  <si>
    <t>Laundry</t>
  </si>
  <si>
    <t>City of Seattle</t>
  </si>
  <si>
    <t>Private Debt</t>
  </si>
  <si>
    <t>State of WA</t>
  </si>
  <si>
    <t>1.  Accounting line includes compliance fees payable to WSHFC for tax-exempt bonds</t>
  </si>
  <si>
    <t>Capital Campaign</t>
  </si>
  <si>
    <t>Deferred Fee</t>
  </si>
  <si>
    <t>Syndication consultant</t>
  </si>
  <si>
    <t>Impact Capital</t>
  </si>
  <si>
    <t>3 years</t>
  </si>
  <si>
    <t>Other predevelopment or LIHTC equity</t>
  </si>
  <si>
    <t>BCI/HumanGood</t>
  </si>
  <si>
    <t>18 mos.</t>
  </si>
  <si>
    <t>LIHTC equity</t>
  </si>
  <si>
    <t>City of Seattle OH</t>
  </si>
  <si>
    <t>50 years</t>
  </si>
  <si>
    <t>deferred</t>
  </si>
  <si>
    <t>State of WA HTF</t>
  </si>
  <si>
    <t>Tax Exempt Loan</t>
  </si>
  <si>
    <t>amortizing</t>
  </si>
  <si>
    <t>Deferred Developer Fee</t>
  </si>
  <si>
    <t>cash flow</t>
  </si>
  <si>
    <t>State Dept. of Commerce</t>
  </si>
  <si>
    <t>ongoing</t>
  </si>
  <si>
    <t>Tax Exempt Bond construction</t>
  </si>
  <si>
    <t>LIHTC equity and perm debt</t>
  </si>
  <si>
    <t>these sources match</t>
  </si>
  <si>
    <t>pro-rata share of acquisition cost for the residential portion of project</t>
  </si>
  <si>
    <t>based on cost estimate plus 5% inflation factor</t>
  </si>
  <si>
    <t>5%, includes overhead and profit</t>
  </si>
  <si>
    <t>assumes a 10% contingency</t>
  </si>
  <si>
    <t>based on cost estimate</t>
  </si>
  <si>
    <t>based on similar projects in Seattle</t>
  </si>
  <si>
    <t>based on similar projects</t>
  </si>
  <si>
    <t>estimate from Rolluda Architects</t>
  </si>
  <si>
    <t>based on similar projects - residential share</t>
  </si>
  <si>
    <t>cost estimator and construction testing</t>
  </si>
  <si>
    <t>bridge loan fees are included in construction loan fees so they can be included in basis</t>
  </si>
  <si>
    <t>bridge loan interest is included in construction loan interest - to be included in basis</t>
  </si>
  <si>
    <t>assumes 75 bps + standard construction loan fees + legal</t>
  </si>
  <si>
    <t>residential share of owner's legal expenses</t>
  </si>
  <si>
    <t>residential share of owner's title/escrow expenses</t>
  </si>
  <si>
    <t>assumes 4% for 18 month term - average balance of 60%</t>
  </si>
  <si>
    <t>HTF loan fee</t>
  </si>
  <si>
    <t>owner's permanent title/escrow expenses</t>
  </si>
  <si>
    <t>owner's permanent legal fees expenses</t>
  </si>
  <si>
    <t>per WSHFC</t>
  </si>
  <si>
    <t>owner's LIHTC syndication legal expenses</t>
  </si>
  <si>
    <t>syndication consultant fee</t>
  </si>
  <si>
    <t>6 months operating expenses + debt service</t>
  </si>
  <si>
    <t>capitalized at $350/unit</t>
  </si>
  <si>
    <t>residential portion of insurance expenses, based on previous projects</t>
  </si>
  <si>
    <t>per relocation plan provided by AutoTemp</t>
  </si>
  <si>
    <t>based on previous projects in Seattle</t>
  </si>
  <si>
    <t>based o previous projects - standard fee</t>
  </si>
  <si>
    <t>per WSHFC bond fees schedule</t>
  </si>
  <si>
    <t>The vacancy rate and inflation factor used are industry standards.</t>
  </si>
  <si>
    <t>Standard 6% management fee</t>
  </si>
  <si>
    <t>Based on BCI/HumanGood standard fees</t>
  </si>
  <si>
    <t>Based on BCI/HumanGood standard costs</t>
  </si>
  <si>
    <t xml:space="preserve">Estimate </t>
  </si>
  <si>
    <t>Based on BCI/HumanGood standard assumptions</t>
  </si>
  <si>
    <t>Based on BCI/HumanGood standard janitorial expenses and salaries</t>
  </si>
  <si>
    <t>Based on BCI/HumanGood standard rates</t>
  </si>
  <si>
    <t>included in Contract Repairs</t>
  </si>
  <si>
    <t>Based on similar Seattle projects</t>
  </si>
  <si>
    <t>Service coordinator - 15 hours/week + expenses</t>
  </si>
  <si>
    <t>Industry standard of $350/unit/year</t>
  </si>
  <si>
    <t>Capitalized in the development budget</t>
  </si>
  <si>
    <t>Based on BCI/HumanGood standard management expenses</t>
  </si>
  <si>
    <t>Northaven III</t>
  </si>
  <si>
    <t>Maintenance Supervisor</t>
  </si>
  <si>
    <t>Management Fee</t>
  </si>
  <si>
    <t>BCi</t>
  </si>
  <si>
    <t>5 months lease up period</t>
  </si>
  <si>
    <t>3 months stabilization period</t>
  </si>
  <si>
    <t>Gas service</t>
  </si>
  <si>
    <t>Domestic and Fire</t>
  </si>
  <si>
    <t>SPU utilities</t>
  </si>
  <si>
    <t>SCL fees</t>
  </si>
  <si>
    <t>Permit fees</t>
  </si>
  <si>
    <t>plan review fees</t>
  </si>
  <si>
    <t>pre-submittal conference</t>
  </si>
  <si>
    <t>Sewer capacity charge - King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</si>
</sst>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
    <numFmt numFmtId="171" formatCode="_(&quot;$&quot;* #,##0_);_(&quot;$&quot;* \(#,##0\);_(&quot;$&quot;* &quot;-&quot;??_);_(@_)"/>
    <numFmt numFmtId="172" formatCode="[$-409]mmm\-yy;@"/>
  </numFmts>
  <fonts count="10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sz val="11"/>
      <color rgb="FFFF0000"/>
      <name val="Calibri"/>
      <family val="2"/>
    </font>
  </fonts>
  <fills count="4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s>
  <borders count="610">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98" fillId="0" borderId="0" applyNumberFormat="0" applyFill="0" applyBorder="0" applyAlignment="0" applyProtection="0">
      <alignment vertical="top"/>
      <protection locked="0"/>
    </xf>
    <xf numFmtId="0" fontId="3" fillId="0" borderId="0"/>
  </cellStyleXfs>
  <cellXfs count="2643">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105"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3" xfId="0" applyNumberFormat="1" applyFont="1" applyFill="1" applyBorder="1" applyAlignment="1" applyProtection="1"/>
    <xf numFmtId="44" fontId="20" fillId="6" borderId="153"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5" fontId="16" fillId="0" borderId="0" xfId="0" applyNumberFormat="1" applyFont="1" applyBorder="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6" fontId="43" fillId="0" borderId="226" xfId="0" applyNumberFormat="1" applyFont="1" applyFill="1" applyBorder="1" applyAlignment="1" applyProtection="1">
      <alignment vertic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44" fontId="16" fillId="0" borderId="246" xfId="0" applyNumberFormat="1"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44" fontId="16" fillId="0" borderId="251" xfId="0" applyNumberFormat="1"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9" xfId="0" applyNumberFormat="1" applyFont="1" applyFill="1" applyBorder="1" applyAlignment="1" applyProtection="1">
      <alignment vertical="center"/>
      <protection locked="0"/>
    </xf>
    <xf numFmtId="165" fontId="16" fillId="0" borderId="379" xfId="0" applyNumberFormat="1" applyFont="1" applyFill="1" applyBorder="1" applyProtection="1">
      <protection locked="0"/>
    </xf>
    <xf numFmtId="165" fontId="16" fillId="0" borderId="385" xfId="0" applyNumberFormat="1" applyFont="1" applyFill="1" applyBorder="1" applyProtection="1">
      <protection locked="0"/>
    </xf>
    <xf numFmtId="0" fontId="16" fillId="0" borderId="386" xfId="0" applyFont="1" applyFill="1" applyBorder="1" applyAlignment="1" applyProtection="1">
      <alignment horizontal="center" wrapText="1"/>
      <protection locked="0"/>
    </xf>
    <xf numFmtId="9" fontId="16" fillId="0" borderId="386"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400"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6" xfId="0" applyFont="1" applyFill="1" applyBorder="1" applyAlignment="1" applyProtection="1">
      <alignment horizontal="center"/>
    </xf>
    <xf numFmtId="0" fontId="1" fillId="6" borderId="396"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4"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5" fillId="6" borderId="400" xfId="0" applyNumberFormat="1" applyFont="1" applyFill="1" applyBorder="1" applyAlignment="1" applyProtection="1">
      <alignment vertical="center"/>
    </xf>
    <xf numFmtId="3" fontId="15" fillId="27" borderId="405" xfId="0" applyNumberFormat="1" applyFont="1" applyFill="1" applyBorder="1" applyAlignment="1" applyProtection="1">
      <alignment vertical="center"/>
    </xf>
    <xf numFmtId="3" fontId="15" fillId="0" borderId="406"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6" xfId="0" applyNumberFormat="1" applyFont="1" applyFill="1" applyBorder="1" applyAlignment="1" applyProtection="1">
      <alignment vertical="center" wrapText="1"/>
    </xf>
    <xf numFmtId="3" fontId="15" fillId="27" borderId="396"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4"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4" xfId="0" applyNumberFormat="1" applyFont="1" applyFill="1" applyBorder="1" applyAlignment="1" applyProtection="1">
      <alignment vertical="center" wrapText="1"/>
    </xf>
    <xf numFmtId="3" fontId="15" fillId="0" borderId="410"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3" fontId="20" fillId="6" borderId="413"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4" xfId="0" applyNumberFormat="1" applyFont="1" applyFill="1" applyBorder="1" applyAlignment="1" applyProtection="1">
      <protection locked="0"/>
    </xf>
    <xf numFmtId="0" fontId="3" fillId="3" borderId="415"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6" xfId="0" applyFont="1" applyFill="1" applyBorder="1" applyAlignment="1" applyProtection="1">
      <protection locked="0"/>
    </xf>
    <xf numFmtId="44" fontId="3" fillId="2" borderId="417" xfId="0" applyNumberFormat="1" applyFont="1" applyFill="1" applyBorder="1" applyAlignment="1" applyProtection="1"/>
    <xf numFmtId="0" fontId="16" fillId="3" borderId="418" xfId="0" applyFont="1" applyFill="1" applyBorder="1" applyAlignment="1" applyProtection="1"/>
    <xf numFmtId="44" fontId="3" fillId="3" borderId="338"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9"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420"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7" xfId="0" applyNumberFormat="1" applyFont="1" applyFill="1" applyBorder="1" applyAlignment="1" applyProtection="1">
      <alignment vertical="center"/>
    </xf>
    <xf numFmtId="42" fontId="23" fillId="6" borderId="391" xfId="0" applyNumberFormat="1" applyFont="1" applyFill="1" applyBorder="1" applyAlignment="1" applyProtection="1">
      <alignment vertical="center"/>
    </xf>
    <xf numFmtId="42" fontId="23" fillId="0" borderId="399"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1" xfId="0" applyNumberFormat="1" applyFont="1" applyFill="1" applyBorder="1" applyAlignment="1" applyProtection="1">
      <alignment vertical="center"/>
    </xf>
    <xf numFmtId="42" fontId="23" fillId="6" borderId="422"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3" xfId="0" applyNumberFormat="1" applyFont="1" applyFill="1" applyBorder="1" applyAlignment="1" applyProtection="1">
      <alignment vertical="center" wrapText="1"/>
      <protection locked="0"/>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0" borderId="424"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3"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4" xfId="0" applyNumberFormat="1" applyFont="1" applyFill="1" applyBorder="1" applyAlignment="1" applyProtection="1">
      <alignment vertical="center"/>
      <protection locked="0"/>
    </xf>
    <xf numFmtId="42" fontId="23" fillId="0" borderId="399"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3"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9"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5" xfId="0" applyNumberFormat="1" applyFont="1" applyFill="1" applyBorder="1" applyAlignment="1" applyProtection="1">
      <alignment vertical="center"/>
    </xf>
    <xf numFmtId="42" fontId="16" fillId="0" borderId="426"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9" xfId="0" applyNumberFormat="1" applyFont="1" applyFill="1" applyBorder="1" applyAlignment="1" applyProtection="1">
      <alignment vertical="center"/>
      <protection locked="0"/>
    </xf>
    <xf numFmtId="42" fontId="16" fillId="6" borderId="418"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20" xfId="0" applyNumberFormat="1" applyFont="1" applyFill="1" applyBorder="1" applyAlignment="1" applyProtection="1">
      <alignment vertical="center"/>
      <protection locked="0"/>
    </xf>
    <xf numFmtId="42" fontId="16" fillId="0" borderId="350"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7"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4" xfId="0" applyNumberFormat="1" applyFont="1" applyBorder="1" applyAlignment="1" applyProtection="1">
      <alignment vertical="center" wrapText="1"/>
      <protection locked="0"/>
    </xf>
    <xf numFmtId="42" fontId="16" fillId="0" borderId="283" xfId="0" applyNumberFormat="1" applyFont="1" applyFill="1" applyBorder="1" applyAlignment="1" applyProtection="1">
      <alignment vertical="center" wrapText="1"/>
      <protection locked="0"/>
    </xf>
    <xf numFmtId="42" fontId="16" fillId="0" borderId="424" xfId="0" applyNumberFormat="1" applyFont="1" applyFill="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7" xfId="0" applyNumberFormat="1" applyFont="1" applyFill="1" applyBorder="1" applyAlignment="1" applyProtection="1">
      <alignment vertical="center"/>
    </xf>
    <xf numFmtId="42" fontId="16" fillId="6" borderId="409" xfId="0" applyNumberFormat="1" applyFont="1" applyFill="1" applyBorder="1" applyAlignment="1" applyProtection="1">
      <alignment vertical="center"/>
    </xf>
    <xf numFmtId="42" fontId="16" fillId="6" borderId="419"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1"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8" xfId="0" applyNumberFormat="1" applyFont="1" applyFill="1" applyBorder="1" applyProtection="1">
      <protection locked="0"/>
    </xf>
    <xf numFmtId="42" fontId="54" fillId="0" borderId="424" xfId="0" applyNumberFormat="1" applyFont="1" applyFill="1" applyBorder="1" applyProtection="1">
      <protection locked="0"/>
    </xf>
    <xf numFmtId="42" fontId="54" fillId="6" borderId="370" xfId="0" applyNumberFormat="1" applyFont="1" applyFill="1" applyBorder="1" applyProtection="1"/>
    <xf numFmtId="42" fontId="54" fillId="6" borderId="280" xfId="0" applyNumberFormat="1" applyFont="1" applyFill="1" applyBorder="1" applyProtection="1"/>
    <xf numFmtId="9" fontId="54" fillId="6" borderId="401"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9" xfId="0" applyNumberFormat="1" applyFont="1" applyFill="1" applyBorder="1" applyProtection="1"/>
    <xf numFmtId="167" fontId="54" fillId="0" borderId="379" xfId="0" applyNumberFormat="1" applyFont="1" applyFill="1" applyBorder="1" applyProtection="1">
      <protection locked="0"/>
    </xf>
    <xf numFmtId="0" fontId="16" fillId="0" borderId="370"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401"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8" xfId="0" applyFont="1" applyFill="1" applyBorder="1" applyProtection="1">
      <protection locked="0"/>
    </xf>
    <xf numFmtId="44" fontId="16" fillId="6" borderId="403" xfId="0" applyNumberFormat="1" applyFont="1" applyFill="1" applyBorder="1" applyProtection="1"/>
    <xf numFmtId="0" fontId="16" fillId="0" borderId="430" xfId="0" applyFont="1" applyFill="1" applyBorder="1" applyProtection="1">
      <protection locked="0"/>
    </xf>
    <xf numFmtId="0" fontId="16" fillId="0" borderId="305" xfId="0" applyFont="1" applyFill="1" applyBorder="1" applyProtection="1">
      <protection locked="0"/>
    </xf>
    <xf numFmtId="0" fontId="16" fillId="0" borderId="431"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9"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86" xfId="0" applyFont="1" applyBorder="1" applyAlignment="1" applyProtection="1">
      <alignment horizontal="left" wrapText="1"/>
      <protection locked="0"/>
    </xf>
    <xf numFmtId="49" fontId="16" fillId="0" borderId="386" xfId="0" applyNumberFormat="1" applyFont="1" applyFill="1" applyBorder="1" applyAlignment="1" applyProtection="1">
      <alignment horizontal="center" wrapText="1"/>
      <protection locked="0"/>
    </xf>
    <xf numFmtId="49" fontId="16" fillId="0" borderId="350"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8"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2" xfId="0" applyNumberFormat="1" applyFont="1" applyFill="1" applyBorder="1" applyAlignment="1" applyProtection="1">
      <alignment horizontal="center" wrapText="1"/>
      <protection locked="0"/>
    </xf>
    <xf numFmtId="0" fontId="16" fillId="0" borderId="386"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54"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49" fontId="16" fillId="0" borderId="354" xfId="0" applyNumberFormat="1" applyFont="1" applyFill="1" applyBorder="1" applyAlignment="1" applyProtection="1">
      <alignment horizontal="left" wrapText="1"/>
      <protection locked="0"/>
    </xf>
    <xf numFmtId="49" fontId="16" fillId="0" borderId="361" xfId="0" applyNumberFormat="1" applyFont="1" applyFill="1" applyBorder="1" applyAlignment="1" applyProtection="1">
      <alignment horizontal="left" wrapText="1"/>
      <protection locked="0"/>
    </xf>
    <xf numFmtId="49" fontId="16" fillId="0" borderId="386"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9" xfId="0" applyFont="1" applyFill="1" applyBorder="1" applyAlignment="1" applyProtection="1">
      <alignment horizontal="left" wrapText="1"/>
      <protection locked="0"/>
    </xf>
    <xf numFmtId="0" fontId="16" fillId="5" borderId="438"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2" xfId="0" applyFont="1" applyFill="1" applyBorder="1" applyAlignment="1" applyProtection="1">
      <alignment horizontal="center" wrapText="1"/>
      <protection locked="0"/>
    </xf>
    <xf numFmtId="0" fontId="16" fillId="0" borderId="443" xfId="0" applyFont="1" applyFill="1" applyBorder="1" applyAlignment="1" applyProtection="1">
      <alignment wrapText="1"/>
      <protection locked="0"/>
    </xf>
    <xf numFmtId="0" fontId="16" fillId="0" borderId="443" xfId="0" applyFont="1" applyBorder="1" applyAlignment="1" applyProtection="1">
      <alignment horizontal="left" wrapText="1"/>
      <protection locked="0"/>
    </xf>
    <xf numFmtId="49" fontId="16" fillId="0" borderId="443" xfId="0" applyNumberFormat="1" applyFont="1" applyFill="1" applyBorder="1" applyAlignment="1" applyProtection="1">
      <alignment horizontal="center" wrapText="1"/>
      <protection locked="0"/>
    </xf>
    <xf numFmtId="49" fontId="16" fillId="0" borderId="443"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7"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2" xfId="0" applyFont="1" applyFill="1" applyBorder="1" applyAlignment="1" applyProtection="1">
      <alignment horizontal="left" wrapText="1"/>
      <protection locked="0"/>
    </xf>
    <xf numFmtId="0" fontId="16" fillId="0" borderId="443"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7" xfId="0" applyFont="1" applyFill="1" applyBorder="1" applyAlignment="1" applyProtection="1">
      <alignment wrapText="1"/>
      <protection locked="0"/>
    </xf>
    <xf numFmtId="0" fontId="16" fillId="0" borderId="438"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3" xfId="0" applyNumberFormat="1" applyFont="1" applyFill="1" applyBorder="1" applyAlignment="1" applyProtection="1">
      <alignment horizontal="right" wrapText="1"/>
      <protection locked="0"/>
    </xf>
    <xf numFmtId="0" fontId="16" fillId="0" borderId="442" xfId="0" applyFont="1" applyFill="1" applyBorder="1" applyProtection="1">
      <protection locked="0"/>
    </xf>
    <xf numFmtId="0" fontId="15" fillId="0" borderId="406" xfId="0" applyFont="1" applyFill="1" applyBorder="1" applyAlignment="1" applyProtection="1">
      <alignment horizontal="center"/>
      <protection locked="0"/>
    </xf>
    <xf numFmtId="0" fontId="15" fillId="0" borderId="408"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3"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44" fontId="41" fillId="6" borderId="162" xfId="0" applyNumberFormat="1" applyFont="1" applyFill="1" applyBorder="1" applyProtection="1"/>
    <xf numFmtId="44" fontId="41" fillId="6" borderId="161" xfId="0" applyNumberFormat="1" applyFont="1" applyFill="1" applyBorder="1" applyProtection="1"/>
    <xf numFmtId="44" fontId="41" fillId="6" borderId="160" xfId="0" applyNumberFormat="1" applyFont="1" applyFill="1" applyBorder="1" applyProtection="1"/>
    <xf numFmtId="44" fontId="41" fillId="6" borderId="151" xfId="0" applyNumberFormat="1" applyFont="1" applyFill="1" applyBorder="1" applyProtection="1"/>
    <xf numFmtId="44" fontId="41" fillId="6" borderId="238" xfId="0" applyNumberFormat="1" applyFont="1" applyFill="1" applyBorder="1" applyProtection="1"/>
    <xf numFmtId="44" fontId="41" fillId="5" borderId="218" xfId="0" applyNumberFormat="1" applyFont="1" applyFill="1" applyBorder="1" applyProtection="1">
      <protection locked="0"/>
    </xf>
    <xf numFmtId="44" fontId="41" fillId="5" borderId="457" xfId="0" applyNumberFormat="1" applyFont="1" applyFill="1" applyBorder="1" applyProtection="1">
      <protection locked="0"/>
    </xf>
    <xf numFmtId="44" fontId="41" fillId="5" borderId="139" xfId="0" applyNumberFormat="1" applyFont="1" applyFill="1" applyBorder="1" applyProtection="1">
      <protection locked="0"/>
    </xf>
    <xf numFmtId="44" fontId="41" fillId="5" borderId="256" xfId="0" applyNumberFormat="1" applyFont="1" applyFill="1" applyBorder="1" applyProtection="1">
      <protection locked="0"/>
    </xf>
    <xf numFmtId="44" fontId="41" fillId="5" borderId="298" xfId="0" applyNumberFormat="1" applyFont="1" applyFill="1" applyBorder="1" applyProtection="1">
      <protection locked="0"/>
    </xf>
    <xf numFmtId="44" fontId="41" fillId="5" borderId="458" xfId="0" applyNumberFormat="1" applyFont="1" applyFill="1" applyBorder="1" applyProtection="1">
      <protection locked="0"/>
    </xf>
    <xf numFmtId="44" fontId="41" fillId="5" borderId="355" xfId="0" applyNumberFormat="1" applyFont="1" applyFill="1" applyBorder="1" applyProtection="1">
      <protection locked="0"/>
    </xf>
    <xf numFmtId="44" fontId="41" fillId="5" borderId="314" xfId="0" applyNumberFormat="1" applyFont="1" applyFill="1" applyBorder="1" applyProtection="1">
      <protection locked="0"/>
    </xf>
    <xf numFmtId="44" fontId="41" fillId="5" borderId="372" xfId="0" applyNumberFormat="1" applyFont="1" applyFill="1" applyBorder="1" applyProtection="1">
      <protection locked="0"/>
    </xf>
    <xf numFmtId="44" fontId="41" fillId="0" borderId="218" xfId="0" applyNumberFormat="1" applyFont="1" applyBorder="1" applyProtection="1">
      <protection locked="0"/>
    </xf>
    <xf numFmtId="44" fontId="41" fillId="0" borderId="457" xfId="0" applyNumberFormat="1" applyFont="1" applyBorder="1" applyProtection="1">
      <protection locked="0"/>
    </xf>
    <xf numFmtId="44" fontId="41" fillId="0" borderId="139" xfId="0" applyNumberFormat="1" applyFont="1" applyBorder="1" applyProtection="1">
      <protection locked="0"/>
    </xf>
    <xf numFmtId="44" fontId="41" fillId="0" borderId="256" xfId="0" applyNumberFormat="1" applyFont="1" applyBorder="1" applyProtection="1">
      <protection locked="0"/>
    </xf>
    <xf numFmtId="44" fontId="41" fillId="0" borderId="298" xfId="0" applyNumberFormat="1" applyFont="1" applyBorder="1" applyProtection="1">
      <protection locked="0"/>
    </xf>
    <xf numFmtId="44" fontId="41" fillId="0" borderId="458" xfId="0" applyNumberFormat="1" applyFont="1" applyBorder="1" applyProtection="1">
      <protection locked="0"/>
    </xf>
    <xf numFmtId="44" fontId="41" fillId="0" borderId="355" xfId="0" applyNumberFormat="1" applyFont="1" applyBorder="1" applyProtection="1">
      <protection locked="0"/>
    </xf>
    <xf numFmtId="44" fontId="41" fillId="0" borderId="314" xfId="0" applyNumberFormat="1" applyFont="1" applyBorder="1" applyProtection="1">
      <protection locked="0"/>
    </xf>
    <xf numFmtId="44" fontId="41" fillId="0" borderId="372" xfId="0" applyNumberFormat="1" applyFont="1" applyBorder="1" applyProtection="1">
      <protection locked="0"/>
    </xf>
    <xf numFmtId="9" fontId="8" fillId="0" borderId="218" xfId="0" applyNumberFormat="1" applyFont="1" applyBorder="1" applyAlignment="1" applyProtection="1">
      <alignment vertical="center"/>
      <protection locked="0"/>
    </xf>
    <xf numFmtId="1" fontId="8" fillId="0" borderId="457" xfId="0" applyNumberFormat="1" applyFont="1" applyBorder="1" applyAlignment="1" applyProtection="1">
      <protection locked="0"/>
    </xf>
    <xf numFmtId="42" fontId="8" fillId="0" borderId="457"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20" xfId="0" applyNumberFormat="1" applyFont="1" applyFill="1" applyBorder="1" applyAlignment="1" applyProtection="1">
      <alignment horizontal="center" wrapText="1"/>
    </xf>
    <xf numFmtId="0" fontId="41" fillId="0" borderId="459" xfId="0" applyFont="1" applyFill="1" applyBorder="1" applyAlignment="1" applyProtection="1">
      <alignment vertical="center" wrapText="1"/>
      <protection locked="0"/>
    </xf>
    <xf numFmtId="0" fontId="41" fillId="0" borderId="461" xfId="0" applyFont="1" applyFill="1" applyBorder="1" applyAlignment="1" applyProtection="1">
      <alignment vertical="center" wrapText="1"/>
      <protection locked="0"/>
    </xf>
    <xf numFmtId="0" fontId="41" fillId="0" borderId="463" xfId="0" applyFont="1" applyFill="1" applyBorder="1" applyAlignment="1" applyProtection="1">
      <alignment vertical="center" wrapText="1"/>
      <protection locked="0"/>
    </xf>
    <xf numFmtId="44" fontId="41" fillId="6" borderId="327" xfId="0" applyNumberFormat="1" applyFont="1" applyFill="1" applyBorder="1" applyAlignment="1" applyProtection="1">
      <alignment horizontal="right" vertical="center"/>
    </xf>
    <xf numFmtId="44" fontId="41" fillId="0" borderId="328" xfId="0" applyNumberFormat="1" applyFont="1" applyFill="1" applyBorder="1" applyAlignment="1" applyProtection="1">
      <alignment horizontal="right" vertical="center"/>
      <protection locked="0"/>
    </xf>
    <xf numFmtId="44" fontId="41" fillId="0" borderId="329" xfId="0" applyNumberFormat="1" applyFont="1" applyFill="1" applyBorder="1" applyAlignment="1" applyProtection="1">
      <alignment horizontal="right" vertical="center"/>
      <protection locked="0"/>
    </xf>
    <xf numFmtId="44" fontId="41" fillId="6" borderId="330" xfId="0" applyNumberFormat="1" applyFont="1" applyFill="1" applyBorder="1" applyAlignment="1" applyProtection="1">
      <alignment vertical="center"/>
    </xf>
    <xf numFmtId="44" fontId="41" fillId="0" borderId="331"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horizontal="right" vertical="center"/>
      <protection locked="0"/>
    </xf>
    <xf numFmtId="44" fontId="41" fillId="6" borderId="333" xfId="0" applyNumberFormat="1" applyFont="1" applyFill="1" applyBorder="1" applyAlignment="1" applyProtection="1">
      <alignment horizontal="right" vertical="center"/>
    </xf>
    <xf numFmtId="44" fontId="41" fillId="0" borderId="334" xfId="0" applyNumberFormat="1" applyFont="1" applyFill="1" applyBorder="1" applyAlignment="1" applyProtection="1">
      <alignment horizontal="right" vertical="center"/>
      <protection locked="0"/>
    </xf>
    <xf numFmtId="44" fontId="41" fillId="0" borderId="335" xfId="0" applyNumberFormat="1" applyFont="1" applyFill="1" applyBorder="1" applyAlignment="1" applyProtection="1">
      <alignment horizontal="right" vertical="center"/>
      <protection locked="0"/>
    </xf>
    <xf numFmtId="44" fontId="41" fillId="0" borderId="434"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horizontal="right" vertical="center"/>
      <protection locked="0"/>
    </xf>
    <xf numFmtId="44" fontId="41" fillId="0" borderId="337" xfId="0" applyNumberFormat="1" applyFont="1" applyFill="1" applyBorder="1" applyAlignment="1" applyProtection="1">
      <alignment horizontal="right" vertical="center"/>
      <protection locked="0"/>
    </xf>
    <xf numFmtId="44" fontId="41" fillId="0" borderId="435" xfId="0" applyNumberFormat="1" applyFont="1" applyFill="1" applyBorder="1" applyAlignment="1" applyProtection="1">
      <alignment horizontal="right" vertical="center"/>
      <protection locked="0"/>
    </xf>
    <xf numFmtId="44" fontId="41" fillId="0" borderId="339" xfId="0" applyNumberFormat="1" applyFont="1" applyFill="1" applyBorder="1" applyAlignment="1" applyProtection="1">
      <alignment horizontal="right" vertical="center"/>
      <protection locked="0"/>
    </xf>
    <xf numFmtId="44" fontId="41" fillId="0" borderId="340" xfId="0" applyNumberFormat="1" applyFont="1" applyFill="1" applyBorder="1" applyAlignment="1" applyProtection="1">
      <alignment horizontal="right" vertical="center"/>
      <protection locked="0"/>
    </xf>
    <xf numFmtId="44" fontId="41" fillId="6" borderId="205" xfId="0" applyNumberFormat="1" applyFont="1" applyFill="1" applyBorder="1" applyAlignment="1" applyProtection="1">
      <alignment horizontal="right" vertical="center"/>
    </xf>
    <xf numFmtId="44" fontId="41" fillId="6" borderId="206" xfId="0" applyNumberFormat="1" applyFont="1" applyFill="1" applyBorder="1" applyAlignment="1" applyProtection="1">
      <alignment horizontal="right" vertical="center"/>
    </xf>
    <xf numFmtId="44" fontId="41" fillId="6" borderId="207" xfId="0" applyNumberFormat="1" applyFont="1" applyFill="1" applyBorder="1" applyAlignment="1" applyProtection="1">
      <alignment horizontal="right" vertical="center"/>
    </xf>
    <xf numFmtId="44" fontId="41" fillId="0" borderId="197" xfId="0" applyNumberFormat="1" applyFont="1" applyFill="1" applyBorder="1" applyAlignment="1" applyProtection="1">
      <alignment vertical="center"/>
      <protection locked="0"/>
    </xf>
    <xf numFmtId="44" fontId="41" fillId="0" borderId="187" xfId="0" applyNumberFormat="1" applyFont="1" applyFill="1" applyBorder="1" applyAlignment="1" applyProtection="1">
      <alignment vertical="center"/>
      <protection locked="0"/>
    </xf>
    <xf numFmtId="44" fontId="41" fillId="0" borderId="188" xfId="0" applyNumberFormat="1" applyFont="1" applyFill="1" applyBorder="1" applyAlignment="1" applyProtection="1">
      <alignment vertical="center"/>
      <protection locked="0"/>
    </xf>
    <xf numFmtId="44" fontId="43" fillId="6" borderId="189" xfId="0" applyNumberFormat="1" applyFont="1" applyFill="1" applyBorder="1" applyAlignment="1" applyProtection="1">
      <alignment vertical="center"/>
    </xf>
    <xf numFmtId="44" fontId="43" fillId="6" borderId="190" xfId="0" applyNumberFormat="1" applyFont="1" applyFill="1" applyBorder="1" applyAlignment="1" applyProtection="1">
      <alignment vertical="center"/>
    </xf>
    <xf numFmtId="44" fontId="43" fillId="6" borderId="191" xfId="0" applyNumberFormat="1" applyFont="1" applyFill="1" applyBorder="1" applyAlignment="1" applyProtection="1">
      <alignment vertical="center"/>
    </xf>
    <xf numFmtId="44" fontId="64" fillId="6" borderId="341" xfId="0" applyNumberFormat="1" applyFont="1" applyFill="1" applyBorder="1" applyAlignment="1" applyProtection="1">
      <alignment vertical="center"/>
    </xf>
    <xf numFmtId="44" fontId="64" fillId="6" borderId="302" xfId="0" applyNumberFormat="1" applyFont="1" applyFill="1" applyBorder="1" applyAlignment="1" applyProtection="1">
      <alignment vertical="center"/>
    </xf>
    <xf numFmtId="44" fontId="64" fillId="6" borderId="342" xfId="0" applyNumberFormat="1" applyFont="1" applyFill="1" applyBorder="1" applyAlignment="1" applyProtection="1">
      <alignment vertical="center"/>
    </xf>
    <xf numFmtId="44" fontId="64" fillId="6" borderId="343" xfId="0" applyNumberFormat="1" applyFont="1" applyFill="1" applyBorder="1" applyAlignment="1" applyProtection="1">
      <alignment vertical="center"/>
    </xf>
    <xf numFmtId="44" fontId="64" fillId="6" borderId="344" xfId="0" applyNumberFormat="1" applyFont="1" applyFill="1" applyBorder="1" applyAlignment="1" applyProtection="1">
      <alignment vertical="center"/>
    </xf>
    <xf numFmtId="44" fontId="64" fillId="6" borderId="345" xfId="0" applyNumberFormat="1" applyFont="1" applyFill="1" applyBorder="1" applyAlignment="1" applyProtection="1">
      <alignment vertical="center"/>
    </xf>
    <xf numFmtId="44" fontId="43" fillId="6" borderId="178" xfId="0" applyNumberFormat="1" applyFont="1" applyFill="1" applyBorder="1" applyAlignment="1" applyProtection="1">
      <alignment vertical="center"/>
    </xf>
    <xf numFmtId="44" fontId="43" fillId="6" borderId="179" xfId="0" applyNumberFormat="1" applyFont="1" applyFill="1" applyBorder="1" applyAlignment="1" applyProtection="1">
      <alignment vertical="center"/>
    </xf>
    <xf numFmtId="44" fontId="43" fillId="6" borderId="180" xfId="0" applyNumberFormat="1" applyFont="1" applyFill="1" applyBorder="1" applyAlignment="1" applyProtection="1">
      <alignment vertical="center"/>
    </xf>
    <xf numFmtId="44" fontId="43" fillId="6" borderId="195" xfId="0" applyNumberFormat="1" applyFont="1" applyFill="1" applyBorder="1" applyAlignment="1" applyProtection="1">
      <alignment vertical="center"/>
    </xf>
    <xf numFmtId="44" fontId="43" fillId="6" borderId="196" xfId="0" applyNumberFormat="1" applyFont="1" applyFill="1" applyBorder="1" applyAlignment="1" applyProtection="1">
      <alignment vertical="center"/>
    </xf>
    <xf numFmtId="44" fontId="43" fillId="6" borderId="153" xfId="0" applyNumberFormat="1" applyFont="1" applyFill="1" applyBorder="1" applyAlignment="1" applyProtection="1">
      <alignment vertical="center"/>
    </xf>
    <xf numFmtId="44" fontId="41" fillId="0" borderId="348" xfId="0" applyNumberFormat="1" applyFont="1" applyFill="1" applyBorder="1" applyAlignment="1" applyProtection="1">
      <alignment horizontal="right" vertical="center"/>
      <protection locked="0"/>
    </xf>
    <xf numFmtId="44" fontId="41" fillId="0" borderId="349" xfId="0" applyNumberFormat="1" applyFont="1" applyFill="1" applyBorder="1" applyAlignment="1" applyProtection="1">
      <alignment horizontal="right" vertical="center"/>
      <protection locked="0"/>
    </xf>
    <xf numFmtId="44" fontId="41" fillId="0" borderId="353" xfId="0" applyNumberFormat="1" applyFont="1" applyFill="1" applyBorder="1" applyAlignment="1" applyProtection="1">
      <alignment horizontal="right" vertical="center"/>
      <protection locked="0"/>
    </xf>
    <xf numFmtId="44" fontId="41" fillId="0" borderId="354"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vertical="center"/>
      <protection locked="0"/>
    </xf>
    <xf numFmtId="44" fontId="41" fillId="0" borderId="360" xfId="0" applyNumberFormat="1" applyFont="1" applyFill="1" applyBorder="1" applyAlignment="1" applyProtection="1">
      <alignment horizontal="right" vertical="center"/>
      <protection locked="0"/>
    </xf>
    <xf numFmtId="44" fontId="41" fillId="0" borderId="361" xfId="0" applyNumberFormat="1" applyFont="1" applyFill="1" applyBorder="1" applyAlignment="1" applyProtection="1">
      <alignment horizontal="right" vertical="center"/>
      <protection locked="0"/>
    </xf>
    <xf numFmtId="44" fontId="41" fillId="0" borderId="362" xfId="0" applyNumberFormat="1" applyFont="1" applyFill="1" applyBorder="1" applyAlignment="1" applyProtection="1">
      <alignment vertical="center"/>
      <protection locked="0"/>
    </xf>
    <xf numFmtId="44" fontId="41" fillId="6" borderId="363" xfId="0" applyNumberFormat="1" applyFont="1" applyFill="1" applyBorder="1" applyAlignment="1" applyProtection="1">
      <alignment horizontal="right" vertical="center"/>
    </xf>
    <xf numFmtId="44" fontId="41" fillId="6" borderId="364" xfId="0" applyNumberFormat="1" applyFont="1" applyFill="1" applyBorder="1" applyAlignment="1" applyProtection="1">
      <alignment horizontal="right" vertical="center"/>
    </xf>
    <xf numFmtId="44" fontId="41" fillId="6" borderId="365" xfId="0" applyNumberFormat="1" applyFont="1" applyFill="1" applyBorder="1" applyAlignment="1" applyProtection="1">
      <alignment horizontal="right" vertical="center"/>
    </xf>
    <xf numFmtId="44" fontId="41" fillId="6" borderId="366" xfId="0" applyNumberFormat="1" applyFont="1" applyFill="1" applyBorder="1" applyAlignment="1" applyProtection="1">
      <alignment horizontal="right" vertical="center"/>
    </xf>
    <xf numFmtId="44" fontId="41" fillId="6" borderId="367" xfId="0" applyNumberFormat="1" applyFont="1" applyFill="1" applyBorder="1" applyAlignment="1" applyProtection="1">
      <alignment horizontal="right" vertical="center"/>
    </xf>
    <xf numFmtId="44" fontId="41" fillId="6" borderId="362" xfId="0" applyNumberFormat="1" applyFont="1" applyFill="1" applyBorder="1" applyAlignment="1" applyProtection="1">
      <alignment horizontal="right" vertical="center"/>
    </xf>
    <xf numFmtId="44" fontId="41" fillId="0" borderId="280" xfId="0" applyNumberFormat="1" applyFont="1" applyFill="1" applyBorder="1" applyAlignment="1" applyProtection="1">
      <alignment vertical="center"/>
      <protection locked="0"/>
    </xf>
    <xf numFmtId="44" fontId="41" fillId="0" borderId="283" xfId="0" applyNumberFormat="1" applyFont="1" applyFill="1" applyBorder="1" applyAlignment="1" applyProtection="1">
      <alignment vertical="center"/>
      <protection locked="0"/>
    </xf>
    <xf numFmtId="44" fontId="41" fillId="0" borderId="368" xfId="0" applyNumberFormat="1" applyFont="1" applyFill="1" applyBorder="1" applyAlignment="1" applyProtection="1">
      <alignment horizontal="right" vertical="center"/>
      <protection locked="0"/>
    </xf>
    <xf numFmtId="44" fontId="41" fillId="0" borderId="369" xfId="0" applyNumberFormat="1" applyFont="1" applyFill="1" applyBorder="1" applyAlignment="1" applyProtection="1">
      <alignment horizontal="right" vertical="center"/>
      <protection locked="0"/>
    </xf>
    <xf numFmtId="44" fontId="41" fillId="0" borderId="345" xfId="0" applyNumberFormat="1" applyFont="1" applyFill="1" applyBorder="1" applyAlignment="1" applyProtection="1">
      <alignment vertical="center"/>
      <protection locked="0"/>
    </xf>
    <xf numFmtId="44" fontId="41" fillId="6" borderId="181" xfId="0" applyNumberFormat="1" applyFont="1" applyFill="1" applyBorder="1" applyAlignment="1" applyProtection="1">
      <alignment horizontal="right" vertical="center"/>
    </xf>
    <xf numFmtId="44" fontId="41" fillId="6" borderId="182" xfId="0" applyNumberFormat="1" applyFont="1" applyFill="1" applyBorder="1" applyAlignment="1" applyProtection="1">
      <alignment horizontal="right" vertical="center"/>
    </xf>
    <xf numFmtId="44" fontId="41" fillId="6" borderId="204" xfId="0" applyNumberFormat="1" applyFont="1" applyFill="1" applyBorder="1" applyAlignment="1" applyProtection="1">
      <alignment horizontal="right" vertical="center"/>
    </xf>
    <xf numFmtId="44" fontId="41" fillId="6" borderId="371" xfId="0" applyNumberFormat="1" applyFont="1" applyFill="1" applyBorder="1" applyProtection="1"/>
    <xf numFmtId="44" fontId="41" fillId="6" borderId="301" xfId="0" applyNumberFormat="1" applyFont="1" applyFill="1" applyBorder="1" applyProtection="1"/>
    <xf numFmtId="44" fontId="41" fillId="6" borderId="372" xfId="0" applyNumberFormat="1" applyFont="1" applyFill="1" applyBorder="1" applyProtection="1"/>
    <xf numFmtId="43" fontId="41" fillId="6" borderId="330" xfId="0" applyNumberFormat="1" applyFont="1" applyFill="1" applyBorder="1" applyAlignment="1" applyProtection="1">
      <alignment horizontal="right" vertical="center"/>
    </xf>
    <xf numFmtId="43" fontId="41" fillId="6" borderId="331" xfId="0" applyNumberFormat="1" applyFont="1" applyFill="1" applyBorder="1" applyAlignment="1" applyProtection="1">
      <alignment horizontal="right" vertical="center"/>
    </xf>
    <xf numFmtId="43" fontId="41" fillId="6" borderId="332" xfId="0" applyNumberFormat="1" applyFont="1" applyFill="1" applyBorder="1" applyAlignment="1" applyProtection="1">
      <alignment horizontal="right" vertical="center"/>
    </xf>
    <xf numFmtId="43" fontId="41" fillId="6" borderId="370" xfId="0" applyNumberFormat="1" applyFont="1" applyFill="1" applyBorder="1" applyAlignment="1" applyProtection="1">
      <alignment horizontal="right" vertical="center"/>
    </xf>
    <xf numFmtId="43" fontId="41" fillId="6" borderId="287" xfId="0" applyNumberFormat="1" applyFont="1" applyFill="1" applyBorder="1" applyAlignment="1" applyProtection="1">
      <alignment horizontal="right" vertical="center"/>
    </xf>
    <xf numFmtId="43" fontId="41" fillId="6" borderId="280" xfId="0" applyNumberFormat="1" applyFont="1" applyFill="1" applyBorder="1" applyAlignment="1" applyProtection="1">
      <alignment horizontal="right" vertical="center"/>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76" xfId="0" applyNumberFormat="1" applyFont="1" applyFill="1" applyBorder="1" applyAlignment="1" applyProtection="1">
      <alignment vertical="center"/>
      <protection locked="0"/>
    </xf>
    <xf numFmtId="44" fontId="41" fillId="0" borderId="377" xfId="0" applyNumberFormat="1" applyFont="1" applyFill="1" applyBorder="1" applyAlignment="1" applyProtection="1">
      <alignment vertical="center"/>
      <protection locked="0"/>
    </xf>
    <xf numFmtId="44" fontId="41" fillId="0" borderId="378" xfId="0" applyNumberFormat="1" applyFont="1" applyFill="1" applyBorder="1" applyAlignment="1" applyProtection="1">
      <alignment vertical="center"/>
      <protection locked="0"/>
    </xf>
    <xf numFmtId="44" fontId="41" fillId="0" borderId="380" xfId="0" applyNumberFormat="1" applyFont="1" applyFill="1" applyBorder="1" applyAlignment="1" applyProtection="1">
      <alignment vertical="center"/>
      <protection locked="0"/>
    </xf>
    <xf numFmtId="44" fontId="41" fillId="0" borderId="381" xfId="0" applyNumberFormat="1" applyFont="1" applyFill="1" applyBorder="1" applyAlignment="1" applyProtection="1">
      <alignment vertical="center"/>
      <protection locked="0"/>
    </xf>
    <xf numFmtId="44" fontId="41" fillId="0" borderId="382" xfId="0" applyNumberFormat="1" applyFont="1" applyFill="1" applyBorder="1" applyAlignment="1" applyProtection="1">
      <alignment vertical="center"/>
      <protection locked="0"/>
    </xf>
    <xf numFmtId="44" fontId="41" fillId="0" borderId="327" xfId="0" applyNumberFormat="1" applyFont="1" applyFill="1" applyBorder="1" applyAlignment="1" applyProtection="1">
      <alignment horizontal="right" vertical="center"/>
      <protection locked="0"/>
    </xf>
    <xf numFmtId="44" fontId="41" fillId="0" borderId="383" xfId="0" applyNumberFormat="1" applyFont="1" applyFill="1" applyBorder="1" applyAlignment="1" applyProtection="1">
      <alignment vertical="center"/>
      <protection locked="0"/>
    </xf>
    <xf numFmtId="44" fontId="41" fillId="0" borderId="384" xfId="0" applyNumberFormat="1" applyFont="1" applyFill="1" applyBorder="1" applyAlignment="1" applyProtection="1">
      <alignment vertical="center"/>
      <protection locked="0"/>
    </xf>
    <xf numFmtId="44" fontId="41" fillId="0" borderId="338" xfId="0" applyNumberFormat="1" applyFont="1" applyFill="1" applyBorder="1" applyAlignment="1" applyProtection="1">
      <alignment horizontal="right" vertical="center"/>
      <protection locked="0"/>
    </xf>
    <xf numFmtId="44" fontId="41" fillId="6" borderId="189" xfId="0" applyNumberFormat="1" applyFont="1" applyFill="1" applyBorder="1" applyAlignment="1" applyProtection="1">
      <alignment horizontal="right" vertical="center"/>
    </xf>
    <xf numFmtId="44" fontId="41" fillId="0" borderId="211" xfId="0" applyNumberFormat="1" applyFont="1" applyFill="1" applyBorder="1" applyAlignment="1" applyProtection="1">
      <alignment vertical="center"/>
      <protection locked="0"/>
    </xf>
    <xf numFmtId="44" fontId="41" fillId="0" borderId="191" xfId="0" applyNumberFormat="1" applyFont="1" applyFill="1" applyBorder="1" applyAlignment="1" applyProtection="1">
      <alignment horizontal="right" vertical="center"/>
      <protection locked="0"/>
    </xf>
    <xf numFmtId="44" fontId="41" fillId="0" borderId="197" xfId="0" applyNumberFormat="1" applyFont="1" applyFill="1" applyBorder="1" applyAlignment="1" applyProtection="1">
      <alignment horizontal="right" vertical="center"/>
      <protection locked="0"/>
    </xf>
    <xf numFmtId="44" fontId="41" fillId="0" borderId="187" xfId="0" applyNumberFormat="1" applyFont="1" applyFill="1" applyBorder="1" applyAlignment="1" applyProtection="1">
      <alignment horizontal="right" vertical="center"/>
      <protection locked="0"/>
    </xf>
    <xf numFmtId="44" fontId="41" fillId="0" borderId="188" xfId="0" applyNumberFormat="1" applyFont="1" applyFill="1" applyBorder="1" applyAlignment="1" applyProtection="1">
      <alignment horizontal="right" vertical="center"/>
      <protection locked="0"/>
    </xf>
    <xf numFmtId="44" fontId="41" fillId="6" borderId="192" xfId="0" applyNumberFormat="1" applyFont="1" applyFill="1" applyBorder="1" applyAlignment="1" applyProtection="1">
      <alignment horizontal="right" vertical="center"/>
    </xf>
    <xf numFmtId="44" fontId="41" fillId="6" borderId="193" xfId="0" applyNumberFormat="1" applyFont="1" applyFill="1" applyBorder="1" applyAlignment="1" applyProtection="1">
      <alignment horizontal="right" vertical="center"/>
    </xf>
    <xf numFmtId="44" fontId="41" fillId="6" borderId="194" xfId="0" applyNumberFormat="1" applyFont="1" applyFill="1" applyBorder="1" applyAlignment="1" applyProtection="1">
      <alignment horizontal="right" vertical="center"/>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10" fontId="54" fillId="0" borderId="428" xfId="0" applyNumberFormat="1" applyFont="1" applyFill="1" applyBorder="1" applyProtection="1">
      <protection locked="0"/>
    </xf>
    <xf numFmtId="42" fontId="16" fillId="0" borderId="420" xfId="0" applyNumberFormat="1" applyFont="1" applyFill="1" applyBorder="1" applyAlignment="1" applyProtection="1">
      <protection locked="0"/>
    </xf>
    <xf numFmtId="42" fontId="16" fillId="0" borderId="399" xfId="0" applyNumberFormat="1" applyFont="1" applyFill="1" applyBorder="1" applyAlignment="1" applyProtection="1">
      <protection locked="0"/>
    </xf>
    <xf numFmtId="42" fontId="16" fillId="0" borderId="449" xfId="0" applyNumberFormat="1" applyFont="1" applyFill="1" applyBorder="1" applyAlignment="1" applyProtection="1">
      <protection locked="0"/>
    </xf>
    <xf numFmtId="42" fontId="16" fillId="0" borderId="447"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6"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3"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8"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6" fillId="0" borderId="350"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6" xfId="0" applyNumberFormat="1" applyFont="1" applyFill="1" applyBorder="1" applyAlignment="1" applyProtection="1">
      <alignment horizontal="right"/>
      <protection locked="0"/>
    </xf>
    <xf numFmtId="42" fontId="16" fillId="0" borderId="387"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6" fillId="0" borderId="339" xfId="0" applyNumberFormat="1" applyFont="1" applyFill="1" applyBorder="1" applyAlignment="1" applyProtection="1">
      <alignment horizontal="right"/>
      <protection locked="0"/>
    </xf>
    <xf numFmtId="42" fontId="16" fillId="0" borderId="394"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7" xfId="0" applyFont="1" applyBorder="1" applyAlignment="1" applyProtection="1">
      <alignment vertical="center"/>
      <protection locked="0"/>
    </xf>
    <xf numFmtId="0" fontId="3" fillId="0" borderId="452"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7" xfId="0" applyFont="1" applyFill="1" applyBorder="1" applyAlignment="1" applyProtection="1">
      <alignment horizontal="center"/>
    </xf>
    <xf numFmtId="0" fontId="0" fillId="0" borderId="481" xfId="0" applyFont="1" applyFill="1" applyBorder="1" applyProtection="1"/>
    <xf numFmtId="0" fontId="16" fillId="0" borderId="482" xfId="0" applyFont="1" applyFill="1" applyBorder="1" applyAlignment="1" applyProtection="1">
      <alignment horizontal="center" vertical="top" wrapText="1"/>
      <protection locked="0"/>
    </xf>
    <xf numFmtId="0" fontId="0" fillId="0" borderId="483" xfId="0" applyFont="1" applyFill="1" applyBorder="1" applyAlignment="1" applyProtection="1">
      <alignment horizontal="center"/>
    </xf>
    <xf numFmtId="0" fontId="0" fillId="0" borderId="487" xfId="0" applyFont="1" applyFill="1" applyBorder="1" applyProtection="1"/>
    <xf numFmtId="0" fontId="1" fillId="0" borderId="488" xfId="0" applyFont="1" applyFill="1" applyBorder="1" applyAlignment="1" applyProtection="1">
      <alignment horizontal="center"/>
    </xf>
    <xf numFmtId="0" fontId="0" fillId="0" borderId="489" xfId="0" applyFont="1" applyFill="1" applyBorder="1" applyProtection="1"/>
    <xf numFmtId="0" fontId="0" fillId="0" borderId="488"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6" xfId="0" applyFont="1" applyFill="1" applyBorder="1" applyAlignment="1" applyProtection="1">
      <alignment horizontal="center"/>
    </xf>
    <xf numFmtId="0" fontId="0" fillId="0" borderId="497" xfId="0" applyFont="1" applyFill="1" applyBorder="1" applyProtection="1"/>
    <xf numFmtId="0" fontId="49" fillId="0" borderId="34" xfId="0" applyFont="1" applyFill="1" applyBorder="1" applyProtection="1"/>
    <xf numFmtId="0" fontId="0" fillId="0" borderId="496"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6"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3" xfId="0" applyFont="1" applyFill="1" applyBorder="1" applyProtection="1"/>
    <xf numFmtId="0" fontId="1" fillId="0" borderId="496" xfId="0" applyNumberFormat="1" applyFont="1" applyFill="1" applyBorder="1" applyAlignment="1" applyProtection="1">
      <alignment horizontal="center"/>
    </xf>
    <xf numFmtId="0" fontId="0" fillId="0" borderId="504"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5" xfId="0" applyFont="1" applyFill="1" applyBorder="1" applyAlignment="1" applyProtection="1">
      <alignment horizontal="center"/>
    </xf>
    <xf numFmtId="0" fontId="0" fillId="0" borderId="479" xfId="0" applyFont="1" applyFill="1" applyBorder="1" applyProtection="1"/>
    <xf numFmtId="0" fontId="0" fillId="0" borderId="507" xfId="0" applyFont="1" applyFill="1" applyBorder="1" applyAlignment="1" applyProtection="1">
      <alignment horizontal="center"/>
    </xf>
    <xf numFmtId="16" fontId="0" fillId="0" borderId="508" xfId="0" applyNumberFormat="1" applyFont="1" applyFill="1" applyBorder="1" applyProtection="1"/>
    <xf numFmtId="0" fontId="0" fillId="0" borderId="485" xfId="0" applyFont="1" applyFill="1" applyBorder="1" applyProtection="1"/>
    <xf numFmtId="0" fontId="1" fillId="0" borderId="509" xfId="0" applyNumberFormat="1" applyFont="1" applyFill="1" applyBorder="1" applyAlignment="1" applyProtection="1">
      <alignment horizontal="center"/>
    </xf>
    <xf numFmtId="0" fontId="0" fillId="0" borderId="512" xfId="0" applyFont="1" applyFill="1" applyBorder="1" applyProtection="1"/>
    <xf numFmtId="0" fontId="1" fillId="0" borderId="514" xfId="0" applyFont="1" applyFill="1" applyBorder="1" applyAlignment="1" applyProtection="1">
      <alignment horizontal="center"/>
    </xf>
    <xf numFmtId="16" fontId="0" fillId="0" borderId="491" xfId="0" applyNumberFormat="1" applyFont="1" applyFill="1" applyBorder="1" applyProtection="1"/>
    <xf numFmtId="16" fontId="1" fillId="0" borderId="491" xfId="0" applyNumberFormat="1" applyFont="1" applyFill="1" applyBorder="1" applyProtection="1"/>
    <xf numFmtId="0" fontId="0" fillId="0" borderId="515"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6" xfId="0" applyFont="1" applyFill="1" applyBorder="1" applyAlignment="1" applyProtection="1">
      <alignment horizontal="center"/>
    </xf>
    <xf numFmtId="0" fontId="1" fillId="0" borderId="516"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7" xfId="0" applyFont="1" applyFill="1" applyBorder="1" applyAlignment="1" applyProtection="1">
      <alignment horizontal="center"/>
    </xf>
    <xf numFmtId="0" fontId="0" fillId="0" borderId="520" xfId="0" applyFont="1" applyFill="1" applyBorder="1" applyAlignment="1" applyProtection="1">
      <alignment horizontal="center"/>
    </xf>
    <xf numFmtId="0" fontId="0" fillId="0" borderId="510" xfId="0" applyFont="1" applyFill="1" applyBorder="1" applyProtection="1"/>
    <xf numFmtId="0" fontId="1" fillId="0" borderId="520" xfId="0" applyNumberFormat="1" applyFont="1" applyFill="1" applyBorder="1" applyAlignment="1" applyProtection="1">
      <alignment horizontal="center"/>
    </xf>
    <xf numFmtId="0" fontId="0" fillId="0" borderId="520" xfId="0" quotePrefix="1" applyNumberFormat="1" applyFont="1" applyFill="1" applyBorder="1" applyAlignment="1" applyProtection="1">
      <alignment horizontal="center"/>
    </xf>
    <xf numFmtId="0" fontId="1" fillId="0" borderId="520" xfId="0" applyFont="1" applyFill="1" applyBorder="1" applyAlignment="1" applyProtection="1">
      <alignment horizontal="center"/>
    </xf>
    <xf numFmtId="0" fontId="1" fillId="0" borderId="522" xfId="0" applyFont="1" applyFill="1" applyBorder="1" applyAlignment="1" applyProtection="1">
      <alignment horizontal="center"/>
    </xf>
    <xf numFmtId="0" fontId="1" fillId="0" borderId="517" xfId="0" applyNumberFormat="1" applyFont="1" applyFill="1" applyBorder="1" applyAlignment="1" applyProtection="1">
      <alignment horizontal="center"/>
    </xf>
    <xf numFmtId="0" fontId="0" fillId="0" borderId="525" xfId="0" applyFont="1" applyFill="1" applyBorder="1" applyProtection="1"/>
    <xf numFmtId="0" fontId="0" fillId="0" borderId="526"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0"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0" xfId="0" quotePrefix="1" applyNumberFormat="1" applyFont="1" applyFill="1" applyBorder="1" applyAlignment="1" applyProtection="1">
      <alignment horizontal="center"/>
    </xf>
    <xf numFmtId="0" fontId="1" fillId="0" borderId="35" xfId="0" applyFont="1" applyFill="1" applyBorder="1" applyProtection="1"/>
    <xf numFmtId="0" fontId="0" fillId="0" borderId="527" xfId="0" applyFont="1" applyFill="1" applyBorder="1" applyAlignment="1" applyProtection="1">
      <alignment horizontal="center"/>
    </xf>
    <xf numFmtId="16" fontId="0" fillId="0" borderId="528" xfId="0" applyNumberFormat="1" applyFont="1" applyFill="1" applyBorder="1" applyProtection="1"/>
    <xf numFmtId="16" fontId="1" fillId="0" borderId="529" xfId="0" applyNumberFormat="1" applyFont="1" applyFill="1" applyBorder="1" applyProtection="1"/>
    <xf numFmtId="16" fontId="1" fillId="0" borderId="530" xfId="0" applyNumberFormat="1" applyFont="1" applyFill="1" applyBorder="1" applyProtection="1"/>
    <xf numFmtId="0" fontId="1" fillId="0" borderId="522" xfId="0" applyNumberFormat="1" applyFont="1" applyFill="1" applyBorder="1" applyAlignment="1" applyProtection="1">
      <alignment horizontal="center"/>
    </xf>
    <xf numFmtId="0" fontId="1" fillId="0" borderId="531" xfId="0" applyFont="1" applyFill="1" applyBorder="1" applyAlignment="1" applyProtection="1">
      <alignment horizontal="right"/>
    </xf>
    <xf numFmtId="0" fontId="1" fillId="6" borderId="532" xfId="0" applyFont="1" applyFill="1" applyBorder="1" applyProtection="1"/>
    <xf numFmtId="0" fontId="1" fillId="0" borderId="533" xfId="0" applyFont="1" applyFill="1" applyBorder="1" applyAlignment="1" applyProtection="1">
      <alignment horizontal="right"/>
    </xf>
    <xf numFmtId="0" fontId="1" fillId="6" borderId="534" xfId="0" applyFont="1" applyFill="1" applyBorder="1" applyProtection="1"/>
    <xf numFmtId="0" fontId="1" fillId="0" borderId="535" xfId="0" applyFont="1" applyFill="1" applyBorder="1" applyAlignment="1" applyProtection="1">
      <alignment horizontal="right"/>
    </xf>
    <xf numFmtId="0" fontId="1" fillId="6" borderId="536"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7" xfId="0" applyFont="1" applyFill="1" applyBorder="1" applyAlignment="1" applyProtection="1">
      <alignment horizontal="center"/>
    </xf>
    <xf numFmtId="0" fontId="0" fillId="8" borderId="537"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4" xfId="0" applyFont="1" applyFill="1" applyBorder="1" applyAlignment="1" applyProtection="1">
      <alignment horizontal="center"/>
    </xf>
    <xf numFmtId="0" fontId="0" fillId="8" borderId="538" xfId="0" applyFill="1" applyBorder="1" applyProtection="1"/>
    <xf numFmtId="0" fontId="1" fillId="8" borderId="25" xfId="0" applyFont="1" applyFill="1" applyBorder="1" applyAlignment="1" applyProtection="1">
      <alignment horizontal="center"/>
    </xf>
    <xf numFmtId="0" fontId="1" fillId="8" borderId="496" xfId="0" applyFont="1" applyFill="1" applyBorder="1" applyAlignment="1" applyProtection="1">
      <alignment horizontal="center"/>
    </xf>
    <xf numFmtId="0" fontId="0" fillId="8" borderId="539"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6" xfId="0" applyFont="1" applyFill="1" applyBorder="1" applyAlignment="1" applyProtection="1">
      <alignment horizontal="center"/>
    </xf>
    <xf numFmtId="0" fontId="1" fillId="8" borderId="496" xfId="0" quotePrefix="1" applyFont="1" applyFill="1" applyBorder="1" applyAlignment="1" applyProtection="1">
      <alignment horizontal="center"/>
    </xf>
    <xf numFmtId="0" fontId="16" fillId="8" borderId="539"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0" xfId="0" applyFont="1" applyFill="1" applyBorder="1" applyAlignment="1" applyProtection="1">
      <alignment horizontal="center"/>
    </xf>
    <xf numFmtId="0" fontId="0" fillId="8" borderId="481" xfId="0" applyFill="1" applyBorder="1" applyProtection="1"/>
    <xf numFmtId="0" fontId="1" fillId="8" borderId="509" xfId="0" applyFont="1" applyFill="1" applyBorder="1" applyAlignment="1" applyProtection="1">
      <alignment horizontal="center"/>
    </xf>
    <xf numFmtId="0" fontId="0" fillId="8" borderId="541" xfId="0" applyFill="1" applyBorder="1" applyProtection="1"/>
    <xf numFmtId="0" fontId="0" fillId="0" borderId="0" xfId="0" applyNumberFormat="1" applyBorder="1" applyAlignment="1">
      <alignment horizontal="center"/>
    </xf>
    <xf numFmtId="0" fontId="0" fillId="8" borderId="542" xfId="0" applyFill="1" applyBorder="1" applyProtection="1"/>
    <xf numFmtId="0" fontId="1" fillId="8" borderId="517" xfId="0" applyFont="1" applyFill="1" applyBorder="1" applyAlignment="1" applyProtection="1">
      <alignment horizontal="center"/>
    </xf>
    <xf numFmtId="0" fontId="0" fillId="8" borderId="543" xfId="0" applyFill="1" applyBorder="1" applyProtection="1"/>
    <xf numFmtId="0" fontId="0" fillId="8" borderId="520" xfId="0" applyFont="1" applyFill="1" applyBorder="1" applyAlignment="1" applyProtection="1">
      <alignment horizontal="center"/>
    </xf>
    <xf numFmtId="0" fontId="0" fillId="8" borderId="544" xfId="0" applyFill="1" applyBorder="1" applyProtection="1"/>
    <xf numFmtId="0" fontId="1" fillId="8" borderId="520" xfId="0" applyFont="1" applyFill="1" applyBorder="1" applyAlignment="1" applyProtection="1">
      <alignment horizontal="center"/>
    </xf>
    <xf numFmtId="0" fontId="16" fillId="8" borderId="544" xfId="0" applyFont="1" applyFill="1" applyBorder="1" applyProtection="1"/>
    <xf numFmtId="16" fontId="0" fillId="30" borderId="234" xfId="0" quotePrefix="1" applyNumberFormat="1" applyFill="1" applyBorder="1" applyAlignment="1">
      <alignment horizontal="center" vertical="center" wrapText="1"/>
    </xf>
    <xf numFmtId="0" fontId="1" fillId="8" borderId="522" xfId="0" applyFont="1" applyFill="1" applyBorder="1" applyAlignment="1" applyProtection="1">
      <alignment horizontal="center"/>
    </xf>
    <xf numFmtId="0" fontId="0" fillId="8" borderId="545" xfId="0" applyFill="1" applyBorder="1" applyProtection="1"/>
    <xf numFmtId="0" fontId="0" fillId="0" borderId="234" xfId="0" quotePrefix="1" applyBorder="1" applyAlignment="1">
      <alignment horizontal="center"/>
    </xf>
    <xf numFmtId="0" fontId="1" fillId="8" borderId="520" xfId="0" applyFont="1" applyFill="1" applyBorder="1" applyAlignment="1" applyProtection="1">
      <alignment horizontal="center" vertical="top"/>
    </xf>
    <xf numFmtId="0" fontId="1" fillId="8" borderId="546" xfId="0" applyFont="1" applyFill="1" applyBorder="1" applyAlignment="1" applyProtection="1">
      <alignment horizontal="center"/>
    </xf>
    <xf numFmtId="0" fontId="0" fillId="8" borderId="547"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3" xfId="0" applyFont="1" applyFill="1" applyBorder="1" applyAlignment="1" applyProtection="1">
      <alignment horizontal="center"/>
    </xf>
    <xf numFmtId="0" fontId="0" fillId="8" borderId="548" xfId="0" applyFill="1" applyBorder="1" applyProtection="1"/>
    <xf numFmtId="0" fontId="3" fillId="8" borderId="549" xfId="0" applyFont="1" applyFill="1" applyBorder="1" applyAlignment="1" applyProtection="1">
      <alignment wrapText="1"/>
    </xf>
    <xf numFmtId="0" fontId="0" fillId="0" borderId="4" xfId="0" applyBorder="1" applyAlignment="1">
      <alignment horizontal="center"/>
    </xf>
    <xf numFmtId="0" fontId="3" fillId="8" borderId="550" xfId="0" applyFont="1" applyFill="1" applyBorder="1" applyAlignment="1" applyProtection="1">
      <alignment wrapText="1"/>
    </xf>
    <xf numFmtId="0" fontId="0" fillId="0" borderId="177" xfId="0" applyNumberFormat="1" applyBorder="1" applyAlignment="1">
      <alignment horizontal="center"/>
    </xf>
    <xf numFmtId="0" fontId="0" fillId="0" borderId="551" xfId="0" applyFill="1" applyBorder="1" applyProtection="1"/>
    <xf numFmtId="0" fontId="0" fillId="0" borderId="552" xfId="0" applyFill="1" applyBorder="1" applyProtection="1"/>
    <xf numFmtId="0" fontId="0" fillId="0" borderId="553"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4" xfId="0" applyFill="1" applyBorder="1" applyProtection="1"/>
    <xf numFmtId="0" fontId="3" fillId="8" borderId="555"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6" xfId="0" applyFill="1" applyBorder="1" applyProtection="1"/>
    <xf numFmtId="0" fontId="0" fillId="30" borderId="553" xfId="0" applyFill="1" applyBorder="1" applyAlignment="1">
      <alignment horizontal="center" vertical="center" wrapText="1"/>
    </xf>
    <xf numFmtId="0" fontId="0" fillId="0" borderId="551" xfId="0" applyBorder="1"/>
    <xf numFmtId="0" fontId="0" fillId="30" borderId="4" xfId="0" applyFill="1" applyBorder="1" applyAlignment="1">
      <alignment horizontal="center" vertical="center" wrapText="1"/>
    </xf>
    <xf numFmtId="0" fontId="3" fillId="8" borderId="557"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1" xfId="0" applyBorder="1" applyProtection="1"/>
    <xf numFmtId="0" fontId="0" fillId="0" borderId="552"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6"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0" xfId="0" applyNumberFormat="1" applyFont="1" applyFill="1" applyBorder="1" applyProtection="1"/>
    <xf numFmtId="9" fontId="16" fillId="0" borderId="339"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8" xfId="0" applyFont="1" applyBorder="1"/>
    <xf numFmtId="0" fontId="24" fillId="0" borderId="163" xfId="0" applyFont="1" applyBorder="1"/>
    <xf numFmtId="0" fontId="24" fillId="0" borderId="444" xfId="0" applyFont="1" applyBorder="1"/>
    <xf numFmtId="0" fontId="24" fillId="0" borderId="445"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4" xfId="0" applyFont="1" applyBorder="1"/>
    <xf numFmtId="0" fontId="40" fillId="0" borderId="445"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2" xfId="0" applyFont="1" applyFill="1" applyBorder="1" applyProtection="1"/>
    <xf numFmtId="0" fontId="0" fillId="0" borderId="561"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3"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4" xfId="0" applyFont="1" applyFill="1" applyBorder="1" applyAlignment="1" applyProtection="1"/>
    <xf numFmtId="42" fontId="5" fillId="24" borderId="564"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0" fillId="5" borderId="0" xfId="0" applyFill="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2" xfId="0" applyFont="1" applyFill="1" applyBorder="1" applyAlignment="1" applyProtection="1"/>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5" xfId="0" applyFont="1" applyFill="1" applyBorder="1" applyAlignment="1" applyProtection="1">
      <alignment vertical="center"/>
    </xf>
    <xf numFmtId="0" fontId="16" fillId="8" borderId="359"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5" xfId="0" applyFont="1" applyFill="1" applyBorder="1" applyAlignment="1" applyProtection="1"/>
    <xf numFmtId="0" fontId="16" fillId="8" borderId="359"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1" fillId="6" borderId="262" xfId="0" applyNumberFormat="1" applyFont="1" applyFill="1" applyBorder="1" applyAlignment="1" applyProtection="1">
      <alignment horizontal="right"/>
    </xf>
    <xf numFmtId="44" fontId="41" fillId="6" borderId="259" xfId="0" applyNumberFormat="1" applyFont="1" applyFill="1" applyBorder="1" applyAlignment="1" applyProtection="1">
      <alignment horizontal="right"/>
    </xf>
    <xf numFmtId="44" fontId="41" fillId="6" borderId="259" xfId="0" applyNumberFormat="1" applyFont="1" applyFill="1" applyBorder="1" applyProtection="1"/>
    <xf numFmtId="44" fontId="41" fillId="6" borderId="379" xfId="0" applyNumberFormat="1" applyFont="1" applyFill="1" applyBorder="1" applyProtection="1"/>
    <xf numFmtId="44" fontId="41" fillId="6" borderId="262" xfId="0" applyNumberFormat="1" applyFont="1" applyFill="1" applyBorder="1" applyProtection="1"/>
    <xf numFmtId="0" fontId="42" fillId="0" borderId="60" xfId="0" applyNumberFormat="1" applyFont="1" applyBorder="1" applyProtection="1"/>
    <xf numFmtId="0" fontId="0" fillId="0" borderId="36" xfId="0" applyBorder="1" applyProtection="1"/>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20" xfId="0" applyNumberFormat="1" applyFont="1" applyFill="1" applyBorder="1" applyAlignment="1" applyProtection="1"/>
    <xf numFmtId="42" fontId="16" fillId="6" borderId="399" xfId="0" applyNumberFormat="1" applyFont="1" applyFill="1" applyBorder="1" applyAlignment="1" applyProtection="1"/>
    <xf numFmtId="42" fontId="16" fillId="6" borderId="449" xfId="0" applyNumberFormat="1" applyFont="1" applyFill="1" applyBorder="1" applyAlignment="1" applyProtection="1"/>
    <xf numFmtId="42" fontId="16" fillId="6" borderId="447"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6" xfId="0" applyNumberFormat="1" applyFont="1" applyFill="1" applyBorder="1" applyAlignment="1" applyProtection="1">
      <alignment horizontal="right" wrapText="1"/>
    </xf>
    <xf numFmtId="42" fontId="16" fillId="6" borderId="35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3" xfId="0" applyNumberFormat="1" applyFont="1" applyFill="1" applyBorder="1" applyAlignment="1" applyProtection="1">
      <alignment horizontal="right" wrapText="1"/>
    </xf>
    <xf numFmtId="42" fontId="16" fillId="6" borderId="339" xfId="0" applyNumberFormat="1" applyFont="1" applyFill="1" applyBorder="1" applyAlignment="1" applyProtection="1">
      <alignment horizontal="right" wrapText="1"/>
    </xf>
    <xf numFmtId="42" fontId="16" fillId="6" borderId="387" xfId="0" applyNumberFormat="1" applyFont="1" applyFill="1" applyBorder="1" applyAlignment="1" applyProtection="1">
      <alignment horizontal="right" wrapText="1"/>
    </xf>
    <xf numFmtId="0" fontId="16" fillId="28" borderId="558"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8"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5" xfId="0" applyNumberFormat="1" applyFont="1" applyFill="1" applyBorder="1" applyAlignment="1" applyProtection="1">
      <alignment horizontal="right" vertical="center"/>
    </xf>
    <xf numFmtId="5" fontId="41"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6"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81"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5" xfId="0" applyFont="1" applyFill="1" applyBorder="1" applyAlignment="1" applyProtection="1">
      <alignment wrapText="1"/>
    </xf>
    <xf numFmtId="0" fontId="20" fillId="8" borderId="356" xfId="0" applyFont="1" applyFill="1" applyBorder="1" applyAlignment="1" applyProtection="1">
      <alignment horizontal="left" wrapText="1"/>
    </xf>
    <xf numFmtId="0" fontId="20" fillId="8" borderId="356" xfId="0" applyFont="1" applyFill="1" applyBorder="1" applyAlignment="1" applyProtection="1">
      <alignment horizontal="center" wrapText="1"/>
    </xf>
    <xf numFmtId="0" fontId="20" fillId="8" borderId="356" xfId="0" applyFont="1" applyFill="1" applyBorder="1" applyAlignment="1" applyProtection="1">
      <alignment wrapText="1"/>
    </xf>
    <xf numFmtId="49" fontId="16" fillId="8" borderId="356" xfId="0" applyNumberFormat="1" applyFont="1" applyFill="1" applyBorder="1" applyAlignment="1" applyProtection="1">
      <alignment horizontal="center" wrapText="1"/>
    </xf>
    <xf numFmtId="49" fontId="16" fillId="8" borderId="359" xfId="0" applyNumberFormat="1" applyFont="1" applyFill="1" applyBorder="1" applyAlignment="1" applyProtection="1">
      <alignment horizontal="center" wrapText="1"/>
    </xf>
    <xf numFmtId="0" fontId="20" fillId="8" borderId="355" xfId="0" applyFont="1" applyFill="1" applyBorder="1" applyAlignment="1" applyProtection="1">
      <alignment horizontal="left"/>
    </xf>
    <xf numFmtId="49" fontId="16" fillId="8" borderId="356"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9" xfId="0" applyFont="1" applyFill="1" applyBorder="1" applyAlignment="1" applyProtection="1">
      <alignment horizontal="center" wrapText="1"/>
    </xf>
    <xf numFmtId="0" fontId="0" fillId="8" borderId="367" xfId="0" applyFont="1" applyFill="1" applyBorder="1" applyProtection="1"/>
    <xf numFmtId="0" fontId="16" fillId="8" borderId="367" xfId="0" applyFont="1" applyFill="1" applyBorder="1" applyAlignment="1" applyProtection="1">
      <alignment horizontal="center" wrapText="1"/>
    </xf>
    <xf numFmtId="0" fontId="16" fillId="8" borderId="367" xfId="0" applyFont="1" applyFill="1" applyBorder="1" applyAlignment="1" applyProtection="1">
      <alignment wrapText="1"/>
    </xf>
    <xf numFmtId="49" fontId="16" fillId="8" borderId="367" xfId="0" applyNumberFormat="1" applyFont="1" applyFill="1" applyBorder="1" applyAlignment="1" applyProtection="1">
      <alignment horizontal="center" wrapText="1"/>
    </xf>
    <xf numFmtId="49" fontId="16" fillId="8" borderId="362"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69"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0" xfId="0" applyFont="1" applyBorder="1" applyAlignment="1" applyProtection="1">
      <alignment horizontal="center" vertical="top" wrapText="1"/>
      <protection locked="0"/>
    </xf>
    <xf numFmtId="0" fontId="24" fillId="0" borderId="471" xfId="0" applyFont="1" applyBorder="1" applyAlignment="1" applyProtection="1">
      <alignment horizontal="center" vertical="top" wrapText="1"/>
      <protection locked="0"/>
    </xf>
    <xf numFmtId="0" fontId="24" fillId="0" borderId="468"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4" xfId="0" applyFont="1" applyBorder="1" applyAlignment="1" applyProtection="1">
      <alignment horizontal="center" vertical="top"/>
    </xf>
    <xf numFmtId="0" fontId="24" fillId="0" borderId="472" xfId="0" applyFont="1" applyBorder="1" applyAlignment="1" applyProtection="1">
      <alignment horizontal="center" vertical="top" wrapText="1"/>
    </xf>
    <xf numFmtId="0" fontId="24" fillId="0" borderId="476"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5"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259" xfId="0" applyNumberFormat="1" applyFont="1" applyFill="1" applyBorder="1" applyAlignment="1" applyProtection="1">
      <alignment vertical="center"/>
    </xf>
    <xf numFmtId="44" fontId="43" fillId="6" borderId="379" xfId="0" applyNumberFormat="1" applyFont="1" applyFill="1" applyBorder="1" applyAlignment="1" applyProtection="1">
      <alignment vertical="center"/>
    </xf>
    <xf numFmtId="44" fontId="43" fillId="6" borderId="210"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6" xfId="0" applyBorder="1" applyAlignment="1" applyProtection="1">
      <alignment vertical="top"/>
    </xf>
    <xf numFmtId="166" fontId="16" fillId="0" borderId="584" xfId="0" applyNumberFormat="1" applyFont="1" applyFill="1" applyBorder="1" applyAlignment="1" applyProtection="1">
      <alignment wrapText="1"/>
      <protection locked="0"/>
    </xf>
    <xf numFmtId="166" fontId="16" fillId="0" borderId="585" xfId="0" applyNumberFormat="1" applyFont="1" applyFill="1" applyBorder="1" applyAlignment="1" applyProtection="1">
      <alignment wrapText="1"/>
      <protection locked="0"/>
    </xf>
    <xf numFmtId="166" fontId="16" fillId="8" borderId="564"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86" xfId="0" applyFont="1" applyFill="1" applyBorder="1" applyAlignment="1" applyProtection="1">
      <protection locked="0"/>
    </xf>
    <xf numFmtId="0" fontId="16" fillId="0" borderId="587" xfId="0" applyFont="1" applyFill="1" applyBorder="1" applyAlignment="1" applyProtection="1">
      <protection locked="0"/>
    </xf>
    <xf numFmtId="0" fontId="16" fillId="8" borderId="588" xfId="0" applyFont="1" applyFill="1" applyBorder="1" applyAlignment="1" applyProtection="1"/>
    <xf numFmtId="0" fontId="16" fillId="0" borderId="339" xfId="0" applyFont="1" applyFill="1" applyBorder="1" applyAlignment="1" applyProtection="1">
      <alignment horizontal="center"/>
      <protection locked="0"/>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591"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3" xfId="0" applyNumberFormat="1" applyFont="1" applyFill="1" applyBorder="1" applyAlignment="1" applyProtection="1">
      <alignment horizontal="right"/>
      <protection locked="0"/>
    </xf>
    <xf numFmtId="0" fontId="41" fillId="0" borderId="414"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60" xfId="0" applyNumberFormat="1" applyFont="1" applyFill="1" applyBorder="1" applyAlignment="1" applyProtection="1">
      <protection locked="0"/>
    </xf>
    <xf numFmtId="0" fontId="16" fillId="0" borderId="462" xfId="0" applyNumberFormat="1" applyFont="1" applyFill="1" applyBorder="1" applyAlignment="1" applyProtection="1">
      <protection locked="0"/>
    </xf>
    <xf numFmtId="0" fontId="16" fillId="0" borderId="464" xfId="0" applyNumberFormat="1" applyFont="1" applyFill="1" applyBorder="1" applyAlignment="1" applyProtection="1">
      <protection locked="0"/>
    </xf>
    <xf numFmtId="0" fontId="16" fillId="0" borderId="592" xfId="0" applyNumberFormat="1" applyFont="1" applyFill="1" applyBorder="1" applyAlignment="1" applyProtection="1">
      <protection locked="0"/>
    </xf>
    <xf numFmtId="0" fontId="16" fillId="0" borderId="448"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332" xfId="0" applyNumberFormat="1" applyFont="1" applyFill="1" applyBorder="1" applyAlignment="1" applyProtection="1"/>
    <xf numFmtId="0" fontId="16" fillId="3" borderId="414"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4"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8"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7" fontId="3" fillId="4" borderId="598" xfId="0" applyNumberFormat="1" applyFont="1" applyFill="1" applyBorder="1" applyAlignment="1" applyProtection="1">
      <alignment horizontal="center"/>
    </xf>
    <xf numFmtId="44" fontId="3" fillId="3" borderId="429" xfId="0" applyNumberFormat="1" applyFont="1" applyFill="1" applyBorder="1" applyAlignment="1" applyProtection="1">
      <protection locked="0"/>
    </xf>
    <xf numFmtId="3" fontId="18" fillId="0" borderId="564" xfId="0" applyNumberFormat="1" applyFont="1" applyFill="1" applyBorder="1" applyAlignment="1" applyProtection="1"/>
    <xf numFmtId="166" fontId="41" fillId="16" borderId="237"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4" xfId="0" applyNumberFormat="1" applyFont="1" applyFill="1" applyBorder="1" applyProtection="1">
      <protection locked="0"/>
    </xf>
    <xf numFmtId="9" fontId="54" fillId="0" borderId="428" xfId="0" applyNumberFormat="1" applyFont="1" applyFill="1" applyBorder="1" applyProtection="1">
      <protection locked="0"/>
    </xf>
    <xf numFmtId="5" fontId="43" fillId="0" borderId="0"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44" fontId="41" fillId="6" borderId="195" xfId="0" applyNumberFormat="1" applyFont="1" applyFill="1" applyBorder="1" applyAlignment="1" applyProtection="1">
      <alignment horizontal="right" vertical="center"/>
    </xf>
    <xf numFmtId="44" fontId="41" fillId="0" borderId="196" xfId="0" applyNumberFormat="1" applyFont="1" applyFill="1" applyBorder="1" applyAlignment="1" applyProtection="1">
      <alignment vertical="center"/>
      <protection locked="0"/>
    </xf>
    <xf numFmtId="44" fontId="41" fillId="0" borderId="153" xfId="0" applyNumberFormat="1" applyFont="1" applyFill="1" applyBorder="1" applyAlignment="1" applyProtection="1">
      <alignment vertical="center"/>
      <protection locked="0"/>
    </xf>
    <xf numFmtId="0" fontId="97" fillId="0" borderId="0" xfId="3" applyFont="1" applyProtection="1"/>
    <xf numFmtId="0" fontId="81" fillId="3" borderId="0" xfId="4" applyFont="1" applyFill="1" applyBorder="1" applyProtection="1"/>
    <xf numFmtId="0" fontId="84" fillId="3" borderId="0" xfId="4" applyFont="1" applyFill="1" applyBorder="1" applyAlignment="1" applyProtection="1">
      <alignment horizontal="center"/>
    </xf>
    <xf numFmtId="0" fontId="81" fillId="34" borderId="569" xfId="4" applyFont="1" applyFill="1" applyBorder="1" applyAlignment="1" applyProtection="1">
      <alignment vertical="center" wrapText="1"/>
    </xf>
    <xf numFmtId="0" fontId="81" fillId="34" borderId="570" xfId="4" applyFont="1" applyFill="1" applyBorder="1" applyAlignment="1" applyProtection="1">
      <alignment vertical="center" wrapText="1"/>
    </xf>
    <xf numFmtId="0" fontId="81" fillId="34" borderId="571" xfId="4" applyFont="1" applyFill="1" applyBorder="1" applyAlignment="1" applyProtection="1">
      <alignment vertical="center" wrapText="1"/>
    </xf>
    <xf numFmtId="0" fontId="81" fillId="3" borderId="0" xfId="4" applyFont="1" applyFill="1" applyBorder="1" applyAlignment="1" applyProtection="1">
      <alignment wrapText="1"/>
    </xf>
    <xf numFmtId="0" fontId="81" fillId="3" borderId="599" xfId="4" applyFont="1" applyFill="1" applyBorder="1" applyProtection="1"/>
    <xf numFmtId="0" fontId="99" fillId="3" borderId="599" xfId="4" applyFont="1" applyFill="1" applyBorder="1" applyProtection="1"/>
    <xf numFmtId="0" fontId="81" fillId="3" borderId="0" xfId="4" applyFont="1" applyFill="1" applyBorder="1" applyAlignment="1" applyProtection="1"/>
    <xf numFmtId="0" fontId="85" fillId="3" borderId="0" xfId="4" applyFont="1" applyFill="1" applyBorder="1" applyProtection="1"/>
    <xf numFmtId="0" fontId="72" fillId="3" borderId="0" xfId="4" applyFont="1" applyFill="1" applyBorder="1" applyAlignment="1" applyProtection="1"/>
    <xf numFmtId="0" fontId="72" fillId="3" borderId="0" xfId="4" applyFont="1" applyFill="1" applyBorder="1" applyProtection="1"/>
    <xf numFmtId="0" fontId="99" fillId="5" borderId="0" xfId="4" applyFont="1" applyFill="1" applyBorder="1" applyAlignment="1" applyProtection="1">
      <alignment horizontal="right"/>
    </xf>
    <xf numFmtId="0" fontId="85" fillId="34" borderId="234" xfId="4" applyFont="1" applyFill="1" applyBorder="1" applyProtection="1">
      <protection locked="0"/>
    </xf>
    <xf numFmtId="0" fontId="72" fillId="5" borderId="0" xfId="4" applyFont="1" applyFill="1" applyBorder="1" applyProtection="1"/>
    <xf numFmtId="0" fontId="85" fillId="5" borderId="0" xfId="4" applyFont="1" applyFill="1" applyBorder="1" applyProtection="1"/>
    <xf numFmtId="0" fontId="86" fillId="0" borderId="572" xfId="4" applyFont="1" applyFill="1" applyBorder="1" applyProtection="1"/>
    <xf numFmtId="0" fontId="87" fillId="5" borderId="569" xfId="4" applyFont="1" applyFill="1" applyBorder="1" applyProtection="1"/>
    <xf numFmtId="0" fontId="81" fillId="3" borderId="570" xfId="4" applyFont="1" applyFill="1" applyBorder="1" applyProtection="1"/>
    <xf numFmtId="0" fontId="81" fillId="3" borderId="571" xfId="4" applyFont="1" applyFill="1" applyBorder="1" applyProtection="1"/>
    <xf numFmtId="0" fontId="81" fillId="3" borderId="572" xfId="4" applyFont="1" applyFill="1" applyBorder="1" applyProtection="1"/>
    <xf numFmtId="0" fontId="72" fillId="3" borderId="572" xfId="4" applyFont="1" applyFill="1" applyBorder="1" applyAlignment="1" applyProtection="1">
      <alignment horizontal="center" wrapText="1"/>
    </xf>
    <xf numFmtId="0" fontId="72" fillId="3" borderId="0" xfId="4" applyFont="1" applyFill="1" applyBorder="1" applyAlignment="1" applyProtection="1">
      <alignment horizontal="center" wrapText="1"/>
    </xf>
    <xf numFmtId="0" fontId="81" fillId="3" borderId="573" xfId="4" applyFont="1" applyFill="1" applyBorder="1" applyProtection="1"/>
    <xf numFmtId="9" fontId="81" fillId="5" borderId="572" xfId="2" applyFont="1" applyFill="1" applyBorder="1" applyAlignment="1" applyProtection="1">
      <alignment horizontal="center"/>
      <protection locked="0"/>
    </xf>
    <xf numFmtId="0" fontId="81" fillId="5" borderId="0" xfId="4" applyFont="1" applyFill="1" applyBorder="1" applyAlignment="1" applyProtection="1">
      <alignment horizontal="center"/>
    </xf>
    <xf numFmtId="0" fontId="81" fillId="3" borderId="0" xfId="4" applyFont="1" applyFill="1" applyBorder="1" applyAlignment="1" applyProtection="1">
      <alignment horizontal="center"/>
    </xf>
    <xf numFmtId="1" fontId="81" fillId="35" borderId="580" xfId="4" applyNumberFormat="1" applyFont="1" applyFill="1" applyBorder="1" applyProtection="1">
      <protection locked="0"/>
    </xf>
    <xf numFmtId="9" fontId="86" fillId="5" borderId="0" xfId="4" applyNumberFormat="1" applyFont="1" applyFill="1" applyBorder="1" applyAlignment="1" applyProtection="1">
      <alignment horizontal="center"/>
    </xf>
    <xf numFmtId="0" fontId="81" fillId="3" borderId="574" xfId="4" applyFont="1" applyFill="1" applyBorder="1" applyProtection="1"/>
    <xf numFmtId="1" fontId="84" fillId="36" borderId="580" xfId="4" applyNumberFormat="1" applyFont="1" applyFill="1" applyBorder="1" applyProtection="1"/>
    <xf numFmtId="0" fontId="102" fillId="3" borderId="575" xfId="4" applyFont="1" applyFill="1" applyBorder="1" applyAlignment="1" applyProtection="1"/>
    <xf numFmtId="0" fontId="81" fillId="3" borderId="575" xfId="4" applyFont="1" applyFill="1" applyBorder="1" applyProtection="1"/>
    <xf numFmtId="0" fontId="81" fillId="3" borderId="576" xfId="4" applyFont="1" applyFill="1" applyBorder="1" applyProtection="1"/>
    <xf numFmtId="0" fontId="81" fillId="3" borderId="564" xfId="4" applyFont="1" applyFill="1" applyBorder="1" applyProtection="1"/>
    <xf numFmtId="1" fontId="81" fillId="3" borderId="564" xfId="4" applyNumberFormat="1" applyFont="1" applyFill="1" applyBorder="1" applyProtection="1"/>
    <xf numFmtId="0" fontId="72" fillId="3" borderId="564" xfId="4" applyFont="1" applyFill="1" applyBorder="1" applyAlignment="1" applyProtection="1"/>
    <xf numFmtId="1" fontId="81" fillId="3" borderId="0" xfId="4" applyNumberFormat="1" applyFont="1" applyFill="1" applyBorder="1" applyProtection="1"/>
    <xf numFmtId="0" fontId="85" fillId="34" borderId="234" xfId="4" applyFont="1" applyFill="1" applyBorder="1" applyProtection="1"/>
    <xf numFmtId="0" fontId="72" fillId="5" borderId="0" xfId="4" applyFont="1" applyFill="1" applyBorder="1" applyAlignment="1" applyProtection="1">
      <alignment horizontal="center"/>
    </xf>
    <xf numFmtId="0" fontId="99" fillId="5" borderId="0" xfId="4" applyFont="1" applyFill="1" applyBorder="1" applyAlignment="1" applyProtection="1">
      <alignment horizontal="left"/>
    </xf>
    <xf numFmtId="0" fontId="81" fillId="3" borderId="0" xfId="4" quotePrefix="1" applyFont="1" applyFill="1" applyBorder="1" applyAlignment="1" applyProtection="1">
      <alignment horizontal="center"/>
    </xf>
    <xf numFmtId="0" fontId="81" fillId="5" borderId="564" xfId="4" applyFont="1" applyFill="1" applyBorder="1" applyAlignment="1" applyProtection="1">
      <alignment horizontal="left"/>
    </xf>
    <xf numFmtId="0" fontId="72" fillId="5" borderId="564" xfId="4" applyFont="1" applyFill="1" applyBorder="1" applyProtection="1"/>
    <xf numFmtId="0" fontId="81" fillId="3" borderId="564" xfId="4" applyFont="1" applyFill="1" applyBorder="1" applyAlignment="1" applyProtection="1"/>
    <xf numFmtId="0" fontId="81" fillId="3" borderId="564" xfId="4" quotePrefix="1" applyFont="1" applyFill="1" applyBorder="1" applyAlignment="1" applyProtection="1">
      <alignment horizontal="center"/>
    </xf>
    <xf numFmtId="0" fontId="81" fillId="3" borderId="564" xfId="4" applyFont="1" applyFill="1" applyBorder="1" applyAlignment="1" applyProtection="1">
      <alignment horizontal="center"/>
    </xf>
    <xf numFmtId="0" fontId="103" fillId="3" borderId="0" xfId="4" applyFont="1" applyFill="1" applyBorder="1" applyProtection="1"/>
    <xf numFmtId="0" fontId="81" fillId="5" borderId="0" xfId="4" applyFont="1" applyFill="1" applyBorder="1" applyAlignment="1" applyProtection="1">
      <alignment horizontal="left"/>
    </xf>
    <xf numFmtId="1" fontId="81" fillId="35" borderId="580" xfId="4" applyNumberFormat="1" applyFont="1" applyFill="1" applyBorder="1" applyAlignment="1" applyProtection="1">
      <alignment horizontal="right"/>
      <protection locked="0"/>
    </xf>
    <xf numFmtId="1" fontId="81" fillId="34" borderId="580" xfId="4" applyNumberFormat="1" applyFont="1" applyFill="1" applyBorder="1" applyAlignment="1" applyProtection="1">
      <alignment horizontal="right"/>
      <protection locked="0"/>
    </xf>
    <xf numFmtId="0" fontId="80" fillId="3" borderId="0" xfId="4" applyFont="1" applyFill="1" applyBorder="1" applyProtection="1"/>
    <xf numFmtId="0" fontId="80" fillId="3" borderId="0" xfId="4" applyFont="1" applyFill="1" applyBorder="1" applyAlignment="1" applyProtection="1"/>
    <xf numFmtId="0" fontId="81" fillId="5" borderId="0" xfId="4" applyFont="1" applyFill="1" applyBorder="1" applyAlignment="1" applyProtection="1"/>
    <xf numFmtId="0" fontId="81" fillId="0" borderId="0" xfId="4" applyFont="1" applyFill="1" applyBorder="1" applyProtection="1"/>
    <xf numFmtId="0" fontId="82" fillId="3" borderId="0" xfId="4" applyFont="1" applyFill="1" applyBorder="1" applyProtection="1"/>
    <xf numFmtId="1" fontId="81" fillId="5" borderId="0" xfId="4" applyNumberFormat="1" applyFont="1" applyFill="1" applyBorder="1" applyAlignment="1" applyProtection="1">
      <alignment horizontal="right"/>
    </xf>
    <xf numFmtId="0" fontId="101" fillId="0" borderId="0" xfId="4" applyFont="1" applyFill="1" applyBorder="1" applyAlignment="1" applyProtection="1">
      <alignment vertical="top"/>
    </xf>
    <xf numFmtId="0" fontId="82" fillId="5" borderId="0" xfId="4" applyFont="1" applyFill="1" applyBorder="1" applyAlignment="1" applyProtection="1">
      <alignment horizontal="left"/>
    </xf>
    <xf numFmtId="0" fontId="85" fillId="34" borderId="234" xfId="4" applyFont="1" applyFill="1" applyBorder="1" applyAlignment="1" applyProtection="1">
      <alignment horizontal="right"/>
    </xf>
    <xf numFmtId="0" fontId="81" fillId="0" borderId="572" xfId="4" applyFont="1" applyFill="1" applyBorder="1" applyAlignment="1" applyProtection="1">
      <alignment horizontal="left" vertical="top"/>
    </xf>
    <xf numFmtId="0" fontId="88" fillId="3" borderId="0" xfId="4" applyFont="1" applyFill="1" applyBorder="1" applyProtection="1"/>
    <xf numFmtId="44" fontId="80" fillId="5" borderId="0" xfId="4" applyNumberFormat="1" applyFont="1" applyFill="1" applyBorder="1" applyAlignment="1" applyProtection="1">
      <alignment horizontal="left"/>
    </xf>
    <xf numFmtId="37" fontId="80" fillId="35" borderId="580" xfId="4" applyNumberFormat="1" applyFont="1" applyFill="1" applyBorder="1" applyAlignment="1" applyProtection="1">
      <alignment horizontal="right"/>
      <protection locked="0"/>
    </xf>
    <xf numFmtId="44" fontId="81" fillId="5" borderId="0" xfId="4" applyNumberFormat="1" applyFont="1" applyFill="1" applyBorder="1" applyAlignment="1" applyProtection="1">
      <alignment horizontal="left"/>
    </xf>
    <xf numFmtId="37" fontId="80" fillId="34" borderId="580" xfId="4" applyNumberFormat="1" applyFont="1" applyFill="1" applyBorder="1" applyAlignment="1" applyProtection="1">
      <alignment horizontal="right"/>
      <protection locked="0"/>
    </xf>
    <xf numFmtId="9" fontId="80" fillId="34" borderId="580" xfId="4" applyNumberFormat="1" applyFont="1" applyFill="1" applyBorder="1" applyAlignment="1" applyProtection="1">
      <alignment horizontal="right"/>
    </xf>
    <xf numFmtId="165" fontId="80" fillId="5" borderId="572" xfId="2" applyNumberFormat="1" applyFont="1" applyFill="1" applyBorder="1" applyAlignment="1" applyProtection="1">
      <alignment horizontal="right"/>
    </xf>
    <xf numFmtId="165" fontId="80" fillId="5" borderId="0" xfId="2" applyNumberFormat="1" applyFont="1" applyFill="1" applyBorder="1" applyAlignment="1" applyProtection="1">
      <alignment horizontal="right"/>
    </xf>
    <xf numFmtId="165" fontId="80" fillId="0" borderId="0" xfId="2" applyNumberFormat="1" applyFont="1" applyFill="1" applyBorder="1" applyAlignment="1" applyProtection="1"/>
    <xf numFmtId="0" fontId="88" fillId="3" borderId="564" xfId="4" applyFont="1" applyFill="1" applyBorder="1" applyProtection="1"/>
    <xf numFmtId="44" fontId="81" fillId="5" borderId="564" xfId="4" applyNumberFormat="1" applyFont="1" applyFill="1" applyBorder="1" applyAlignment="1" applyProtection="1">
      <alignment horizontal="left"/>
    </xf>
    <xf numFmtId="44" fontId="80" fillId="5" borderId="564" xfId="4" applyNumberFormat="1" applyFont="1" applyFill="1" applyBorder="1" applyAlignment="1" applyProtection="1">
      <alignment horizontal="left"/>
    </xf>
    <xf numFmtId="165" fontId="80" fillId="5" borderId="564" xfId="2" applyNumberFormat="1" applyFont="1" applyFill="1" applyBorder="1" applyAlignment="1" applyProtection="1">
      <alignment horizontal="right"/>
    </xf>
    <xf numFmtId="0" fontId="72" fillId="3" borderId="0" xfId="4" applyFont="1" applyFill="1" applyBorder="1" applyAlignment="1" applyProtection="1">
      <alignment horizontal="left" vertical="top" wrapText="1"/>
    </xf>
    <xf numFmtId="0" fontId="81" fillId="5" borderId="0" xfId="4" applyFont="1" applyFill="1" applyBorder="1" applyProtection="1"/>
    <xf numFmtId="0" fontId="81" fillId="5" borderId="564" xfId="4" applyFont="1" applyFill="1" applyBorder="1" applyProtection="1"/>
    <xf numFmtId="0" fontId="81" fillId="0" borderId="572" xfId="4" applyFont="1" applyFill="1" applyBorder="1" applyAlignment="1" applyProtection="1">
      <alignment horizontal="left"/>
    </xf>
    <xf numFmtId="44" fontId="80" fillId="5" borderId="573" xfId="4" applyNumberFormat="1" applyFont="1" applyFill="1" applyBorder="1" applyAlignment="1" applyProtection="1">
      <alignment horizontal="left"/>
    </xf>
    <xf numFmtId="9" fontId="80" fillId="5" borderId="564" xfId="2" applyNumberFormat="1" applyFont="1" applyFill="1" applyBorder="1" applyAlignment="1" applyProtection="1">
      <alignment horizontal="right"/>
    </xf>
    <xf numFmtId="0" fontId="85" fillId="5" borderId="0" xfId="4" applyFont="1" applyFill="1" applyBorder="1" applyAlignment="1" applyProtection="1">
      <alignment horizontal="center"/>
    </xf>
    <xf numFmtId="0" fontId="105" fillId="3" borderId="0" xfId="4" applyFont="1" applyFill="1" applyBorder="1" applyProtection="1"/>
    <xf numFmtId="0" fontId="86" fillId="0" borderId="0" xfId="4" applyFont="1" applyFill="1" applyBorder="1" applyAlignment="1" applyProtection="1"/>
    <xf numFmtId="165" fontId="80" fillId="0" borderId="0" xfId="2" applyNumberFormat="1" applyFont="1" applyFill="1" applyBorder="1" applyAlignment="1" applyProtection="1">
      <alignment horizontal="right"/>
    </xf>
    <xf numFmtId="0" fontId="84" fillId="3" borderId="0" xfId="4" applyFont="1" applyFill="1" applyBorder="1" applyProtection="1"/>
    <xf numFmtId="0" fontId="101" fillId="3" borderId="0" xfId="4" applyFont="1" applyFill="1" applyBorder="1" applyProtection="1"/>
    <xf numFmtId="9" fontId="81" fillId="34" borderId="580" xfId="2" applyFont="1" applyFill="1" applyBorder="1" applyAlignment="1" applyProtection="1">
      <alignment horizontal="right"/>
      <protection locked="0"/>
    </xf>
    <xf numFmtId="9" fontId="80" fillId="34" borderId="577" xfId="2" applyFont="1" applyFill="1" applyBorder="1" applyAlignment="1" applyProtection="1"/>
    <xf numFmtId="1" fontId="81" fillId="5" borderId="564" xfId="4" applyNumberFormat="1" applyFont="1" applyFill="1" applyBorder="1" applyAlignment="1" applyProtection="1">
      <alignment horizontal="right"/>
    </xf>
    <xf numFmtId="0" fontId="72" fillId="3" borderId="564" xfId="4" applyFont="1" applyFill="1" applyBorder="1" applyAlignment="1" applyProtection="1">
      <alignment wrapText="1"/>
    </xf>
    <xf numFmtId="0" fontId="100" fillId="3" borderId="0" xfId="4" applyFont="1" applyFill="1" applyBorder="1" applyAlignment="1" applyProtection="1"/>
    <xf numFmtId="0" fontId="72" fillId="3" borderId="564" xfId="4" applyFont="1" applyFill="1" applyBorder="1" applyProtection="1"/>
    <xf numFmtId="0" fontId="85" fillId="5" borderId="564" xfId="4" applyFont="1" applyFill="1" applyBorder="1" applyAlignment="1" applyProtection="1">
      <alignment horizontal="center"/>
    </xf>
    <xf numFmtId="0" fontId="100" fillId="3" borderId="0" xfId="4" applyFont="1" applyFill="1" applyBorder="1" applyProtection="1"/>
    <xf numFmtId="0" fontId="15" fillId="0" borderId="0" xfId="6" applyFont="1" applyFill="1" applyProtection="1"/>
    <xf numFmtId="0" fontId="82" fillId="34" borderId="580" xfId="4" applyFont="1" applyFill="1" applyBorder="1" applyAlignment="1" applyProtection="1">
      <alignment horizontal="center" vertical="top"/>
      <protection locked="0"/>
    </xf>
    <xf numFmtId="0" fontId="82" fillId="34" borderId="580" xfId="4" applyFont="1" applyFill="1" applyBorder="1" applyAlignment="1" applyProtection="1">
      <alignment horizontal="right" vertical="top"/>
      <protection locked="0"/>
    </xf>
    <xf numFmtId="0" fontId="81" fillId="5" borderId="0" xfId="4" applyFont="1" applyFill="1" applyBorder="1" applyAlignment="1" applyProtection="1">
      <alignment horizontal="right"/>
    </xf>
    <xf numFmtId="0" fontId="81" fillId="3" borderId="0" xfId="4" applyFont="1" applyFill="1" applyBorder="1" applyAlignment="1" applyProtection="1">
      <alignment horizontal="right"/>
    </xf>
    <xf numFmtId="0" fontId="81" fillId="3" borderId="602" xfId="4" applyFont="1" applyFill="1" applyBorder="1" applyAlignment="1" applyProtection="1">
      <alignment vertical="center"/>
    </xf>
    <xf numFmtId="0" fontId="91" fillId="3" borderId="602" xfId="4" applyFont="1" applyFill="1" applyBorder="1" applyAlignment="1" applyProtection="1">
      <alignment vertical="center"/>
    </xf>
    <xf numFmtId="0" fontId="85" fillId="35" borderId="602" xfId="4" applyFont="1" applyFill="1" applyBorder="1" applyAlignment="1" applyProtection="1">
      <alignment horizontal="right" vertical="center"/>
    </xf>
    <xf numFmtId="0" fontId="81"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81" fillId="3" borderId="0" xfId="4" applyFont="1" applyFill="1" applyBorder="1"/>
    <xf numFmtId="0" fontId="84" fillId="3" borderId="0" xfId="4" applyFont="1" applyFill="1" applyBorder="1" applyAlignment="1">
      <alignment horizontal="center"/>
    </xf>
    <xf numFmtId="0" fontId="81" fillId="3" borderId="0" xfId="4" applyFont="1" applyFill="1" applyBorder="1" applyAlignment="1"/>
    <xf numFmtId="0" fontId="72" fillId="3" borderId="0" xfId="4" applyFont="1" applyFill="1" applyBorder="1"/>
    <xf numFmtId="0" fontId="72" fillId="3" borderId="6" xfId="4" applyFont="1" applyFill="1" applyBorder="1" applyAlignment="1"/>
    <xf numFmtId="0" fontId="81" fillId="3" borderId="6" xfId="4" applyFont="1" applyFill="1" applyBorder="1"/>
    <xf numFmtId="0" fontId="72" fillId="3" borderId="6" xfId="4" applyFont="1" applyFill="1" applyBorder="1"/>
    <xf numFmtId="0" fontId="85" fillId="5" borderId="6" xfId="4" applyFont="1" applyFill="1" applyBorder="1" applyAlignment="1">
      <alignment horizontal="center"/>
    </xf>
    <xf numFmtId="0" fontId="85" fillId="38" borderId="234" xfId="4" applyFont="1" applyFill="1" applyBorder="1"/>
    <xf numFmtId="0" fontId="72" fillId="3" borderId="0" xfId="4" applyFont="1" applyFill="1" applyBorder="1" applyAlignment="1"/>
    <xf numFmtId="0" fontId="72" fillId="5" borderId="0" xfId="4" applyFont="1" applyFill="1" applyBorder="1"/>
    <xf numFmtId="0" fontId="85" fillId="5" borderId="0" xfId="4" applyFont="1" applyFill="1" applyBorder="1"/>
    <xf numFmtId="0" fontId="81" fillId="5" borderId="0" xfId="4" applyFont="1" applyFill="1" applyBorder="1" applyAlignment="1"/>
    <xf numFmtId="0" fontId="81" fillId="5" borderId="0" xfId="4" applyFont="1" applyFill="1" applyBorder="1" applyAlignment="1">
      <alignment horizontal="left" indent="2"/>
    </xf>
    <xf numFmtId="0" fontId="0" fillId="39" borderId="0" xfId="0" applyFill="1"/>
    <xf numFmtId="0" fontId="87" fillId="5" borderId="15" xfId="4" applyFont="1" applyFill="1" applyBorder="1"/>
    <xf numFmtId="0" fontId="81" fillId="3" borderId="19" xfId="4" applyFont="1" applyFill="1" applyBorder="1"/>
    <xf numFmtId="0" fontId="81" fillId="3" borderId="21" xfId="4" applyFont="1" applyFill="1" applyBorder="1"/>
    <xf numFmtId="0" fontId="72" fillId="3" borderId="25" xfId="4" applyFont="1" applyFill="1" applyBorder="1" applyAlignment="1">
      <alignment horizontal="center" wrapText="1"/>
    </xf>
    <xf numFmtId="0" fontId="72" fillId="3" borderId="0" xfId="4" applyFont="1" applyFill="1" applyBorder="1" applyAlignment="1">
      <alignment horizontal="center" wrapText="1"/>
    </xf>
    <xf numFmtId="0" fontId="81" fillId="3" borderId="26" xfId="4" applyFont="1" applyFill="1" applyBorder="1"/>
    <xf numFmtId="9" fontId="81" fillId="7" borderId="25" xfId="2" applyFont="1" applyFill="1" applyBorder="1" applyAlignment="1">
      <alignment horizontal="center"/>
    </xf>
    <xf numFmtId="0" fontId="81" fillId="5" borderId="0" xfId="4" applyFont="1" applyFill="1" applyBorder="1" applyAlignment="1">
      <alignment horizontal="center"/>
    </xf>
    <xf numFmtId="0" fontId="81" fillId="3" borderId="0" xfId="4" applyFont="1" applyFill="1" applyBorder="1" applyAlignment="1">
      <alignment horizontal="center"/>
    </xf>
    <xf numFmtId="1" fontId="81" fillId="7" borderId="6" xfId="4" applyNumberFormat="1" applyFont="1" applyFill="1" applyBorder="1"/>
    <xf numFmtId="9" fontId="86" fillId="7" borderId="25" xfId="4" applyNumberFormat="1" applyFont="1" applyFill="1" applyBorder="1" applyAlignment="1">
      <alignment horizontal="center"/>
    </xf>
    <xf numFmtId="9" fontId="86" fillId="5" borderId="0" xfId="4" applyNumberFormat="1" applyFont="1" applyFill="1" applyBorder="1" applyAlignment="1">
      <alignment horizontal="center"/>
    </xf>
    <xf numFmtId="0" fontId="81" fillId="3" borderId="16" xfId="4" applyFont="1" applyFill="1" applyBorder="1"/>
    <xf numFmtId="1" fontId="81" fillId="3" borderId="6" xfId="4" applyNumberFormat="1" applyFont="1" applyFill="1" applyBorder="1"/>
    <xf numFmtId="0" fontId="81" fillId="3" borderId="22" xfId="4" applyFont="1" applyFill="1" applyBorder="1"/>
    <xf numFmtId="1" fontId="81" fillId="3" borderId="0" xfId="4" applyNumberFormat="1" applyFont="1" applyFill="1" applyBorder="1"/>
    <xf numFmtId="0" fontId="72" fillId="5" borderId="0" xfId="4" applyFont="1" applyFill="1" applyBorder="1" applyAlignment="1">
      <alignment horizontal="center"/>
    </xf>
    <xf numFmtId="0" fontId="81" fillId="3" borderId="0" xfId="4" quotePrefix="1" applyFont="1" applyFill="1" applyBorder="1" applyAlignment="1">
      <alignment horizontal="center"/>
    </xf>
    <xf numFmtId="0" fontId="81" fillId="5" borderId="0" xfId="4" applyFont="1" applyFill="1" applyBorder="1" applyAlignment="1">
      <alignment horizontal="left"/>
    </xf>
    <xf numFmtId="1" fontId="81" fillId="7" borderId="568" xfId="4" applyNumberFormat="1" applyFont="1" applyFill="1" applyBorder="1" applyAlignment="1">
      <alignment horizontal="right"/>
    </xf>
    <xf numFmtId="0" fontId="80" fillId="3" borderId="0" xfId="4" applyFont="1" applyFill="1" applyBorder="1"/>
    <xf numFmtId="0" fontId="80" fillId="3" borderId="0" xfId="4" applyFont="1" applyFill="1" applyBorder="1" applyAlignment="1"/>
    <xf numFmtId="1" fontId="81" fillId="5" borderId="0" xfId="4" applyNumberFormat="1" applyFont="1" applyFill="1" applyBorder="1" applyAlignment="1">
      <alignment horizontal="right"/>
    </xf>
    <xf numFmtId="44" fontId="81" fillId="7" borderId="568" xfId="4" applyNumberFormat="1" applyFont="1" applyFill="1" applyBorder="1" applyAlignment="1">
      <alignment horizontal="right"/>
    </xf>
    <xf numFmtId="0" fontId="82" fillId="3" borderId="0" xfId="4" applyFont="1" applyFill="1" applyBorder="1"/>
    <xf numFmtId="44" fontId="80" fillId="5" borderId="0" xfId="4" applyNumberFormat="1" applyFont="1" applyFill="1" applyBorder="1" applyAlignment="1">
      <alignment horizontal="left"/>
    </xf>
    <xf numFmtId="44" fontId="81" fillId="5" borderId="0" xfId="4" applyNumberFormat="1" applyFont="1" applyFill="1" applyBorder="1" applyAlignment="1">
      <alignment horizontal="left"/>
    </xf>
    <xf numFmtId="171" fontId="81" fillId="5" borderId="0" xfId="4" applyNumberFormat="1" applyFont="1" applyFill="1" applyBorder="1" applyAlignment="1">
      <alignment horizontal="left"/>
    </xf>
    <xf numFmtId="42" fontId="80" fillId="5" borderId="0" xfId="2" applyNumberFormat="1" applyFont="1" applyFill="1" applyBorder="1" applyAlignment="1">
      <alignment horizontal="right"/>
    </xf>
    <xf numFmtId="165" fontId="80" fillId="5" borderId="0" xfId="2" applyNumberFormat="1" applyFont="1" applyFill="1" applyBorder="1" applyAlignment="1">
      <alignment horizontal="right"/>
    </xf>
    <xf numFmtId="0" fontId="81" fillId="5" borderId="0" xfId="4" applyFont="1" applyFill="1" applyBorder="1"/>
    <xf numFmtId="0" fontId="86" fillId="5" borderId="0" xfId="4" applyFont="1" applyFill="1" applyBorder="1" applyAlignment="1">
      <alignment horizontal="left"/>
    </xf>
    <xf numFmtId="0" fontId="88" fillId="3" borderId="0" xfId="4" applyFont="1" applyFill="1" applyBorder="1"/>
    <xf numFmtId="0" fontId="86" fillId="3" borderId="0" xfId="4" applyFont="1" applyFill="1" applyBorder="1" applyAlignment="1"/>
    <xf numFmtId="0" fontId="85" fillId="5" borderId="0" xfId="4" applyFont="1" applyFill="1" applyBorder="1" applyAlignment="1">
      <alignment horizontal="center"/>
    </xf>
    <xf numFmtId="0" fontId="84" fillId="3" borderId="0" xfId="4" applyFont="1" applyFill="1" applyBorder="1"/>
    <xf numFmtId="42" fontId="80" fillId="0" borderId="568" xfId="4" applyNumberFormat="1" applyFont="1" applyFill="1" applyBorder="1" applyAlignment="1">
      <alignment horizontal="right"/>
    </xf>
    <xf numFmtId="10" fontId="80" fillId="0" borderId="568" xfId="4" applyNumberFormat="1" applyFont="1" applyFill="1" applyBorder="1" applyAlignment="1">
      <alignment horizontal="right"/>
    </xf>
    <xf numFmtId="0" fontId="81" fillId="3" borderId="602" xfId="4" applyFont="1" applyFill="1" applyBorder="1"/>
    <xf numFmtId="0" fontId="91" fillId="3" borderId="602" xfId="4" applyFont="1" applyFill="1" applyBorder="1" applyAlignment="1">
      <alignment vertical="center"/>
    </xf>
    <xf numFmtId="0" fontId="91" fillId="3" borderId="602" xfId="4" applyFont="1" applyFill="1" applyBorder="1"/>
    <xf numFmtId="0" fontId="81" fillId="3" borderId="602" xfId="4" applyFont="1" applyFill="1" applyBorder="1" applyAlignment="1"/>
    <xf numFmtId="0" fontId="81" fillId="7" borderId="602" xfId="4" applyFont="1" applyFill="1" applyBorder="1"/>
    <xf numFmtId="168" fontId="80" fillId="0" borderId="568" xfId="2" applyNumberFormat="1" applyFont="1" applyFill="1" applyBorder="1" applyAlignment="1">
      <alignment horizontal="right"/>
    </xf>
    <xf numFmtId="0" fontId="17" fillId="0" borderId="0" xfId="6" applyFont="1" applyFill="1"/>
    <xf numFmtId="0" fontId="15" fillId="0" borderId="0" xfId="6" applyFont="1" applyFill="1"/>
    <xf numFmtId="0" fontId="86"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81" fillId="5" borderId="0" xfId="4" applyFont="1" applyFill="1" applyBorder="1" applyAlignment="1" applyProtection="1">
      <alignment vertical="center"/>
      <protection locked="0"/>
    </xf>
    <xf numFmtId="0" fontId="81" fillId="3" borderId="609" xfId="4" applyFont="1" applyFill="1" applyBorder="1" applyAlignment="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7" fillId="0" borderId="77" xfId="0" applyFont="1" applyFill="1" applyBorder="1" applyAlignment="1" applyProtection="1"/>
    <xf numFmtId="0" fontId="21" fillId="16" borderId="0" xfId="0" applyFont="1" applyFill="1" applyBorder="1" applyAlignment="1" applyProtection="1"/>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1" xfId="0" applyFont="1" applyFill="1" applyBorder="1" applyProtection="1">
      <protection locked="0"/>
    </xf>
    <xf numFmtId="3" fontId="15" fillId="0" borderId="0" xfId="0" applyNumberFormat="1" applyFont="1" applyFill="1" applyBorder="1" applyAlignment="1" applyProtection="1">
      <alignment horizontal="left"/>
    </xf>
    <xf numFmtId="0" fontId="16" fillId="16" borderId="163" xfId="0" applyFont="1" applyFill="1" applyBorder="1" applyAlignment="1" applyProtection="1">
      <alignment wrapText="1"/>
    </xf>
    <xf numFmtId="0" fontId="16" fillId="0" borderId="246" xfId="0" applyFont="1" applyFill="1" applyBorder="1" applyAlignment="1" applyProtection="1">
      <alignment wrapText="1"/>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0" fillId="0" borderId="0" xfId="0" applyProtection="1"/>
    <xf numFmtId="0" fontId="16" fillId="0" borderId="6" xfId="0" applyFont="1" applyFill="1" applyBorder="1" applyProtection="1">
      <protection locked="0"/>
    </xf>
    <xf numFmtId="0" fontId="16" fillId="0" borderId="0" xfId="0" applyFont="1" applyFill="1" applyBorder="1" applyAlignment="1" applyProtection="1"/>
    <xf numFmtId="0" fontId="21" fillId="16" borderId="0" xfId="0" applyFont="1" applyFill="1" applyBorder="1" applyAlignment="1" applyProtection="1"/>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16" fillId="0" borderId="235" xfId="0" applyFont="1" applyFill="1" applyBorder="1" applyAlignment="1" applyProtection="1">
      <protection locked="0"/>
    </xf>
    <xf numFmtId="0" fontId="0" fillId="0" borderId="0" xfId="0" applyProtection="1"/>
    <xf numFmtId="0" fontId="16" fillId="0" borderId="92" xfId="0" applyFont="1" applyBorder="1" applyProtection="1">
      <protection locked="0"/>
    </xf>
    <xf numFmtId="0" fontId="16" fillId="0" borderId="93" xfId="0" applyFont="1" applyBorder="1" applyProtection="1">
      <protection locked="0"/>
    </xf>
    <xf numFmtId="0" fontId="16" fillId="0" borderId="93" xfId="0" applyFont="1" applyFill="1" applyBorder="1" applyProtection="1">
      <protection locked="0"/>
    </xf>
    <xf numFmtId="9" fontId="16" fillId="0" borderId="93" xfId="0" applyNumberFormat="1" applyFont="1" applyFill="1" applyBorder="1" applyProtection="1">
      <protection locked="0"/>
    </xf>
    <xf numFmtId="0" fontId="16" fillId="0" borderId="94" xfId="0" applyFont="1" applyBorder="1" applyProtection="1">
      <protection locked="0"/>
    </xf>
    <xf numFmtId="0" fontId="15" fillId="6" borderId="323" xfId="0" applyFont="1" applyFill="1" applyBorder="1" applyAlignment="1" applyProtection="1">
      <alignment horizontal="center"/>
    </xf>
    <xf numFmtId="0" fontId="15" fillId="6" borderId="398" xfId="0" applyFont="1" applyFill="1" applyBorder="1" applyAlignment="1" applyProtection="1">
      <alignment horizontal="center"/>
    </xf>
    <xf numFmtId="0" fontId="0" fillId="6" borderId="398" xfId="0" applyFont="1" applyFill="1" applyBorder="1" applyAlignment="1" applyProtection="1">
      <alignment horizontal="center"/>
    </xf>
    <xf numFmtId="0" fontId="0" fillId="6" borderId="450" xfId="0" applyFont="1" applyFill="1" applyBorder="1" applyAlignment="1" applyProtection="1">
      <alignment horizontal="center"/>
    </xf>
    <xf numFmtId="44" fontId="3" fillId="8" borderId="251" xfId="0" applyNumberFormat="1" applyFont="1" applyFill="1" applyBorder="1" applyAlignment="1" applyProtection="1"/>
    <xf numFmtId="0" fontId="3" fillId="8" borderId="252" xfId="0" applyFont="1" applyFill="1" applyBorder="1" applyAlignment="1" applyProtection="1"/>
    <xf numFmtId="0" fontId="0" fillId="0" borderId="516" xfId="0" applyBorder="1" applyProtection="1"/>
    <xf numFmtId="42" fontId="5" fillId="6" borderId="457"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8"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10" fontId="8" fillId="16" borderId="315" xfId="0" applyNumberFormat="1" applyFont="1" applyFill="1" applyBorder="1" applyAlignment="1" applyProtection="1">
      <alignment horizontal="center" vertical="center" wrapText="1"/>
    </xf>
    <xf numFmtId="42" fontId="8" fillId="0" borderId="316" xfId="0" applyNumberFormat="1" applyFont="1" applyFill="1" applyBorder="1" applyAlignment="1" applyProtection="1"/>
    <xf numFmtId="10" fontId="8" fillId="16" borderId="251" xfId="0" applyNumberFormat="1" applyFont="1" applyFill="1" applyBorder="1" applyAlignment="1" applyProtection="1">
      <alignment horizontal="center" vertical="center" wrapText="1"/>
    </xf>
    <xf numFmtId="0" fontId="16" fillId="0" borderId="77" xfId="0" applyFont="1" applyBorder="1" applyProtection="1"/>
    <xf numFmtId="0" fontId="16" fillId="0" borderId="34" xfId="0" applyFont="1" applyBorder="1" applyProtection="1"/>
    <xf numFmtId="0" fontId="2" fillId="16" borderId="9" xfId="0" applyFont="1" applyFill="1" applyBorder="1" applyAlignment="1" applyProtection="1">
      <alignment horizontal="center" wrapText="1"/>
    </xf>
    <xf numFmtId="0" fontId="17" fillId="16" borderId="115" xfId="0" applyFont="1" applyFill="1" applyBorder="1" applyProtection="1"/>
    <xf numFmtId="0" fontId="17"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8" xfId="0" applyFont="1" applyFill="1" applyBorder="1" applyAlignment="1" applyProtection="1">
      <alignment wrapText="1"/>
    </xf>
    <xf numFmtId="0" fontId="16" fillId="0" borderId="43" xfId="0" applyFont="1" applyBorder="1" applyProtection="1"/>
    <xf numFmtId="9" fontId="40" fillId="16" borderId="246" xfId="0" applyNumberFormat="1" applyFont="1" applyFill="1" applyBorder="1" applyAlignment="1" applyProtection="1">
      <alignment horizontal="center" vertical="center" wrapText="1"/>
    </xf>
    <xf numFmtId="41" fontId="15" fillId="6" borderId="286" xfId="0" applyNumberFormat="1" applyFont="1" applyFill="1" applyBorder="1" applyAlignment="1" applyProtection="1">
      <alignment horizontal="center"/>
    </xf>
    <xf numFmtId="41" fontId="15" fillId="6" borderId="287" xfId="0" applyNumberFormat="1" applyFont="1" applyFill="1" applyBorder="1" applyAlignment="1" applyProtection="1">
      <alignment horizontal="center"/>
    </xf>
    <xf numFmtId="41" fontId="15" fillId="6" borderId="308" xfId="0" applyNumberFormat="1" applyFont="1" applyFill="1" applyBorder="1" applyAlignment="1" applyProtection="1">
      <alignment horizontal="center"/>
    </xf>
    <xf numFmtId="0" fontId="16" fillId="9" borderId="288" xfId="0" applyFont="1" applyFill="1" applyBorder="1" applyAlignment="1" applyProtection="1">
      <alignment horizontal="center"/>
    </xf>
    <xf numFmtId="9" fontId="40" fillId="16" borderId="251" xfId="0" applyNumberFormat="1" applyFont="1" applyFill="1" applyBorder="1" applyAlignment="1" applyProtection="1">
      <alignment horizontal="center" vertical="center" wrapText="1"/>
    </xf>
    <xf numFmtId="41" fontId="15" fillId="6" borderId="289" xfId="0" applyNumberFormat="1" applyFont="1" applyFill="1" applyBorder="1" applyAlignment="1" applyProtection="1">
      <alignment horizontal="center"/>
    </xf>
    <xf numFmtId="41" fontId="15" fillId="6" borderId="290" xfId="0" applyNumberFormat="1" applyFont="1" applyFill="1" applyBorder="1" applyAlignment="1" applyProtection="1">
      <alignment horizontal="center"/>
    </xf>
    <xf numFmtId="41" fontId="15" fillId="6" borderId="309" xfId="0" applyNumberFormat="1" applyFont="1" applyFill="1" applyBorder="1" applyAlignment="1" applyProtection="1">
      <alignment horizontal="center"/>
    </xf>
    <xf numFmtId="0" fontId="16" fillId="9" borderId="291" xfId="0" applyFont="1" applyFill="1" applyBorder="1" applyAlignment="1" applyProtection="1">
      <alignment horizontal="center"/>
    </xf>
    <xf numFmtId="9" fontId="40" fillId="16" borderId="65" xfId="0" applyNumberFormat="1" applyFont="1" applyFill="1" applyBorder="1" applyAlignment="1" applyProtection="1">
      <alignment horizontal="center" vertical="center" wrapText="1"/>
    </xf>
    <xf numFmtId="41" fontId="15" fillId="6" borderId="310" xfId="0" applyNumberFormat="1" applyFont="1" applyFill="1" applyBorder="1" applyAlignment="1" applyProtection="1">
      <alignment horizontal="center"/>
    </xf>
    <xf numFmtId="41" fontId="15" fillId="6" borderId="105" xfId="0" applyNumberFormat="1" applyFont="1" applyFill="1" applyBorder="1" applyAlignment="1" applyProtection="1">
      <alignment horizontal="center"/>
    </xf>
    <xf numFmtId="41" fontId="15" fillId="6" borderId="311" xfId="0" applyNumberFormat="1" applyFont="1" applyFill="1" applyBorder="1" applyAlignment="1" applyProtection="1">
      <alignment horizontal="center"/>
    </xf>
    <xf numFmtId="0" fontId="16" fillId="9" borderId="125" xfId="0" applyFont="1" applyFill="1" applyBorder="1" applyAlignment="1" applyProtection="1">
      <alignment horizontal="center"/>
    </xf>
    <xf numFmtId="9" fontId="40" fillId="16" borderId="112" xfId="0" applyNumberFormat="1" applyFont="1" applyFill="1" applyBorder="1" applyAlignment="1" applyProtection="1">
      <alignment horizontal="center" vertical="center" wrapText="1"/>
    </xf>
    <xf numFmtId="0" fontId="16" fillId="9" borderId="234" xfId="0" applyFont="1" applyFill="1" applyBorder="1" applyAlignment="1" applyProtection="1">
      <alignment horizontal="center"/>
    </xf>
    <xf numFmtId="0" fontId="0" fillId="9" borderId="234" xfId="0" applyFont="1" applyFill="1" applyBorder="1" applyAlignment="1" applyProtection="1">
      <alignment horizontal="center"/>
    </xf>
    <xf numFmtId="0" fontId="20" fillId="9" borderId="64" xfId="0" applyFont="1" applyFill="1" applyBorder="1" applyAlignment="1" applyProtection="1">
      <alignment horizontal="center"/>
    </xf>
    <xf numFmtId="10" fontId="7" fillId="16" borderId="304" xfId="0" applyNumberFormat="1" applyFont="1" applyFill="1" applyBorder="1" applyAlignment="1" applyProtection="1">
      <alignment horizontal="center" vertical="center" wrapText="1"/>
    </xf>
    <xf numFmtId="41" fontId="15" fillId="6" borderId="292" xfId="0" applyNumberFormat="1" applyFont="1" applyFill="1" applyBorder="1" applyAlignment="1" applyProtection="1">
      <alignment horizontal="center"/>
    </xf>
    <xf numFmtId="41" fontId="15" fillId="6" borderId="293" xfId="0" applyNumberFormat="1" applyFont="1" applyFill="1" applyBorder="1" applyAlignment="1" applyProtection="1">
      <alignment horizontal="center"/>
    </xf>
    <xf numFmtId="41" fontId="15" fillId="6" borderId="312" xfId="0" applyNumberFormat="1" applyFont="1" applyFill="1" applyBorder="1" applyAlignment="1" applyProtection="1">
      <alignment horizontal="center"/>
    </xf>
    <xf numFmtId="0" fontId="16" fillId="9" borderId="295" xfId="0" applyFont="1" applyFill="1" applyBorder="1" applyAlignment="1" applyProtection="1">
      <alignment horizontal="center"/>
    </xf>
    <xf numFmtId="10" fontId="7" fillId="16" borderId="305" xfId="0" applyNumberFormat="1" applyFont="1" applyFill="1" applyBorder="1" applyAlignment="1" applyProtection="1">
      <alignment horizontal="center" vertical="center" wrapText="1"/>
    </xf>
    <xf numFmtId="41" fontId="15" fillId="6" borderId="300" xfId="0" applyNumberFormat="1" applyFont="1" applyFill="1" applyBorder="1" applyAlignment="1" applyProtection="1">
      <alignment horizontal="center"/>
    </xf>
    <xf numFmtId="41" fontId="15" fillId="6" borderId="301" xfId="0" applyNumberFormat="1" applyFont="1" applyFill="1" applyBorder="1" applyAlignment="1" applyProtection="1">
      <alignment horizontal="center"/>
    </xf>
    <xf numFmtId="41" fontId="15" fillId="6" borderId="313" xfId="0" applyNumberFormat="1" applyFont="1" applyFill="1" applyBorder="1" applyAlignment="1" applyProtection="1">
      <alignment horizontal="center"/>
    </xf>
    <xf numFmtId="0" fontId="16" fillId="9" borderId="299"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6" xfId="0" applyFont="1" applyFill="1" applyBorder="1" applyAlignment="1" applyProtection="1">
      <alignment horizontal="center"/>
    </xf>
    <xf numFmtId="0" fontId="16" fillId="9" borderId="284" xfId="0" applyFont="1" applyFill="1" applyBorder="1" applyAlignment="1" applyProtection="1">
      <alignment horizontal="center"/>
    </xf>
    <xf numFmtId="0" fontId="16"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20" fillId="9" borderId="87"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26"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30" xfId="0" applyFont="1" applyFill="1" applyBorder="1" applyAlignment="1" applyProtection="1">
      <alignment horizontal="center"/>
    </xf>
    <xf numFmtId="9" fontId="40" fillId="16" borderId="285" xfId="0" applyNumberFormat="1" applyFont="1" applyFill="1" applyBorder="1" applyAlignment="1" applyProtection="1">
      <alignment horizontal="center" vertical="center" wrapText="1"/>
    </xf>
    <xf numFmtId="0" fontId="16" fillId="6" borderId="286" xfId="0" applyFont="1" applyFill="1" applyBorder="1" applyAlignment="1" applyProtection="1">
      <alignment horizontal="center"/>
    </xf>
    <xf numFmtId="0" fontId="16" fillId="6" borderId="287" xfId="0" applyFont="1" applyFill="1" applyBorder="1" applyAlignment="1" applyProtection="1">
      <alignment horizontal="center"/>
    </xf>
    <xf numFmtId="0" fontId="16" fillId="6" borderId="278" xfId="0" applyFont="1" applyFill="1" applyBorder="1" applyAlignment="1" applyProtection="1">
      <alignment horizontal="center"/>
    </xf>
    <xf numFmtId="0" fontId="16" fillId="9" borderId="224" xfId="0" applyFont="1" applyFill="1" applyBorder="1" applyAlignment="1" applyProtection="1">
      <alignment horizontal="center"/>
    </xf>
    <xf numFmtId="0" fontId="2" fillId="16" borderId="307" xfId="0" applyFont="1" applyFill="1" applyBorder="1" applyAlignment="1" applyProtection="1">
      <alignment horizontal="center" vertical="center"/>
    </xf>
    <xf numFmtId="0" fontId="16" fillId="6" borderId="300" xfId="0" applyFont="1" applyFill="1" applyBorder="1" applyAlignment="1" applyProtection="1">
      <alignment horizontal="center"/>
    </xf>
    <xf numFmtId="0" fontId="16" fillId="6" borderId="301" xfId="0" applyFont="1" applyFill="1" applyBorder="1" applyAlignment="1" applyProtection="1">
      <alignment horizontal="center"/>
    </xf>
    <xf numFmtId="0" fontId="16" fillId="6" borderId="314" xfId="0" applyFont="1" applyFill="1" applyBorder="1" applyAlignment="1" applyProtection="1">
      <alignment horizontal="center"/>
    </xf>
    <xf numFmtId="0" fontId="20" fillId="21" borderId="114"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0" fontId="16" fillId="0" borderId="253" xfId="0" applyFont="1" applyFill="1" applyBorder="1" applyAlignment="1" applyProtection="1">
      <protection locked="0"/>
    </xf>
    <xf numFmtId="14" fontId="3" fillId="0" borderId="290" xfId="0" applyNumberFormat="1" applyFont="1" applyFill="1" applyBorder="1" applyAlignment="1" applyProtection="1">
      <alignment horizontal="center"/>
      <protection locked="0"/>
    </xf>
    <xf numFmtId="0" fontId="0" fillId="0" borderId="408" xfId="0" applyFont="1" applyFill="1" applyBorder="1" applyAlignment="1" applyProtection="1">
      <alignment horizontal="center"/>
      <protection locked="0"/>
    </xf>
    <xf numFmtId="0" fontId="0" fillId="0" borderId="410" xfId="0" applyFont="1" applyFill="1" applyBorder="1" applyAlignment="1" applyProtection="1">
      <alignment horizontal="center"/>
      <protection locked="0"/>
    </xf>
    <xf numFmtId="14" fontId="3" fillId="0" borderId="53" xfId="0" applyNumberFormat="1" applyFont="1" applyBorder="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42" fontId="16" fillId="6" borderId="386" xfId="0" applyNumberFormat="1" applyFont="1" applyFill="1" applyBorder="1" applyAlignment="1" applyProtection="1">
      <alignment horizontal="left" wrapText="1"/>
      <protection locked="0"/>
    </xf>
    <xf numFmtId="9" fontId="16" fillId="0" borderId="331" xfId="2"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left" wrapText="1"/>
      <protection locked="0"/>
    </xf>
    <xf numFmtId="44" fontId="16" fillId="0" borderId="331" xfId="1" applyFont="1" applyFill="1" applyBorder="1" applyAlignment="1" applyProtection="1">
      <alignment horizontal="left" wrapText="1"/>
      <protection locked="0"/>
    </xf>
    <xf numFmtId="42" fontId="16" fillId="6" borderId="339" xfId="0" applyNumberFormat="1" applyFont="1" applyFill="1" applyBorder="1" applyAlignment="1" applyProtection="1">
      <alignment horizontal="left" wrapText="1"/>
      <protection locked="0"/>
    </xf>
    <xf numFmtId="0" fontId="81" fillId="34" borderId="572"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3"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0" fillId="0" borderId="0" xfId="0" applyProtection="1"/>
    <xf numFmtId="0" fontId="72" fillId="3" borderId="0" xfId="4" applyFont="1" applyFill="1" applyBorder="1" applyAlignment="1" applyProtection="1">
      <alignment wrapText="1"/>
    </xf>
    <xf numFmtId="0" fontId="0" fillId="0" borderId="0" xfId="0"/>
    <xf numFmtId="0" fontId="72" fillId="3" borderId="0" xfId="4" applyFont="1" applyFill="1" applyBorder="1" applyAlignment="1">
      <alignment wrapText="1"/>
    </xf>
    <xf numFmtId="0" fontId="81" fillId="5" borderId="0" xfId="4" applyFont="1" applyFill="1" applyBorder="1" applyAlignment="1">
      <alignment wrapText="1"/>
    </xf>
    <xf numFmtId="44" fontId="16" fillId="0" borderId="164" xfId="1" applyFont="1" applyFill="1" applyBorder="1" applyProtection="1">
      <protection locked="0"/>
    </xf>
    <xf numFmtId="44" fontId="16" fillId="0" borderId="287" xfId="1" applyFont="1" applyFill="1" applyBorder="1" applyProtection="1">
      <protection locked="0"/>
    </xf>
    <xf numFmtId="44" fontId="16" fillId="0" borderId="290" xfId="1" applyFont="1" applyFill="1" applyBorder="1" applyProtection="1">
      <protection locked="0"/>
    </xf>
    <xf numFmtId="44" fontId="16" fillId="0" borderId="402" xfId="1" applyFont="1" applyFill="1" applyBorder="1" applyProtection="1">
      <protection locked="0"/>
    </xf>
    <xf numFmtId="44" fontId="16" fillId="0" borderId="297" xfId="1" applyFont="1" applyFill="1" applyBorder="1" applyProtection="1">
      <protection locked="0"/>
    </xf>
    <xf numFmtId="44" fontId="16" fillId="0" borderId="432" xfId="1" applyFont="1" applyFill="1" applyBorder="1" applyProtection="1">
      <protection locked="0"/>
    </xf>
    <xf numFmtId="44" fontId="16" fillId="0" borderId="433" xfId="1" applyFont="1" applyFill="1" applyBorder="1" applyProtection="1">
      <protection locked="0"/>
    </xf>
    <xf numFmtId="44" fontId="41" fillId="6" borderId="151" xfId="0" applyNumberFormat="1" applyFont="1" applyFill="1" applyBorder="1" applyAlignment="1" applyProtection="1">
      <alignment horizontal="right"/>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3" fontId="15" fillId="0" borderId="292"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44" fontId="41" fillId="6" borderId="373" xfId="0" applyNumberFormat="1" applyFont="1" applyFill="1" applyBorder="1" applyAlignment="1" applyProtection="1">
      <alignment vertical="center"/>
    </xf>
    <xf numFmtId="44" fontId="41" fillId="6" borderId="376" xfId="0" applyNumberFormat="1" applyFont="1" applyFill="1" applyBorder="1" applyAlignment="1" applyProtection="1">
      <alignment vertical="center"/>
    </xf>
    <xf numFmtId="172" fontId="20" fillId="5" borderId="454" xfId="0" applyNumberFormat="1" applyFont="1" applyFill="1" applyBorder="1" applyAlignment="1" applyProtection="1">
      <alignment horizontal="center" vertical="center"/>
      <protection locked="0"/>
    </xf>
    <xf numFmtId="172" fontId="20" fillId="5" borderId="455" xfId="0" applyNumberFormat="1" applyFont="1" applyFill="1" applyBorder="1" applyAlignment="1" applyProtection="1">
      <alignment horizontal="center" vertical="center"/>
      <protection locked="0"/>
    </xf>
    <xf numFmtId="172" fontId="20" fillId="5" borderId="455" xfId="0" applyNumberFormat="1" applyFont="1" applyFill="1" applyBorder="1" applyAlignment="1" applyProtection="1">
      <alignment horizontal="center"/>
      <protection locked="0"/>
    </xf>
    <xf numFmtId="172" fontId="20" fillId="5" borderId="456" xfId="0" applyNumberFormat="1" applyFont="1" applyFill="1" applyBorder="1" applyAlignment="1" applyProtection="1">
      <alignment horizontal="center" vertical="center"/>
      <protection locked="0"/>
    </xf>
    <xf numFmtId="0" fontId="81" fillId="3" borderId="609" xfId="4" applyFont="1" applyFill="1" applyBorder="1"/>
    <xf numFmtId="165" fontId="80" fillId="5" borderId="0" xfId="2" applyNumberFormat="1" applyFont="1" applyFill="1" applyBorder="1" applyAlignment="1"/>
    <xf numFmtId="165" fontId="80" fillId="5" borderId="568" xfId="2" applyNumberFormat="1" applyFont="1" applyFill="1" applyBorder="1" applyAlignment="1"/>
    <xf numFmtId="3" fontId="80" fillId="0" borderId="568" xfId="4" applyNumberFormat="1" applyFont="1" applyFill="1" applyBorder="1" applyAlignment="1">
      <alignment horizontal="right"/>
    </xf>
    <xf numFmtId="0" fontId="1" fillId="0" borderId="0" xfId="0" applyFont="1" applyFill="1" applyBorder="1" applyProtection="1"/>
    <xf numFmtId="16" fontId="1" fillId="0" borderId="498" xfId="0" applyNumberFormat="1" applyFont="1" applyFill="1" applyBorder="1" applyProtection="1"/>
    <xf numFmtId="16" fontId="1" fillId="0" borderId="485" xfId="0" applyNumberFormat="1" applyFont="1" applyFill="1" applyBorder="1" applyProtection="1"/>
    <xf numFmtId="16" fontId="1" fillId="0" borderId="486" xfId="0" applyNumberFormat="1" applyFont="1" applyFill="1" applyBorder="1" applyProtection="1"/>
    <xf numFmtId="16" fontId="1" fillId="0" borderId="521" xfId="0" applyNumberFormat="1" applyFont="1" applyFill="1" applyBorder="1" applyProtection="1"/>
    <xf numFmtId="16" fontId="0" fillId="0" borderId="510" xfId="0" applyNumberFormat="1" applyFont="1" applyFill="1" applyBorder="1" applyProtection="1"/>
    <xf numFmtId="0" fontId="16" fillId="0" borderId="52" xfId="0" applyFont="1" applyFill="1" applyBorder="1" applyAlignment="1" applyProtection="1">
      <protection locked="0"/>
    </xf>
    <xf numFmtId="0" fontId="0" fillId="0" borderId="0" xfId="0"/>
    <xf numFmtId="0" fontId="0" fillId="0" borderId="0" xfId="0" applyProtection="1"/>
    <xf numFmtId="0" fontId="0" fillId="0" borderId="0" xfId="0" applyFont="1" applyFill="1" applyAlignment="1" applyProtection="1">
      <alignment horizontal="left"/>
    </xf>
    <xf numFmtId="0" fontId="1" fillId="0" borderId="0" xfId="0" applyFont="1" applyFill="1" applyAlignment="1" applyProtection="1"/>
    <xf numFmtId="0" fontId="1" fillId="0" borderId="0" xfId="0" applyFont="1" applyFill="1" applyAlignment="1" applyProtection="1">
      <alignment vertical="top"/>
    </xf>
    <xf numFmtId="14" fontId="3" fillId="0" borderId="290" xfId="0" applyNumberFormat="1" applyFont="1" applyFill="1" applyBorder="1" applyAlignment="1" applyProtection="1">
      <alignment vertical="center"/>
      <protection locked="0"/>
    </xf>
    <xf numFmtId="0" fontId="0" fillId="0" borderId="331" xfId="0" applyFont="1" applyBorder="1" applyAlignment="1" applyProtection="1">
      <alignment horizontal="center"/>
      <protection locked="0"/>
    </xf>
    <xf numFmtId="0" fontId="16" fillId="0" borderId="331" xfId="0" applyFont="1" applyFill="1" applyBorder="1" applyAlignment="1" applyProtection="1">
      <alignment horizontal="left" wrapText="1"/>
      <protection locked="0"/>
    </xf>
    <xf numFmtId="44" fontId="41" fillId="0" borderId="376" xfId="0" applyNumberFormat="1" applyFont="1" applyFill="1" applyBorder="1" applyAlignment="1" applyProtection="1">
      <alignment vertical="center"/>
    </xf>
    <xf numFmtId="42" fontId="23" fillId="0" borderId="249" xfId="0" applyNumberFormat="1" applyFont="1" applyFill="1" applyBorder="1" applyAlignment="1" applyProtection="1">
      <alignment vertical="center"/>
    </xf>
    <xf numFmtId="42" fontId="23" fillId="0" borderId="254" xfId="0" applyNumberFormat="1" applyFont="1" applyFill="1" applyBorder="1" applyAlignment="1" applyProtection="1">
      <alignment vertical="center"/>
    </xf>
    <xf numFmtId="42" fontId="23" fillId="0" borderId="325" xfId="0" applyNumberFormat="1" applyFont="1" applyFill="1" applyBorder="1" applyAlignment="1" applyProtection="1">
      <alignment vertical="center" wrapText="1"/>
    </xf>
    <xf numFmtId="10" fontId="16" fillId="0" borderId="274" xfId="0" applyNumberFormat="1" applyFont="1" applyFill="1" applyBorder="1" applyAlignment="1" applyProtection="1">
      <protection locked="0"/>
    </xf>
    <xf numFmtId="10" fontId="16" fillId="0" borderId="269" xfId="0" applyNumberFormat="1" applyFont="1" applyFill="1" applyBorder="1" applyAlignment="1" applyProtection="1">
      <protection locked="0"/>
    </xf>
    <xf numFmtId="14" fontId="16" fillId="0" borderId="278" xfId="0" applyNumberFormat="1" applyFont="1" applyFill="1" applyBorder="1" applyAlignment="1" applyProtection="1">
      <protection locked="0"/>
    </xf>
    <xf numFmtId="14" fontId="16" fillId="0" borderId="234" xfId="0" applyNumberFormat="1" applyFont="1" applyBorder="1" applyProtection="1">
      <protection locked="0"/>
    </xf>
    <xf numFmtId="44" fontId="41" fillId="0" borderId="298" xfId="0" applyNumberFormat="1" applyFont="1" applyFill="1" applyBorder="1" applyProtection="1">
      <protection locked="0"/>
    </xf>
    <xf numFmtId="10" fontId="16" fillId="0" borderId="246" xfId="0" applyNumberFormat="1" applyFont="1" applyFill="1" applyBorder="1" applyAlignment="1" applyProtection="1">
      <protection locked="0"/>
    </xf>
    <xf numFmtId="10" fontId="16" fillId="0" borderId="251" xfId="0" applyNumberFormat="1" applyFont="1" applyFill="1" applyBorder="1" applyAlignment="1" applyProtection="1">
      <protection locked="0"/>
    </xf>
    <xf numFmtId="1" fontId="3" fillId="0" borderId="290" xfId="0" applyNumberFormat="1" applyFont="1" applyBorder="1" applyAlignment="1" applyProtection="1">
      <alignment vertical="center"/>
      <protection locked="0"/>
    </xf>
    <xf numFmtId="10" fontId="54" fillId="0" borderId="424" xfId="0" applyNumberFormat="1" applyFont="1" applyFill="1" applyBorder="1" applyProtection="1">
      <protection locked="0"/>
    </xf>
    <xf numFmtId="0" fontId="0" fillId="0" borderId="465" xfId="0" applyBorder="1" applyAlignment="1" applyProtection="1">
      <alignment vertical="top"/>
    </xf>
    <xf numFmtId="0" fontId="0" fillId="0" borderId="466"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4" xfId="0" applyBorder="1" applyAlignment="1" applyProtection="1">
      <alignment vertical="top"/>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6" fillId="0" borderId="6" xfId="0" quotePrefix="1"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4" xfId="0" applyFont="1" applyFill="1" applyBorder="1" applyAlignment="1" applyProtection="1"/>
    <xf numFmtId="0" fontId="2" fillId="7" borderId="451"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16" fontId="0" fillId="0" borderId="518" xfId="0" applyNumberFormat="1" applyFont="1" applyFill="1" applyBorder="1" applyProtection="1"/>
    <xf numFmtId="16" fontId="1" fillId="0" borderId="494" xfId="0" applyNumberFormat="1" applyFont="1" applyFill="1" applyBorder="1" applyProtection="1"/>
    <xf numFmtId="16" fontId="1" fillId="0" borderId="519" xfId="0" applyNumberFormat="1" applyFont="1" applyFill="1" applyBorder="1" applyProtection="1"/>
    <xf numFmtId="16" fontId="0" fillId="0" borderId="510" xfId="0" applyNumberFormat="1" applyFont="1" applyFill="1" applyBorder="1" applyProtection="1"/>
    <xf numFmtId="16" fontId="1" fillId="0" borderId="498" xfId="0" applyNumberFormat="1" applyFont="1" applyFill="1" applyBorder="1" applyProtection="1"/>
    <xf numFmtId="16" fontId="1" fillId="0" borderId="521" xfId="0" applyNumberFormat="1" applyFont="1" applyFill="1" applyBorder="1" applyProtection="1"/>
    <xf numFmtId="16" fontId="1" fillId="0" borderId="510" xfId="0" applyNumberFormat="1" applyFont="1" applyFill="1" applyBorder="1" applyProtection="1"/>
    <xf numFmtId="16" fontId="1" fillId="0" borderId="523" xfId="0" applyNumberFormat="1" applyFont="1" applyFill="1" applyBorder="1" applyProtection="1"/>
    <xf numFmtId="16" fontId="1" fillId="0" borderId="501" xfId="0" applyNumberFormat="1" applyFont="1" applyFill="1" applyBorder="1" applyProtection="1"/>
    <xf numFmtId="16" fontId="1" fillId="0" borderId="524" xfId="0" applyNumberFormat="1" applyFont="1" applyFill="1" applyBorder="1" applyProtection="1"/>
    <xf numFmtId="16" fontId="0" fillId="0" borderId="518" xfId="0" applyNumberFormat="1" applyFont="1" applyFill="1" applyBorder="1" applyAlignment="1" applyProtection="1"/>
    <xf numFmtId="16" fontId="0" fillId="0" borderId="494" xfId="0" applyNumberFormat="1" applyFont="1" applyFill="1" applyBorder="1" applyAlignment="1" applyProtection="1"/>
    <xf numFmtId="16" fontId="0" fillId="0" borderId="519" xfId="0" applyNumberFormat="1" applyFont="1" applyFill="1" applyBorder="1" applyAlignment="1" applyProtection="1"/>
    <xf numFmtId="16" fontId="0" fillId="0" borderId="498" xfId="0" applyNumberFormat="1" applyFont="1" applyFill="1" applyBorder="1" applyProtection="1"/>
    <xf numFmtId="16" fontId="0" fillId="0" borderId="521" xfId="0" applyNumberFormat="1" applyFont="1" applyFill="1" applyBorder="1" applyProtection="1"/>
    <xf numFmtId="0" fontId="15" fillId="0" borderId="510" xfId="0" applyFont="1" applyFill="1" applyBorder="1" applyProtection="1"/>
    <xf numFmtId="0" fontId="15" fillId="0" borderId="498" xfId="0" applyFont="1" applyFill="1" applyBorder="1" applyProtection="1"/>
    <xf numFmtId="0" fontId="15" fillId="0" borderId="521" xfId="0" applyFont="1" applyFill="1" applyBorder="1" applyProtection="1"/>
    <xf numFmtId="0" fontId="15" fillId="0" borderId="510" xfId="0" applyFont="1" applyFill="1" applyBorder="1" applyAlignment="1" applyProtection="1"/>
    <xf numFmtId="0" fontId="15" fillId="0" borderId="498" xfId="0" applyFont="1" applyFill="1" applyBorder="1" applyAlignment="1" applyProtection="1"/>
    <xf numFmtId="0" fontId="15" fillId="0" borderId="521" xfId="0" applyFont="1" applyFill="1" applyBorder="1" applyAlignment="1" applyProtection="1"/>
    <xf numFmtId="16" fontId="0" fillId="0" borderId="510" xfId="0" applyNumberFormat="1" applyFont="1" applyFill="1" applyBorder="1" applyAlignment="1" applyProtection="1"/>
    <xf numFmtId="16" fontId="1" fillId="0" borderId="498" xfId="0" applyNumberFormat="1" applyFont="1" applyFill="1" applyBorder="1" applyAlignment="1" applyProtection="1"/>
    <xf numFmtId="16" fontId="1" fillId="0" borderId="521" xfId="0" applyNumberFormat="1" applyFont="1" applyFill="1" applyBorder="1" applyAlignment="1" applyProtection="1"/>
    <xf numFmtId="0" fontId="15" fillId="0" borderId="523" xfId="0" applyFont="1" applyFill="1" applyBorder="1" applyAlignment="1" applyProtection="1"/>
    <xf numFmtId="0" fontId="15" fillId="0" borderId="501" xfId="0" applyFont="1" applyFill="1" applyBorder="1" applyAlignment="1" applyProtection="1"/>
    <xf numFmtId="0" fontId="15" fillId="0" borderId="524" xfId="0" applyFont="1" applyFill="1" applyBorder="1" applyAlignment="1" applyProtection="1"/>
    <xf numFmtId="16" fontId="1" fillId="0" borderId="518" xfId="0" applyNumberFormat="1" applyFont="1" applyFill="1" applyBorder="1" applyProtection="1"/>
    <xf numFmtId="16" fontId="1" fillId="0" borderId="500" xfId="0" applyNumberFormat="1" applyFont="1" applyFill="1" applyBorder="1" applyProtection="1"/>
    <xf numFmtId="16" fontId="1" fillId="0" borderId="502" xfId="0" applyNumberFormat="1" applyFont="1" applyFill="1" applyBorder="1" applyProtection="1"/>
    <xf numFmtId="16" fontId="1" fillId="0" borderId="506" xfId="0" applyNumberFormat="1" applyFont="1" applyFill="1" applyBorder="1" applyProtection="1"/>
    <xf numFmtId="16" fontId="1" fillId="0" borderId="479" xfId="0" applyNumberFormat="1" applyFont="1" applyFill="1" applyBorder="1" applyProtection="1"/>
    <xf numFmtId="16" fontId="1" fillId="0" borderId="480" xfId="0" applyNumberFormat="1" applyFont="1" applyFill="1" applyBorder="1" applyProtection="1"/>
    <xf numFmtId="16" fontId="1" fillId="0" borderId="499" xfId="0" applyNumberFormat="1" applyFont="1" applyFill="1" applyBorder="1" applyProtection="1"/>
    <xf numFmtId="16" fontId="0" fillId="0" borderId="511" xfId="0" applyNumberFormat="1" applyFont="1" applyFill="1" applyBorder="1" applyProtection="1"/>
    <xf numFmtId="16" fontId="1" fillId="0" borderId="512" xfId="0" applyNumberFormat="1" applyFont="1" applyFill="1" applyBorder="1" applyProtection="1"/>
    <xf numFmtId="16" fontId="1" fillId="0" borderId="513" xfId="0" applyNumberFormat="1" applyFont="1" applyFill="1" applyBorder="1" applyProtection="1"/>
    <xf numFmtId="16" fontId="0" fillId="0" borderId="494" xfId="0" applyNumberFormat="1" applyFont="1" applyFill="1" applyBorder="1" applyProtection="1"/>
    <xf numFmtId="16" fontId="0" fillId="0" borderId="519" xfId="0" applyNumberFormat="1" applyFont="1" applyFill="1" applyBorder="1" applyProtection="1"/>
    <xf numFmtId="16" fontId="1" fillId="0" borderId="497" xfId="0" applyNumberFormat="1" applyFont="1" applyFill="1" applyBorder="1" applyProtection="1"/>
    <xf numFmtId="16" fontId="0" fillId="0" borderId="497" xfId="0" applyNumberFormat="1" applyFont="1" applyFill="1" applyBorder="1" applyProtection="1"/>
    <xf numFmtId="16" fontId="24" fillId="0" borderId="497" xfId="0" applyNumberFormat="1" applyFont="1" applyFill="1" applyBorder="1" applyAlignment="1" applyProtection="1">
      <alignment vertical="top"/>
    </xf>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1" fillId="0" borderId="493" xfId="0" applyNumberFormat="1" applyFont="1" applyFill="1" applyBorder="1" applyProtection="1"/>
    <xf numFmtId="16" fontId="1" fillId="0" borderId="495" xfId="0" applyNumberFormat="1" applyFont="1" applyFill="1" applyBorder="1" applyProtection="1"/>
    <xf numFmtId="16" fontId="0" fillId="0" borderId="478" xfId="0" applyNumberFormat="1" applyFont="1" applyFill="1" applyBorder="1" applyProtection="1"/>
    <xf numFmtId="16" fontId="0" fillId="0" borderId="484" xfId="0" applyNumberFormat="1" applyFont="1" applyFill="1" applyBorder="1" applyProtection="1"/>
    <xf numFmtId="16" fontId="1" fillId="0" borderId="485" xfId="0" applyNumberFormat="1" applyFont="1" applyFill="1" applyBorder="1" applyProtection="1"/>
    <xf numFmtId="16" fontId="1" fillId="0" borderId="486" xfId="0" applyNumberFormat="1" applyFont="1" applyFill="1" applyBorder="1" applyProtection="1"/>
    <xf numFmtId="0" fontId="1" fillId="0" borderId="484" xfId="0" applyFont="1" applyFill="1" applyBorder="1" applyProtection="1"/>
    <xf numFmtId="0" fontId="1" fillId="0" borderId="485" xfId="0" applyFont="1" applyFill="1" applyBorder="1" applyProtection="1"/>
    <xf numFmtId="0" fontId="1" fillId="0" borderId="486" xfId="0" applyFont="1" applyFill="1" applyBorder="1" applyProtection="1"/>
    <xf numFmtId="0" fontId="0" fillId="0" borderId="484" xfId="0" applyFont="1" applyFill="1" applyBorder="1" applyProtection="1"/>
    <xf numFmtId="0" fontId="0" fillId="0" borderId="490" xfId="0" applyFont="1" applyFill="1" applyBorder="1" applyProtection="1"/>
    <xf numFmtId="0" fontId="1" fillId="0" borderId="491" xfId="0" applyFont="1" applyFill="1" applyBorder="1" applyProtection="1"/>
    <xf numFmtId="0" fontId="1" fillId="0" borderId="492" xfId="0" applyFont="1" applyFill="1" applyBorder="1" applyProtection="1"/>
    <xf numFmtId="16" fontId="0" fillId="0" borderId="493" xfId="0" applyNumberFormat="1" applyFont="1" applyFill="1" applyBorder="1" applyProtection="1"/>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0" fontId="77" fillId="16" borderId="0" xfId="0" applyFont="1" applyFill="1" applyBorder="1" applyAlignment="1" applyProtection="1"/>
    <xf numFmtId="0" fontId="1" fillId="0" borderId="0" xfId="0" applyFont="1" applyFill="1" applyBorder="1" applyProtection="1"/>
    <xf numFmtId="0" fontId="18" fillId="0" borderId="6" xfId="0" applyFont="1" applyFill="1" applyBorder="1" applyAlignment="1" applyProtection="1">
      <alignment horizontal="left"/>
      <protection locked="0"/>
    </xf>
    <xf numFmtId="0" fontId="0" fillId="0" borderId="6" xfId="0" applyFont="1" applyFill="1" applyBorder="1" applyAlignment="1" applyProtection="1">
      <alignment wrapText="1"/>
      <protection locked="0"/>
    </xf>
    <xf numFmtId="0" fontId="1" fillId="0" borderId="6" xfId="0" applyFont="1" applyFill="1" applyBorder="1" applyProtection="1">
      <protection locked="0"/>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44" fontId="23" fillId="0" borderId="399"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5" xfId="0" applyNumberFormat="1" applyFont="1" applyFill="1" applyBorder="1" applyAlignment="1" applyProtection="1">
      <alignment vertical="center"/>
      <protection locked="0"/>
    </xf>
    <xf numFmtId="44" fontId="23" fillId="0" borderId="359" xfId="0" applyNumberFormat="1" applyFont="1" applyFill="1" applyBorder="1" applyAlignment="1" applyProtection="1">
      <alignment vertical="center"/>
      <protection locked="0"/>
    </xf>
    <xf numFmtId="44" fontId="23" fillId="0" borderId="420"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10" fontId="23" fillId="0" borderId="399" xfId="0" applyNumberFormat="1" applyFont="1" applyFill="1" applyBorder="1" applyAlignment="1" applyProtection="1">
      <alignment horizontal="left" vertical="center"/>
      <protection locked="0"/>
    </xf>
    <xf numFmtId="44" fontId="23" fillId="0" borderId="255" xfId="0" applyNumberFormat="1" applyFont="1" applyFill="1" applyBorder="1" applyAlignment="1" applyProtection="1">
      <alignment horizontal="left" vertical="center"/>
      <protection locked="0"/>
    </xf>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4"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7" fillId="0" borderId="96"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6" fillId="8" borderId="261" xfId="0" applyFont="1" applyFill="1" applyBorder="1" applyAlignment="1" applyProtection="1"/>
    <xf numFmtId="0" fontId="16" fillId="8" borderId="564" xfId="0" applyFont="1" applyFill="1" applyBorder="1" applyAlignment="1" applyProtection="1"/>
    <xf numFmtId="0" fontId="16" fillId="8" borderId="229" xfId="0" applyFont="1" applyFill="1" applyBorder="1" applyAlignment="1" applyProtection="1"/>
    <xf numFmtId="0" fontId="16" fillId="8" borderId="230" xfId="0" applyFont="1" applyFill="1" applyBorder="1" applyAlignment="1" applyProtection="1"/>
    <xf numFmtId="0" fontId="17" fillId="0" borderId="564"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4"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20" fillId="16" borderId="233" xfId="0" applyFont="1" applyFill="1" applyBorder="1" applyAlignment="1" applyProtection="1">
      <alignment horizontal="center" vertical="center" wrapText="1"/>
    </xf>
    <xf numFmtId="0" fontId="20" fillId="16" borderId="81"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2" xfId="0" applyFont="1" applyFill="1" applyBorder="1" applyAlignment="1" applyProtection="1">
      <alignment horizontal="center" vertical="center"/>
    </xf>
    <xf numFmtId="0" fontId="20" fillId="16" borderId="5" xfId="0" applyFont="1" applyFill="1" applyBorder="1" applyAlignment="1" applyProtection="1">
      <alignment horizontal="center" vertical="center" wrapText="1"/>
    </xf>
    <xf numFmtId="0" fontId="17" fillId="0" borderId="77" xfId="0" applyFont="1" applyFill="1" applyBorder="1" applyAlignment="1" applyProtection="1">
      <alignment vertical="center"/>
    </xf>
    <xf numFmtId="0" fontId="20" fillId="16" borderId="12" xfId="0" applyFont="1" applyFill="1" applyBorder="1" applyAlignment="1" applyProtection="1">
      <alignment horizontal="center" vertical="center"/>
    </xf>
    <xf numFmtId="0" fontId="16" fillId="0" borderId="251" xfId="0" applyFont="1" applyFill="1" applyBorder="1" applyProtection="1">
      <protection locked="0"/>
    </xf>
    <xf numFmtId="0" fontId="16" fillId="0" borderId="590" xfId="0" applyFont="1" applyFill="1" applyBorder="1" applyProtection="1">
      <protection locked="0"/>
    </xf>
    <xf numFmtId="0" fontId="16" fillId="0" borderId="418" xfId="0" applyFont="1" applyFill="1" applyBorder="1" applyProtection="1">
      <protection locked="0"/>
    </xf>
    <xf numFmtId="0" fontId="16" fillId="0" borderId="435"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2"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4"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9" xfId="0" applyFont="1" applyFill="1" applyBorder="1" applyProtection="1">
      <protection locked="0"/>
    </xf>
    <xf numFmtId="0" fontId="0" fillId="0" borderId="254" xfId="0" applyFont="1" applyFill="1" applyBorder="1" applyProtection="1">
      <protection locked="0"/>
    </xf>
    <xf numFmtId="0" fontId="0" fillId="0" borderId="398"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4" xfId="0" applyNumberFormat="1" applyFont="1" applyFill="1" applyBorder="1" applyAlignment="1" applyProtection="1"/>
    <xf numFmtId="3" fontId="18" fillId="0" borderId="597" xfId="0" applyNumberFormat="1" applyFont="1" applyFill="1" applyBorder="1" applyAlignment="1" applyProtection="1"/>
    <xf numFmtId="3" fontId="18" fillId="16" borderId="163" xfId="0" applyNumberFormat="1" applyFont="1" applyFill="1" applyBorder="1" applyAlignment="1" applyProtection="1">
      <alignment horizontal="center" vertical="center"/>
    </xf>
    <xf numFmtId="3" fontId="18" fillId="16" borderId="444"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4"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4"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4"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59"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5"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4" xfId="0" applyNumberFormat="1" applyFont="1" applyFill="1" applyBorder="1" applyAlignment="1" applyProtection="1">
      <alignment horizontal="center" wrapText="1"/>
    </xf>
    <xf numFmtId="166" fontId="51" fillId="0" borderId="564"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1"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89" xfId="0" applyFont="1" applyFill="1" applyBorder="1" applyAlignment="1" applyProtection="1">
      <alignment wrapText="1"/>
      <protection locked="0"/>
    </xf>
    <xf numFmtId="44" fontId="41" fillId="0" borderId="358" xfId="0" applyNumberFormat="1" applyFont="1" applyFill="1" applyBorder="1" applyAlignment="1" applyProtection="1">
      <alignment horizontal="right" vertical="center"/>
      <protection locked="0"/>
    </xf>
    <xf numFmtId="44" fontId="41" fillId="0" borderId="359" xfId="0" applyNumberFormat="1" applyFont="1" applyFill="1" applyBorder="1" applyAlignment="1" applyProtection="1">
      <alignment horizontal="right" vertical="center"/>
      <protection locked="0"/>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49" fontId="41" fillId="0" borderId="357" xfId="0"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44" fontId="41" fillId="0" borderId="347"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2"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6"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1"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82"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83" xfId="0" applyFont="1" applyFill="1" applyBorder="1" applyAlignment="1" applyProtection="1">
      <alignment vertical="center"/>
      <protection locked="0"/>
    </xf>
    <xf numFmtId="0" fontId="41" fillId="0" borderId="594" xfId="0" applyFont="1" applyFill="1" applyBorder="1" applyAlignment="1" applyProtection="1">
      <alignment horizontal="left" vertical="center" indent="1"/>
    </xf>
    <xf numFmtId="0" fontId="41" fillId="0" borderId="593" xfId="0" applyFont="1" applyFill="1" applyBorder="1" applyAlignment="1" applyProtection="1">
      <alignment horizontal="left" vertical="center" indent="1"/>
    </xf>
    <xf numFmtId="0" fontId="41" fillId="0" borderId="596" xfId="0" applyFont="1" applyFill="1" applyBorder="1" applyAlignment="1" applyProtection="1">
      <alignment horizontal="left" vertical="center" indent="1"/>
    </xf>
    <xf numFmtId="0" fontId="41" fillId="0" borderId="595" xfId="0" applyFont="1" applyFill="1" applyBorder="1" applyAlignment="1" applyProtection="1">
      <alignment horizontal="left" vertical="center" indent="1"/>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1"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9"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6" fillId="0" borderId="52" xfId="0" applyFont="1" applyFill="1" applyBorder="1" applyAlignment="1" applyProtection="1">
      <alignment horizontal="left"/>
    </xf>
    <xf numFmtId="0" fontId="16" fillId="0" borderId="49" xfId="0" applyFont="1" applyFill="1" applyBorder="1" applyAlignment="1" applyProtection="1">
      <alignment horizontal="left"/>
    </xf>
    <xf numFmtId="0" fontId="15" fillId="6" borderId="6" xfId="0" applyFont="1" applyFill="1" applyBorder="1" applyAlignment="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2" fillId="0" borderId="77" xfId="0" applyFont="1" applyFill="1" applyBorder="1" applyProtection="1"/>
    <xf numFmtId="0" fontId="15" fillId="6" borderId="29" xfId="0" applyFont="1" applyFill="1" applyBorder="1" applyAlignment="1" applyProtection="1"/>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39" fillId="0" borderId="0" xfId="3" applyFont="1" applyFill="1" applyAlignment="1" applyProtection="1">
      <alignment horizontal="center" vertical="center" wrapText="1"/>
    </xf>
    <xf numFmtId="0" fontId="83" fillId="3" borderId="0" xfId="4" applyFont="1" applyFill="1" applyBorder="1" applyAlignment="1">
      <alignment horizontal="center"/>
    </xf>
    <xf numFmtId="0" fontId="81" fillId="16" borderId="15" xfId="4" applyFill="1" applyBorder="1" applyAlignment="1">
      <alignment wrapText="1"/>
    </xf>
    <xf numFmtId="0" fontId="81" fillId="16" borderId="19" xfId="4" applyFill="1" applyBorder="1" applyAlignment="1">
      <alignment wrapText="1"/>
    </xf>
    <xf numFmtId="0" fontId="81" fillId="16" borderId="21" xfId="4" applyFill="1" applyBorder="1" applyAlignment="1">
      <alignment wrapText="1"/>
    </xf>
    <xf numFmtId="0" fontId="81" fillId="16" borderId="25" xfId="4" applyFill="1" applyBorder="1" applyAlignment="1">
      <alignment wrapText="1"/>
    </xf>
    <xf numFmtId="0" fontId="81" fillId="16" borderId="0" xfId="4" applyFill="1" applyBorder="1" applyAlignment="1">
      <alignment wrapText="1"/>
    </xf>
    <xf numFmtId="0" fontId="81" fillId="16" borderId="26" xfId="4" applyFill="1" applyBorder="1" applyAlignment="1">
      <alignment wrapText="1"/>
    </xf>
    <xf numFmtId="0" fontId="81" fillId="16" borderId="16" xfId="4" applyFill="1" applyBorder="1" applyAlignment="1">
      <alignment wrapText="1"/>
    </xf>
    <xf numFmtId="0" fontId="81" fillId="16" borderId="6" xfId="4" applyFill="1" applyBorder="1" applyAlignment="1">
      <alignment wrapText="1"/>
    </xf>
    <xf numFmtId="0" fontId="81" fillId="16" borderId="22" xfId="4" applyFill="1" applyBorder="1" applyAlignment="1">
      <alignment wrapText="1"/>
    </xf>
    <xf numFmtId="0" fontId="72" fillId="5" borderId="19" xfId="4" applyFont="1" applyFill="1" applyBorder="1" applyAlignment="1">
      <alignment horizontal="center" wrapText="1"/>
    </xf>
    <xf numFmtId="0" fontId="0" fillId="0" borderId="0" xfId="0"/>
    <xf numFmtId="0" fontId="82" fillId="3" borderId="19" xfId="4" applyFont="1" applyFill="1" applyBorder="1" applyAlignment="1">
      <alignment horizontal="right" wrapText="1"/>
    </xf>
    <xf numFmtId="0" fontId="82" fillId="3" borderId="0" xfId="4" applyFont="1" applyFill="1" applyBorder="1" applyAlignment="1">
      <alignment horizontal="right" wrapText="1"/>
    </xf>
    <xf numFmtId="0" fontId="86" fillId="7" borderId="565" xfId="4" applyFont="1" applyFill="1" applyBorder="1"/>
    <xf numFmtId="0" fontId="86" fillId="7" borderId="566" xfId="4" applyFont="1" applyFill="1" applyBorder="1"/>
    <xf numFmtId="0" fontId="86" fillId="7" borderId="567" xfId="4" applyFont="1" applyFill="1" applyBorder="1"/>
    <xf numFmtId="0" fontId="81" fillId="38" borderId="565" xfId="4" applyFont="1" applyFill="1" applyBorder="1" applyAlignment="1">
      <alignment horizontal="left"/>
    </xf>
    <xf numFmtId="0" fontId="81" fillId="38" borderId="567" xfId="4" applyFont="1" applyFill="1" applyBorder="1" applyAlignment="1">
      <alignment horizontal="left"/>
    </xf>
    <xf numFmtId="0" fontId="72" fillId="3" borderId="0" xfId="4" applyFont="1" applyFill="1" applyBorder="1" applyAlignment="1">
      <alignment wrapText="1"/>
    </xf>
    <xf numFmtId="0" fontId="81" fillId="38" borderId="565" xfId="4" applyFont="1" applyFill="1" applyBorder="1" applyAlignment="1" applyProtection="1">
      <alignment horizontal="left"/>
      <protection locked="0"/>
    </xf>
    <xf numFmtId="0" fontId="81" fillId="38" borderId="566" xfId="4" applyFont="1" applyFill="1" applyBorder="1" applyAlignment="1" applyProtection="1">
      <alignment horizontal="left"/>
      <protection locked="0"/>
    </xf>
    <xf numFmtId="0" fontId="81" fillId="38" borderId="567" xfId="4" applyFont="1" applyFill="1" applyBorder="1" applyAlignment="1" applyProtection="1">
      <alignment horizontal="left"/>
      <protection locked="0"/>
    </xf>
    <xf numFmtId="0" fontId="81" fillId="38" borderId="566" xfId="4" applyFont="1" applyFill="1" applyBorder="1" applyAlignment="1">
      <alignment horizontal="left"/>
    </xf>
    <xf numFmtId="0" fontId="81" fillId="7" borderId="565" xfId="4" applyFont="1" applyFill="1" applyBorder="1" applyAlignment="1">
      <alignment horizontal="left"/>
    </xf>
    <xf numFmtId="0" fontId="81" fillId="7" borderId="566" xfId="4" applyFont="1" applyFill="1" applyBorder="1" applyAlignment="1">
      <alignment horizontal="left"/>
    </xf>
    <xf numFmtId="0" fontId="81" fillId="7" borderId="567" xfId="4" applyFont="1" applyFill="1" applyBorder="1" applyAlignment="1">
      <alignment horizontal="left"/>
    </xf>
    <xf numFmtId="44" fontId="81" fillId="38" borderId="565" xfId="4" applyNumberFormat="1" applyFont="1" applyFill="1" applyBorder="1" applyAlignment="1">
      <alignment horizontal="left"/>
    </xf>
    <xf numFmtId="44" fontId="81" fillId="38" borderId="566" xfId="4" applyNumberFormat="1" applyFont="1" applyFill="1" applyBorder="1" applyAlignment="1">
      <alignment horizontal="left"/>
    </xf>
    <xf numFmtId="44" fontId="81" fillId="38" borderId="567" xfId="4" applyNumberFormat="1" applyFont="1" applyFill="1" applyBorder="1" applyAlignment="1">
      <alignment horizontal="left"/>
    </xf>
    <xf numFmtId="0" fontId="80" fillId="38" borderId="565" xfId="4" applyFont="1" applyFill="1" applyBorder="1" applyAlignment="1">
      <alignment horizontal="center"/>
    </xf>
    <xf numFmtId="0" fontId="80" fillId="38" borderId="566" xfId="4" applyFont="1" applyFill="1" applyBorder="1" applyAlignment="1">
      <alignment horizontal="center"/>
    </xf>
    <xf numFmtId="0" fontId="80" fillId="38" borderId="567" xfId="4" applyFont="1" applyFill="1" applyBorder="1" applyAlignment="1">
      <alignment horizontal="center"/>
    </xf>
    <xf numFmtId="171" fontId="80" fillId="38" borderId="565" xfId="4" applyNumberFormat="1" applyFont="1" applyFill="1" applyBorder="1" applyAlignment="1"/>
    <xf numFmtId="171" fontId="80" fillId="38" borderId="567" xfId="4" applyNumberFormat="1" applyFont="1" applyFill="1" applyBorder="1" applyAlignment="1"/>
    <xf numFmtId="0" fontId="80" fillId="38" borderId="565" xfId="4" applyFont="1" applyFill="1" applyBorder="1" applyAlignment="1"/>
    <xf numFmtId="0" fontId="80" fillId="38" borderId="566" xfId="4" applyFont="1" applyFill="1" applyBorder="1" applyAlignment="1"/>
    <xf numFmtId="0" fontId="80" fillId="38" borderId="567" xfId="4" applyFont="1" applyFill="1" applyBorder="1" applyAlignment="1"/>
    <xf numFmtId="171" fontId="81" fillId="38" borderId="565" xfId="4" applyNumberFormat="1" applyFont="1" applyFill="1" applyBorder="1" applyAlignment="1"/>
    <xf numFmtId="171" fontId="81" fillId="38" borderId="567" xfId="4" applyNumberFormat="1" applyFont="1" applyFill="1" applyBorder="1" applyAlignment="1"/>
    <xf numFmtId="0" fontId="80" fillId="38" borderId="565" xfId="4" applyFont="1" applyFill="1" applyBorder="1" applyAlignment="1">
      <alignment horizontal="right"/>
    </xf>
    <xf numFmtId="0" fontId="80" fillId="38" borderId="566" xfId="4" applyFont="1" applyFill="1" applyBorder="1" applyAlignment="1">
      <alignment horizontal="right"/>
    </xf>
    <xf numFmtId="0" fontId="80" fillId="38" borderId="567" xfId="4" applyFont="1" applyFill="1" applyBorder="1" applyAlignment="1">
      <alignment horizontal="right"/>
    </xf>
    <xf numFmtId="37" fontId="80" fillId="38" borderId="565" xfId="4" applyNumberFormat="1" applyFont="1" applyFill="1" applyBorder="1" applyAlignment="1">
      <alignment horizontal="right"/>
    </xf>
    <xf numFmtId="37" fontId="80" fillId="38" borderId="566" xfId="4" applyNumberFormat="1" applyFont="1" applyFill="1" applyBorder="1" applyAlignment="1">
      <alignment horizontal="right"/>
    </xf>
    <xf numFmtId="37" fontId="80" fillId="38" borderId="567" xfId="4" applyNumberFormat="1" applyFont="1" applyFill="1" applyBorder="1" applyAlignment="1">
      <alignment horizontal="right"/>
    </xf>
    <xf numFmtId="0" fontId="86" fillId="38" borderId="565" xfId="4" applyFont="1" applyFill="1" applyBorder="1" applyAlignment="1">
      <alignment horizontal="left"/>
    </xf>
    <xf numFmtId="0" fontId="86" fillId="38" borderId="567" xfId="4" applyFont="1" applyFill="1" applyBorder="1" applyAlignment="1">
      <alignment horizontal="left"/>
    </xf>
    <xf numFmtId="37" fontId="80" fillId="38" borderId="603" xfId="4" applyNumberFormat="1" applyFont="1" applyFill="1" applyBorder="1" applyAlignment="1">
      <alignment horizontal="left" vertical="center" wrapText="1"/>
    </xf>
    <xf numFmtId="37" fontId="80" fillId="38" borderId="604" xfId="4" applyNumberFormat="1" applyFont="1" applyFill="1" applyBorder="1" applyAlignment="1">
      <alignment horizontal="left" vertical="center" wrapText="1"/>
    </xf>
    <xf numFmtId="37" fontId="80" fillId="38" borderId="605" xfId="4" applyNumberFormat="1" applyFont="1" applyFill="1" applyBorder="1" applyAlignment="1">
      <alignment horizontal="left" vertical="center" wrapText="1"/>
    </xf>
    <xf numFmtId="37" fontId="80" fillId="38" borderId="606" xfId="4" applyNumberFormat="1" applyFont="1" applyFill="1" applyBorder="1" applyAlignment="1">
      <alignment horizontal="left" vertical="center" wrapText="1"/>
    </xf>
    <xf numFmtId="37" fontId="80" fillId="38" borderId="607" xfId="4" applyNumberFormat="1" applyFont="1" applyFill="1" applyBorder="1" applyAlignment="1">
      <alignment horizontal="left" vertical="center" wrapText="1"/>
    </xf>
    <xf numFmtId="37" fontId="80" fillId="38" borderId="608" xfId="4" applyNumberFormat="1" applyFont="1" applyFill="1" applyBorder="1" applyAlignment="1">
      <alignment horizontal="left" vertical="center" wrapText="1"/>
    </xf>
    <xf numFmtId="37" fontId="80" fillId="38" borderId="565" xfId="4" applyNumberFormat="1" applyFont="1" applyFill="1" applyBorder="1" applyAlignment="1">
      <alignment horizontal="left"/>
    </xf>
    <xf numFmtId="37" fontId="80" fillId="38" borderId="566" xfId="4" applyNumberFormat="1" applyFont="1" applyFill="1" applyBorder="1" applyAlignment="1">
      <alignment horizontal="left"/>
    </xf>
    <xf numFmtId="37" fontId="80" fillId="38" borderId="567" xfId="4" applyNumberFormat="1" applyFont="1" applyFill="1" applyBorder="1" applyAlignment="1">
      <alignment horizontal="left"/>
    </xf>
    <xf numFmtId="0" fontId="81" fillId="38" borderId="565" xfId="4" applyFont="1" applyFill="1" applyBorder="1" applyAlignment="1"/>
    <xf numFmtId="0" fontId="81" fillId="38" borderId="566" xfId="4" applyFont="1" applyFill="1" applyBorder="1" applyAlignment="1"/>
    <xf numFmtId="0" fontId="81" fillId="38" borderId="567" xfId="4" applyFont="1" applyFill="1" applyBorder="1" applyAlignment="1"/>
    <xf numFmtId="0" fontId="81" fillId="5" borderId="0" xfId="4" applyFont="1" applyFill="1" applyBorder="1" applyAlignment="1">
      <alignment wrapText="1"/>
    </xf>
    <xf numFmtId="0" fontId="72" fillId="5" borderId="0" xfId="4" applyFont="1" applyFill="1" applyBorder="1" applyAlignment="1"/>
    <xf numFmtId="0" fontId="90" fillId="7" borderId="603" xfId="4" applyFont="1" applyFill="1" applyBorder="1" applyAlignment="1">
      <alignment horizontal="center" vertical="top" wrapText="1"/>
    </xf>
    <xf numFmtId="0" fontId="90" fillId="7" borderId="604" xfId="4" applyFont="1" applyFill="1" applyBorder="1" applyAlignment="1">
      <alignment horizontal="center" vertical="top" wrapText="1"/>
    </xf>
    <xf numFmtId="0" fontId="90" fillId="7" borderId="605" xfId="4" applyFont="1" applyFill="1" applyBorder="1" applyAlignment="1">
      <alignment horizontal="center" vertical="top" wrapText="1"/>
    </xf>
    <xf numFmtId="0" fontId="90" fillId="7" borderId="606" xfId="4" applyFont="1" applyFill="1" applyBorder="1" applyAlignment="1">
      <alignment horizontal="center" vertical="top" wrapText="1"/>
    </xf>
    <xf numFmtId="0" fontId="90" fillId="7" borderId="607" xfId="4" applyFont="1" applyFill="1" applyBorder="1" applyAlignment="1">
      <alignment horizontal="center" vertical="top" wrapText="1"/>
    </xf>
    <xf numFmtId="0" fontId="90" fillId="7" borderId="608" xfId="4" applyFont="1" applyFill="1" applyBorder="1" applyAlignment="1">
      <alignment horizontal="center" vertical="top" wrapText="1"/>
    </xf>
    <xf numFmtId="0" fontId="90" fillId="7" borderId="565" xfId="4" applyFont="1" applyFill="1" applyBorder="1" applyAlignment="1">
      <alignment horizontal="left"/>
    </xf>
    <xf numFmtId="0" fontId="90" fillId="7" borderId="567" xfId="4" applyFont="1" applyFill="1" applyBorder="1" applyAlignment="1">
      <alignment horizontal="left"/>
    </xf>
    <xf numFmtId="171" fontId="80" fillId="38" borderId="565" xfId="4" applyNumberFormat="1" applyFont="1" applyFill="1" applyBorder="1" applyAlignment="1">
      <alignment horizontal="left"/>
    </xf>
    <xf numFmtId="171" fontId="80" fillId="38" borderId="566" xfId="4" applyNumberFormat="1" applyFont="1" applyFill="1" applyBorder="1" applyAlignment="1">
      <alignment horizontal="left"/>
    </xf>
    <xf numFmtId="171" fontId="80" fillId="38" borderId="567" xfId="4" applyNumberFormat="1" applyFont="1" applyFill="1" applyBorder="1" applyAlignment="1">
      <alignment horizontal="left"/>
    </xf>
    <xf numFmtId="0" fontId="86" fillId="3" borderId="0" xfId="4" applyFont="1" applyFill="1" applyBorder="1" applyAlignment="1"/>
    <xf numFmtId="165" fontId="80" fillId="5" borderId="565" xfId="2" applyNumberFormat="1" applyFont="1" applyFill="1" applyBorder="1" applyAlignment="1">
      <alignment horizontal="right"/>
    </xf>
    <xf numFmtId="165" fontId="80" fillId="5" borderId="566" xfId="2" applyNumberFormat="1" applyFont="1" applyFill="1" applyBorder="1" applyAlignment="1">
      <alignment horizontal="right"/>
    </xf>
    <xf numFmtId="165" fontId="80" fillId="5" borderId="567" xfId="2" applyNumberFormat="1" applyFont="1" applyFill="1" applyBorder="1" applyAlignment="1">
      <alignment horizontal="right"/>
    </xf>
    <xf numFmtId="0" fontId="72" fillId="3" borderId="0" xfId="4" applyFont="1" applyFill="1" applyBorder="1" applyAlignment="1">
      <alignment horizontal="left" wrapText="1"/>
    </xf>
    <xf numFmtId="42" fontId="80" fillId="7" borderId="565" xfId="4" applyNumberFormat="1" applyFont="1" applyFill="1" applyBorder="1" applyAlignment="1">
      <alignment horizontal="center"/>
    </xf>
    <xf numFmtId="0" fontId="80" fillId="7" borderId="566" xfId="4" applyFont="1" applyFill="1" applyBorder="1" applyAlignment="1">
      <alignment horizontal="center"/>
    </xf>
    <xf numFmtId="0" fontId="80" fillId="7" borderId="567" xfId="4" applyFont="1" applyFill="1" applyBorder="1" applyAlignment="1">
      <alignment horizontal="center"/>
    </xf>
    <xf numFmtId="0" fontId="83" fillId="3" borderId="0" xfId="4" applyFont="1" applyFill="1" applyBorder="1" applyAlignment="1" applyProtection="1">
      <alignment horizontal="center"/>
    </xf>
    <xf numFmtId="0" fontId="81" fillId="34" borderId="572"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3"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81" fillId="34" borderId="574" xfId="4" applyFont="1" applyFill="1" applyBorder="1" applyAlignment="1" applyProtection="1">
      <alignment horizontal="left" vertical="center" wrapText="1"/>
    </xf>
    <xf numFmtId="0" fontId="81" fillId="34" borderId="575" xfId="4" applyFont="1" applyFill="1" applyBorder="1" applyAlignment="1" applyProtection="1">
      <alignment horizontal="left" vertical="center" wrapText="1"/>
    </xf>
    <xf numFmtId="0" fontId="81" fillId="34" borderId="576" xfId="4" applyFont="1" applyFill="1" applyBorder="1" applyAlignment="1" applyProtection="1">
      <alignment horizontal="left" vertical="center" wrapText="1"/>
    </xf>
    <xf numFmtId="0" fontId="72" fillId="5" borderId="0" xfId="4" applyFont="1" applyFill="1" applyBorder="1" applyAlignment="1" applyProtection="1">
      <alignment horizontal="center" wrapText="1"/>
    </xf>
    <xf numFmtId="0" fontId="0" fillId="0" borderId="0" xfId="0" applyProtection="1"/>
    <xf numFmtId="0" fontId="82" fillId="3" borderId="0" xfId="4" applyFont="1" applyFill="1" applyBorder="1" applyAlignment="1" applyProtection="1">
      <alignment horizontal="right" wrapText="1"/>
    </xf>
    <xf numFmtId="0" fontId="86" fillId="34" borderId="577" xfId="4" applyFont="1" applyFill="1" applyBorder="1" applyProtection="1">
      <protection locked="0"/>
    </xf>
    <xf numFmtId="0" fontId="86" fillId="34" borderId="578" xfId="4" applyFont="1" applyFill="1" applyBorder="1" applyProtection="1">
      <protection locked="0"/>
    </xf>
    <xf numFmtId="0" fontId="86" fillId="34" borderId="579" xfId="4" applyFont="1" applyFill="1" applyBorder="1" applyProtection="1">
      <protection locked="0"/>
    </xf>
    <xf numFmtId="0" fontId="101" fillId="3" borderId="575" xfId="4" applyFont="1" applyFill="1" applyBorder="1" applyAlignment="1" applyProtection="1">
      <alignment horizontal="right"/>
    </xf>
    <xf numFmtId="0" fontId="0" fillId="0" borderId="575" xfId="0" applyBorder="1" applyAlignment="1" applyProtection="1">
      <alignment horizontal="right"/>
    </xf>
    <xf numFmtId="0" fontId="0" fillId="0" borderId="576" xfId="0" applyBorder="1" applyAlignment="1" applyProtection="1">
      <alignment horizontal="right"/>
    </xf>
    <xf numFmtId="0" fontId="81" fillId="34" borderId="577" xfId="4" applyFont="1" applyFill="1" applyBorder="1" applyAlignment="1" applyProtection="1">
      <alignment horizontal="left"/>
      <protection locked="0"/>
    </xf>
    <xf numFmtId="0" fontId="81" fillId="34" borderId="579" xfId="4" applyFont="1" applyFill="1" applyBorder="1" applyAlignment="1" applyProtection="1">
      <alignment horizontal="left"/>
      <protection locked="0"/>
    </xf>
    <xf numFmtId="0" fontId="72" fillId="3" borderId="0" xfId="4" applyFont="1" applyFill="1" applyBorder="1" applyAlignment="1" applyProtection="1">
      <alignment horizontal="left" wrapText="1"/>
    </xf>
    <xf numFmtId="0" fontId="81" fillId="34" borderId="578" xfId="4" applyFont="1" applyFill="1" applyBorder="1" applyAlignment="1" applyProtection="1">
      <alignment horizontal="left"/>
      <protection locked="0"/>
    </xf>
    <xf numFmtId="0" fontId="0" fillId="0" borderId="0" xfId="0" applyAlignment="1" applyProtection="1">
      <alignment horizontal="left" vertical="center" wrapText="1"/>
    </xf>
    <xf numFmtId="0" fontId="0" fillId="0" borderId="0" xfId="0" applyAlignment="1" applyProtection="1">
      <alignment wrapText="1"/>
    </xf>
    <xf numFmtId="0" fontId="72" fillId="3" borderId="0" xfId="4" applyFont="1" applyFill="1" applyBorder="1" applyAlignment="1" applyProtection="1">
      <alignment wrapText="1"/>
    </xf>
    <xf numFmtId="171" fontId="80" fillId="35" borderId="577" xfId="4" applyNumberFormat="1" applyFont="1" applyFill="1" applyBorder="1" applyAlignment="1" applyProtection="1">
      <alignment horizontal="left"/>
      <protection locked="0"/>
    </xf>
    <xf numFmtId="171" fontId="80" fillId="35" borderId="579" xfId="4" applyNumberFormat="1" applyFont="1" applyFill="1" applyBorder="1" applyAlignment="1" applyProtection="1">
      <alignment horizontal="left"/>
      <protection locked="0"/>
    </xf>
    <xf numFmtId="171" fontId="80" fillId="34" borderId="577" xfId="4" applyNumberFormat="1" applyFont="1" applyFill="1" applyBorder="1" applyAlignment="1" applyProtection="1">
      <alignment horizontal="left"/>
    </xf>
    <xf numFmtId="171" fontId="80" fillId="34" borderId="579" xfId="4" applyNumberFormat="1" applyFont="1" applyFill="1" applyBorder="1" applyAlignment="1" applyProtection="1">
      <alignment horizontal="left"/>
    </xf>
    <xf numFmtId="9" fontId="80" fillId="34" borderId="577" xfId="4" applyNumberFormat="1" applyFont="1" applyFill="1" applyBorder="1" applyAlignment="1" applyProtection="1">
      <alignment horizontal="right"/>
    </xf>
    <xf numFmtId="9" fontId="80" fillId="34" borderId="579" xfId="4" applyNumberFormat="1" applyFont="1" applyFill="1" applyBorder="1" applyAlignment="1" applyProtection="1">
      <alignment horizontal="right"/>
    </xf>
    <xf numFmtId="10" fontId="80" fillId="34" borderId="577" xfId="2" applyNumberFormat="1" applyFont="1" applyFill="1" applyBorder="1" applyAlignment="1" applyProtection="1">
      <alignment horizontal="right"/>
    </xf>
    <xf numFmtId="10" fontId="80" fillId="34" borderId="579" xfId="2" applyNumberFormat="1" applyFont="1" applyFill="1" applyBorder="1" applyAlignment="1" applyProtection="1">
      <alignment horizontal="right"/>
    </xf>
    <xf numFmtId="0" fontId="86" fillId="16" borderId="600" xfId="4" applyFont="1" applyFill="1" applyBorder="1" applyAlignment="1" applyProtection="1">
      <alignment horizontal="left"/>
      <protection locked="0"/>
    </xf>
    <xf numFmtId="0" fontId="86" fillId="16" borderId="601" xfId="4" applyFont="1" applyFill="1" applyBorder="1" applyAlignment="1" applyProtection="1">
      <alignment horizontal="left"/>
      <protection locked="0"/>
    </xf>
    <xf numFmtId="0" fontId="81" fillId="37" borderId="577" xfId="4" applyFont="1" applyFill="1" applyBorder="1" applyAlignment="1" applyProtection="1">
      <alignment horizontal="left" vertical="top" wrapText="1"/>
    </xf>
    <xf numFmtId="0" fontId="81" fillId="37" borderId="578" xfId="4" applyFont="1" applyFill="1" applyBorder="1" applyAlignment="1" applyProtection="1">
      <alignment horizontal="left" vertical="top"/>
    </xf>
    <xf numFmtId="0" fontId="81" fillId="37" borderId="579" xfId="4" applyFont="1" applyFill="1" applyBorder="1" applyAlignment="1" applyProtection="1">
      <alignment horizontal="left" vertical="top"/>
    </xf>
  </cellXfs>
  <cellStyles count="7">
    <cellStyle name="Currency" xfId="1" builtinId="4"/>
    <cellStyle name="Hyperlink" xfId="5" builtinId="8"/>
    <cellStyle name="Normal" xfId="0" builtinId="0"/>
    <cellStyle name="Normal 2 3" xfId="3"/>
    <cellStyle name="Normal 3 2" xfId="6"/>
    <cellStyle name="Normal_LIHTC Allocation scoring synopsis" xfId="4"/>
    <cellStyle name="Percent" xfId="2" builtinId="5"/>
  </cellStyles>
  <dxfs count="155">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auto="1"/>
      </font>
      <fill>
        <patternFill patternType="darkGray"/>
      </fill>
    </dxf>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color rgb="FF990000"/>
      </font>
      <fill>
        <patternFill>
          <bgColor theme="5" tint="0.79998168889431442"/>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2" defaultPivotStyle="PivotStyleLight16"/>
  <colors>
    <mruColors>
      <color rgb="FFFFFFCC"/>
      <color rgb="FF9C6500"/>
      <color rgb="FFFFEB9C"/>
      <color rgb="FFCCFFCC"/>
      <color rgb="FF66FFFF"/>
      <color rgb="FF996600"/>
      <color rgb="FFCCECFF"/>
      <color rgb="FF31869B"/>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Documents/ESDS-v3.0.4.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144</xdr:row>
      <xdr:rowOff>0</xdr:rowOff>
    </xdr:from>
    <xdr:to>
      <xdr:col>7</xdr:col>
      <xdr:colOff>1200150</xdr:colOff>
      <xdr:row>153</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9</xdr:row>
      <xdr:rowOff>152400</xdr:rowOff>
    </xdr:to>
    <xdr:sp macro="" textlink="">
      <xdr:nvSpPr>
        <xdr:cNvPr id="2" name="TextBox 1"/>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m\AppData\Local\Microsoft\Windows\INetCache\Content.Outlook\BT09LJSK\hfu-evergreen-3-checklist-%20FC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3.0"/>
      <sheetName val="ESDS-Reference Table"/>
      <sheetName val="ESDS-Lookup Table"/>
    </sheetNames>
    <sheetDataSet>
      <sheetData sheetId="0"/>
      <sheetData sheetId="1">
        <row r="1">
          <cell r="F1" t="str">
            <v>Criterion</v>
          </cell>
          <cell r="G1" t="str">
            <v>v3.0 Points</v>
          </cell>
          <cell r="H1" t="str">
            <v>Region</v>
          </cell>
          <cell r="I1" t="str">
            <v>Type</v>
          </cell>
        </row>
        <row r="2">
          <cell r="F2" t="str">
            <v>1.1A</v>
          </cell>
          <cell r="G2" t="str">
            <v>Mandatory</v>
          </cell>
          <cell r="H2" t="str">
            <v>Urban</v>
          </cell>
          <cell r="I2" t="str">
            <v>New Construction</v>
          </cell>
        </row>
        <row r="3">
          <cell r="F3" t="str">
            <v>1.1B</v>
          </cell>
          <cell r="G3" t="str">
            <v>0,2,4,6,8 or 10</v>
          </cell>
          <cell r="H3" t="str">
            <v>Urban</v>
          </cell>
          <cell r="I3" t="str">
            <v>New Construction</v>
          </cell>
        </row>
        <row r="4">
          <cell r="F4">
            <v>1.2</v>
          </cell>
          <cell r="G4" t="str">
            <v>up to 3</v>
          </cell>
          <cell r="H4" t="str">
            <v>Urban</v>
          </cell>
          <cell r="I4" t="str">
            <v>New Construction</v>
          </cell>
        </row>
        <row r="5">
          <cell r="F5" t="str">
            <v>1.3A</v>
          </cell>
          <cell r="G5" t="str">
            <v>Mandatory</v>
          </cell>
          <cell r="H5" t="str">
            <v>Urban</v>
          </cell>
          <cell r="I5" t="str">
            <v>New Construction</v>
          </cell>
        </row>
        <row r="6">
          <cell r="F6" t="str">
            <v>1.3B</v>
          </cell>
          <cell r="G6" t="str">
            <v>up to 12 (2 point increments)</v>
          </cell>
          <cell r="H6" t="str">
            <v>Urban</v>
          </cell>
          <cell r="I6" t="str">
            <v>New Construction</v>
          </cell>
        </row>
        <row r="7">
          <cell r="F7">
            <v>1.4</v>
          </cell>
          <cell r="G7" t="str">
            <v>0,3 or 6</v>
          </cell>
          <cell r="H7" t="str">
            <v>Urban</v>
          </cell>
          <cell r="I7" t="str">
            <v>New Construction</v>
          </cell>
        </row>
        <row r="8">
          <cell r="F8">
            <v>2.1</v>
          </cell>
          <cell r="G8" t="str">
            <v>Mandatory</v>
          </cell>
          <cell r="H8" t="str">
            <v>Urban</v>
          </cell>
          <cell r="I8" t="str">
            <v>New Construction</v>
          </cell>
        </row>
        <row r="9">
          <cell r="F9">
            <v>2.2000000000000002</v>
          </cell>
          <cell r="G9" t="str">
            <v>Mandatory</v>
          </cell>
          <cell r="H9" t="str">
            <v>Urban</v>
          </cell>
          <cell r="I9" t="str">
            <v>New Construction</v>
          </cell>
        </row>
        <row r="10">
          <cell r="F10">
            <v>2.2999999999999998</v>
          </cell>
          <cell r="G10" t="str">
            <v>Mandatory</v>
          </cell>
          <cell r="H10" t="str">
            <v>Urban</v>
          </cell>
          <cell r="I10" t="str">
            <v>New Construction</v>
          </cell>
        </row>
        <row r="11">
          <cell r="F11">
            <v>2.4</v>
          </cell>
          <cell r="G11" t="str">
            <v>0 or 5</v>
          </cell>
          <cell r="H11" t="str">
            <v>Urban</v>
          </cell>
          <cell r="I11" t="str">
            <v>New Construction</v>
          </cell>
        </row>
        <row r="12">
          <cell r="F12">
            <v>2.5</v>
          </cell>
          <cell r="G12" t="str">
            <v xml:space="preserve">Mandatory, +5 </v>
          </cell>
          <cell r="H12" t="str">
            <v>Urban</v>
          </cell>
          <cell r="I12" t="str">
            <v>New Construction</v>
          </cell>
        </row>
        <row r="13">
          <cell r="F13">
            <v>2.6</v>
          </cell>
          <cell r="G13" t="str">
            <v>Mandatory</v>
          </cell>
          <cell r="H13" t="str">
            <v>Urban</v>
          </cell>
          <cell r="I13" t="str">
            <v>New Construction</v>
          </cell>
        </row>
        <row r="14">
          <cell r="F14" t="str">
            <v>2.7A</v>
          </cell>
          <cell r="G14" t="str">
            <v>Mandatory</v>
          </cell>
          <cell r="H14" t="str">
            <v>Urban</v>
          </cell>
          <cell r="I14" t="str">
            <v>New Construction</v>
          </cell>
        </row>
        <row r="15">
          <cell r="F15" t="str">
            <v>2.7B</v>
          </cell>
          <cell r="G15" t="str">
            <v>0,3 or 5 -Tribal Only</v>
          </cell>
          <cell r="H15" t="str">
            <v>Urban</v>
          </cell>
          <cell r="I15" t="str">
            <v>New Construction</v>
          </cell>
        </row>
        <row r="16">
          <cell r="F16">
            <v>2.8</v>
          </cell>
          <cell r="G16" t="str">
            <v>0 or 2</v>
          </cell>
          <cell r="H16" t="str">
            <v>Urban</v>
          </cell>
          <cell r="I16" t="str">
            <v>New Construction</v>
          </cell>
        </row>
        <row r="17">
          <cell r="F17">
            <v>2.9</v>
          </cell>
          <cell r="G17" t="str">
            <v>0 or 5</v>
          </cell>
          <cell r="H17" t="str">
            <v>Urban</v>
          </cell>
          <cell r="I17" t="str">
            <v>New Construction</v>
          </cell>
        </row>
        <row r="18">
          <cell r="F18" t="str">
            <v>2.10</v>
          </cell>
          <cell r="G18" t="str">
            <v>0 or 3</v>
          </cell>
          <cell r="H18" t="str">
            <v>Urban</v>
          </cell>
          <cell r="I18" t="str">
            <v>New Construction</v>
          </cell>
        </row>
        <row r="19">
          <cell r="F19">
            <v>3.1</v>
          </cell>
          <cell r="G19" t="str">
            <v>Mandatory</v>
          </cell>
          <cell r="H19" t="str">
            <v>Urban</v>
          </cell>
          <cell r="I19" t="str">
            <v>New Construction</v>
          </cell>
        </row>
        <row r="20">
          <cell r="F20">
            <v>3.2</v>
          </cell>
          <cell r="G20" t="str">
            <v>Mandatory</v>
          </cell>
          <cell r="H20" t="str">
            <v>Urban</v>
          </cell>
          <cell r="I20" t="str">
            <v>New Construction</v>
          </cell>
        </row>
        <row r="21">
          <cell r="F21" t="str">
            <v>3.3A</v>
          </cell>
          <cell r="G21" t="str">
            <v>Mandatory, if providing Landscaping</v>
          </cell>
          <cell r="H21" t="str">
            <v>Urban</v>
          </cell>
          <cell r="I21" t="str">
            <v>New Construction</v>
          </cell>
        </row>
        <row r="22">
          <cell r="F22" t="str">
            <v>3.3B</v>
          </cell>
          <cell r="G22" t="str">
            <v>0 or 5</v>
          </cell>
          <cell r="H22" t="str">
            <v>Urban</v>
          </cell>
          <cell r="I22" t="str">
            <v>New Construction</v>
          </cell>
        </row>
        <row r="23">
          <cell r="F23" t="str">
            <v>3.3C</v>
          </cell>
          <cell r="G23" t="str">
            <v>up to 5</v>
          </cell>
          <cell r="H23" t="str">
            <v>Urban</v>
          </cell>
          <cell r="I23" t="str">
            <v>New Construction</v>
          </cell>
        </row>
        <row r="24">
          <cell r="F24">
            <v>3.4</v>
          </cell>
          <cell r="G24" t="str">
            <v>Mandatory, if installing irrigation</v>
          </cell>
          <cell r="H24" t="str">
            <v>Urban</v>
          </cell>
          <cell r="I24" t="str">
            <v>New Construction</v>
          </cell>
        </row>
        <row r="25">
          <cell r="F25">
            <v>3.5</v>
          </cell>
          <cell r="G25" t="str">
            <v>0,2,4 or 6</v>
          </cell>
          <cell r="H25" t="str">
            <v>Urban</v>
          </cell>
          <cell r="I25" t="str">
            <v>New Construction</v>
          </cell>
        </row>
        <row r="26">
          <cell r="F26">
            <v>3.6</v>
          </cell>
          <cell r="G26" t="str">
            <v>Mandatory</v>
          </cell>
          <cell r="H26" t="str">
            <v>Urban</v>
          </cell>
          <cell r="I26" t="str">
            <v>New Construction</v>
          </cell>
        </row>
        <row r="27">
          <cell r="F27" t="str">
            <v>4.1A</v>
          </cell>
          <cell r="G27" t="str">
            <v>Mandatory</v>
          </cell>
          <cell r="H27" t="str">
            <v>Urban</v>
          </cell>
          <cell r="I27" t="str">
            <v>New Construction</v>
          </cell>
        </row>
        <row r="28">
          <cell r="F28" t="str">
            <v>4.1B</v>
          </cell>
          <cell r="G28" t="str">
            <v>up to 6, must also achieve 4.4</v>
          </cell>
          <cell r="H28" t="str">
            <v>Urban</v>
          </cell>
          <cell r="I28" t="str">
            <v>New Construction</v>
          </cell>
        </row>
        <row r="29">
          <cell r="F29">
            <v>4.2</v>
          </cell>
          <cell r="G29" t="str">
            <v>0 or 2</v>
          </cell>
          <cell r="H29" t="str">
            <v>Urban</v>
          </cell>
          <cell r="I29" t="str">
            <v>New Construction</v>
          </cell>
        </row>
        <row r="30">
          <cell r="F30">
            <v>4.3</v>
          </cell>
          <cell r="G30" t="str">
            <v>0,1,2,4,6,8,10 or 12</v>
          </cell>
          <cell r="H30" t="str">
            <v>Urban</v>
          </cell>
          <cell r="I30" t="str">
            <v>New Construction</v>
          </cell>
        </row>
        <row r="31">
          <cell r="F31">
            <v>4.4000000000000004</v>
          </cell>
          <cell r="G31" t="str">
            <v>0 or 7</v>
          </cell>
          <cell r="H31" t="str">
            <v>Urban</v>
          </cell>
          <cell r="I31" t="str">
            <v>New Construction</v>
          </cell>
        </row>
        <row r="32">
          <cell r="F32" t="str">
            <v>5.1A</v>
          </cell>
          <cell r="G32" t="str">
            <v>Mandatory</v>
          </cell>
          <cell r="H32" t="str">
            <v>Urban</v>
          </cell>
          <cell r="I32" t="str">
            <v>New Construction</v>
          </cell>
        </row>
        <row r="33">
          <cell r="F33" t="str">
            <v>5.1B</v>
          </cell>
          <cell r="G33" t="str">
            <v>n/a</v>
          </cell>
          <cell r="H33" t="str">
            <v>Urban</v>
          </cell>
          <cell r="I33" t="str">
            <v>New Construction</v>
          </cell>
        </row>
        <row r="34">
          <cell r="F34" t="str">
            <v>5.2A</v>
          </cell>
          <cell r="G34" t="str">
            <v>5 to 25 (5 point increments)</v>
          </cell>
          <cell r="H34" t="str">
            <v>Urban</v>
          </cell>
          <cell r="I34" t="str">
            <v>New Construction</v>
          </cell>
        </row>
        <row r="35">
          <cell r="F35" t="str">
            <v>5.2B</v>
          </cell>
          <cell r="G35" t="str">
            <v>n/a</v>
          </cell>
          <cell r="H35" t="str">
            <v>Urban</v>
          </cell>
          <cell r="I35" t="str">
            <v>New Construction</v>
          </cell>
        </row>
        <row r="36">
          <cell r="F36">
            <v>5.3</v>
          </cell>
          <cell r="G36" t="str">
            <v>0,1,2,3 or 4</v>
          </cell>
          <cell r="H36" t="str">
            <v>Urban</v>
          </cell>
          <cell r="I36" t="str">
            <v>New Construction</v>
          </cell>
        </row>
        <row r="37">
          <cell r="F37">
            <v>5.4</v>
          </cell>
          <cell r="G37" t="str">
            <v>Mandatory, if providing appliances</v>
          </cell>
          <cell r="H37" t="str">
            <v>Urban</v>
          </cell>
          <cell r="I37" t="str">
            <v>New Construction</v>
          </cell>
        </row>
        <row r="38">
          <cell r="F38">
            <v>5.5</v>
          </cell>
          <cell r="G38" t="str">
            <v>0 or 3</v>
          </cell>
          <cell r="H38" t="str">
            <v>Urban</v>
          </cell>
          <cell r="I38" t="str">
            <v>New Construction</v>
          </cell>
        </row>
        <row r="39">
          <cell r="F39">
            <v>5.6</v>
          </cell>
          <cell r="G39" t="str">
            <v>Mandatory</v>
          </cell>
          <cell r="H39" t="str">
            <v>Urban</v>
          </cell>
          <cell r="I39" t="str">
            <v>New Construction</v>
          </cell>
        </row>
        <row r="40">
          <cell r="F40" t="str">
            <v>5.7A</v>
          </cell>
          <cell r="G40" t="str">
            <v>Mandatory</v>
          </cell>
          <cell r="H40" t="str">
            <v>Urban</v>
          </cell>
          <cell r="I40" t="str">
            <v>New Construction</v>
          </cell>
        </row>
        <row r="41">
          <cell r="F41" t="str">
            <v>5.7B</v>
          </cell>
          <cell r="G41" t="str">
            <v>n/a</v>
          </cell>
          <cell r="H41" t="str">
            <v>Urban</v>
          </cell>
          <cell r="I41" t="str">
            <v>New Construction</v>
          </cell>
        </row>
        <row r="42">
          <cell r="F42" t="str">
            <v>5.8A</v>
          </cell>
          <cell r="G42" t="str">
            <v>n/a</v>
          </cell>
          <cell r="H42" t="str">
            <v>Urban</v>
          </cell>
          <cell r="I42" t="str">
            <v>New Construction</v>
          </cell>
        </row>
        <row r="43">
          <cell r="F43" t="str">
            <v>5.8B</v>
          </cell>
          <cell r="G43" t="str">
            <v>0 or 1</v>
          </cell>
          <cell r="H43" t="str">
            <v>Urban</v>
          </cell>
          <cell r="I43" t="str">
            <v>New Construction</v>
          </cell>
        </row>
        <row r="44">
          <cell r="F44" t="str">
            <v>5.8C</v>
          </cell>
          <cell r="G44" t="str">
            <v>n/a</v>
          </cell>
          <cell r="H44" t="str">
            <v>Urban</v>
          </cell>
          <cell r="I44" t="str">
            <v>New Construction</v>
          </cell>
        </row>
        <row r="45">
          <cell r="F45">
            <v>5.9</v>
          </cell>
          <cell r="G45" t="str">
            <v>Mandatory</v>
          </cell>
          <cell r="H45" t="str">
            <v>Urban</v>
          </cell>
          <cell r="I45" t="str">
            <v>New Construction</v>
          </cell>
        </row>
        <row r="46">
          <cell r="F46" t="str">
            <v>5.10</v>
          </cell>
          <cell r="G46" t="str">
            <v>n/a</v>
          </cell>
          <cell r="H46" t="str">
            <v>Urban</v>
          </cell>
          <cell r="I46" t="str">
            <v>New Construction</v>
          </cell>
        </row>
        <row r="47">
          <cell r="F47">
            <v>5.1100000000000003</v>
          </cell>
          <cell r="G47" t="str">
            <v>n/a</v>
          </cell>
          <cell r="H47" t="str">
            <v>Urban</v>
          </cell>
          <cell r="I47" t="str">
            <v>New Construction</v>
          </cell>
        </row>
        <row r="48">
          <cell r="F48">
            <v>5.12</v>
          </cell>
          <cell r="G48" t="str">
            <v>n/a</v>
          </cell>
          <cell r="H48" t="str">
            <v>Urban</v>
          </cell>
          <cell r="I48" t="str">
            <v>New Construction</v>
          </cell>
        </row>
        <row r="49">
          <cell r="F49">
            <v>5.13</v>
          </cell>
          <cell r="G49" t="str">
            <v>n/a</v>
          </cell>
          <cell r="H49" t="str">
            <v>Urban</v>
          </cell>
          <cell r="I49" t="str">
            <v>New Construction</v>
          </cell>
        </row>
        <row r="50">
          <cell r="F50">
            <v>6.1</v>
          </cell>
          <cell r="G50" t="str">
            <v>Mandatory</v>
          </cell>
          <cell r="H50" t="str">
            <v>Urban</v>
          </cell>
          <cell r="I50" t="str">
            <v>New Construction</v>
          </cell>
        </row>
        <row r="51">
          <cell r="F51">
            <v>6.2</v>
          </cell>
          <cell r="G51" t="str">
            <v>Mandatory</v>
          </cell>
          <cell r="H51" t="str">
            <v>Urban</v>
          </cell>
          <cell r="I51" t="str">
            <v>New Construction</v>
          </cell>
        </row>
        <row r="52">
          <cell r="F52">
            <v>6.3</v>
          </cell>
          <cell r="G52" t="str">
            <v>up to 5</v>
          </cell>
          <cell r="H52" t="str">
            <v>Urban</v>
          </cell>
          <cell r="I52" t="str">
            <v>New Construction</v>
          </cell>
        </row>
        <row r="53">
          <cell r="F53">
            <v>6.4</v>
          </cell>
          <cell r="G53" t="str">
            <v>up to 10 (0.5 increments)</v>
          </cell>
          <cell r="H53" t="str">
            <v>Urban</v>
          </cell>
          <cell r="I53" t="str">
            <v>New Construction</v>
          </cell>
        </row>
        <row r="54">
          <cell r="F54" t="str">
            <v>6.5A</v>
          </cell>
          <cell r="G54" t="str">
            <v>0 or 2</v>
          </cell>
          <cell r="H54" t="str">
            <v>Urban</v>
          </cell>
          <cell r="I54" t="str">
            <v>New Construction</v>
          </cell>
        </row>
        <row r="55">
          <cell r="F55" t="str">
            <v>6.5B</v>
          </cell>
          <cell r="G55" t="str">
            <v>0 or 2, if paving</v>
          </cell>
          <cell r="H55" t="str">
            <v>Urban</v>
          </cell>
          <cell r="I55" t="str">
            <v>New Construction</v>
          </cell>
        </row>
        <row r="56">
          <cell r="F56">
            <v>6.6</v>
          </cell>
          <cell r="G56" t="str">
            <v>up to 3</v>
          </cell>
          <cell r="H56" t="str">
            <v>Urban</v>
          </cell>
          <cell r="I56" t="str">
            <v>New Construction</v>
          </cell>
        </row>
        <row r="57">
          <cell r="F57">
            <v>7.1</v>
          </cell>
          <cell r="G57" t="str">
            <v>Mandatory</v>
          </cell>
          <cell r="H57" t="str">
            <v>Urban</v>
          </cell>
          <cell r="I57" t="str">
            <v>New Construction</v>
          </cell>
        </row>
        <row r="58">
          <cell r="F58" t="str">
            <v>7.2A</v>
          </cell>
          <cell r="G58" t="str">
            <v>Mandatory, if providing flooring materials</v>
          </cell>
          <cell r="H58" t="str">
            <v>Urban</v>
          </cell>
          <cell r="I58" t="str">
            <v>New Construction</v>
          </cell>
        </row>
        <row r="59">
          <cell r="F59" t="str">
            <v>7.2B</v>
          </cell>
          <cell r="G59" t="str">
            <v>0 or 6</v>
          </cell>
          <cell r="H59" t="str">
            <v>Urban</v>
          </cell>
          <cell r="I59" t="str">
            <v>New Construction</v>
          </cell>
        </row>
        <row r="60">
          <cell r="F60" t="str">
            <v>7.3A</v>
          </cell>
          <cell r="G60" t="str">
            <v>Mandatory</v>
          </cell>
          <cell r="H60" t="str">
            <v>Urban</v>
          </cell>
          <cell r="I60" t="str">
            <v>New Construction</v>
          </cell>
        </row>
        <row r="61">
          <cell r="F61" t="str">
            <v>7.3B</v>
          </cell>
          <cell r="G61" t="str">
            <v>n/a</v>
          </cell>
          <cell r="H61" t="str">
            <v>Urban</v>
          </cell>
          <cell r="I61" t="str">
            <v>New Construction</v>
          </cell>
        </row>
        <row r="62">
          <cell r="F62" t="str">
            <v>7.4A</v>
          </cell>
          <cell r="G62" t="str">
            <v>Mandatory</v>
          </cell>
          <cell r="H62" t="str">
            <v>Urban</v>
          </cell>
          <cell r="I62" t="str">
            <v>New Construction</v>
          </cell>
        </row>
        <row r="63">
          <cell r="F63" t="str">
            <v>7.4B</v>
          </cell>
          <cell r="G63" t="str">
            <v>n/a</v>
          </cell>
          <cell r="H63" t="str">
            <v>Urban</v>
          </cell>
          <cell r="I63" t="str">
            <v>New Construction</v>
          </cell>
        </row>
        <row r="64">
          <cell r="F64">
            <v>7.5</v>
          </cell>
          <cell r="G64" t="str">
            <v>Mandatory</v>
          </cell>
          <cell r="H64" t="str">
            <v>Urban</v>
          </cell>
          <cell r="I64" t="str">
            <v>New Construction</v>
          </cell>
        </row>
        <row r="65">
          <cell r="F65">
            <v>7.6</v>
          </cell>
          <cell r="G65" t="str">
            <v>Mandatory</v>
          </cell>
          <cell r="H65" t="str">
            <v>Urban</v>
          </cell>
          <cell r="I65" t="str">
            <v>New Construction</v>
          </cell>
        </row>
        <row r="66">
          <cell r="F66">
            <v>7.7</v>
          </cell>
          <cell r="G66" t="str">
            <v>Mandatory</v>
          </cell>
          <cell r="H66" t="str">
            <v>Urban</v>
          </cell>
          <cell r="I66" t="str">
            <v>New Construction</v>
          </cell>
        </row>
        <row r="67">
          <cell r="F67">
            <v>7.8</v>
          </cell>
          <cell r="G67" t="str">
            <v>Mandatory</v>
          </cell>
          <cell r="H67" t="str">
            <v>Urban</v>
          </cell>
          <cell r="I67" t="str">
            <v>New Construction</v>
          </cell>
        </row>
        <row r="68">
          <cell r="F68">
            <v>7.9</v>
          </cell>
          <cell r="G68" t="str">
            <v>Mandatory</v>
          </cell>
          <cell r="H68" t="str">
            <v>Urban</v>
          </cell>
          <cell r="I68" t="str">
            <v>New Construction</v>
          </cell>
        </row>
        <row r="69">
          <cell r="F69" t="str">
            <v>7.10</v>
          </cell>
          <cell r="G69" t="str">
            <v>Mandatory</v>
          </cell>
          <cell r="H69" t="str">
            <v>Urban</v>
          </cell>
          <cell r="I69" t="str">
            <v>New Construction</v>
          </cell>
        </row>
        <row r="70">
          <cell r="F70">
            <v>7.11</v>
          </cell>
          <cell r="G70" t="str">
            <v>Mandatory</v>
          </cell>
          <cell r="H70" t="str">
            <v>Urban</v>
          </cell>
          <cell r="I70" t="str">
            <v>New Construction</v>
          </cell>
        </row>
        <row r="71">
          <cell r="F71">
            <v>7.12</v>
          </cell>
          <cell r="G71" t="str">
            <v>Mandatory</v>
          </cell>
          <cell r="H71" t="str">
            <v>Urban</v>
          </cell>
          <cell r="I71" t="str">
            <v>New Construction</v>
          </cell>
        </row>
        <row r="72">
          <cell r="F72" t="str">
            <v>7.13A</v>
          </cell>
          <cell r="G72" t="str">
            <v>Mandatory</v>
          </cell>
          <cell r="H72" t="str">
            <v>Urban</v>
          </cell>
          <cell r="I72" t="str">
            <v>New Construction</v>
          </cell>
        </row>
        <row r="73">
          <cell r="F73" t="str">
            <v>7.13B</v>
          </cell>
          <cell r="G73" t="str">
            <v>0,2,3,4,5,6,7 or 8</v>
          </cell>
          <cell r="H73" t="str">
            <v>Urban</v>
          </cell>
          <cell r="I73" t="str">
            <v>New Construction</v>
          </cell>
        </row>
        <row r="74">
          <cell r="F74">
            <v>7.14</v>
          </cell>
          <cell r="G74" t="str">
            <v>Mandatory</v>
          </cell>
          <cell r="H74" t="str">
            <v>Urban</v>
          </cell>
          <cell r="I74" t="str">
            <v>New Construction</v>
          </cell>
        </row>
        <row r="75">
          <cell r="F75">
            <v>7.15</v>
          </cell>
          <cell r="G75" t="str">
            <v>Mandatory</v>
          </cell>
          <cell r="H75" t="str">
            <v>Urban</v>
          </cell>
          <cell r="I75" t="str">
            <v>New Construction</v>
          </cell>
        </row>
        <row r="76">
          <cell r="F76">
            <v>7.16</v>
          </cell>
          <cell r="G76" t="str">
            <v>Mandatory</v>
          </cell>
          <cell r="H76" t="str">
            <v>Urban</v>
          </cell>
          <cell r="I76" t="str">
            <v>New Construction</v>
          </cell>
        </row>
        <row r="77">
          <cell r="F77">
            <v>7.17</v>
          </cell>
          <cell r="G77" t="str">
            <v>Mandatory</v>
          </cell>
          <cell r="H77" t="str">
            <v>Urban</v>
          </cell>
          <cell r="I77" t="str">
            <v>New Construction</v>
          </cell>
        </row>
        <row r="78">
          <cell r="F78" t="str">
            <v>8.1A</v>
          </cell>
          <cell r="G78" t="str">
            <v>Mandatory</v>
          </cell>
          <cell r="H78" t="str">
            <v>Urban</v>
          </cell>
          <cell r="I78" t="str">
            <v>New Construction</v>
          </cell>
        </row>
        <row r="79">
          <cell r="F79" t="str">
            <v>8.1B</v>
          </cell>
          <cell r="G79" t="str">
            <v>0 or 7</v>
          </cell>
          <cell r="H79" t="str">
            <v>Urban</v>
          </cell>
          <cell r="I79" t="str">
            <v>New Construction</v>
          </cell>
        </row>
        <row r="80">
          <cell r="F80">
            <v>8.1999999999999993</v>
          </cell>
          <cell r="G80" t="str">
            <v>Mandatory for Multifamily Projects</v>
          </cell>
          <cell r="H80" t="str">
            <v>Urban</v>
          </cell>
          <cell r="I80" t="str">
            <v>New Construction</v>
          </cell>
        </row>
        <row r="81">
          <cell r="F81">
            <v>8.3000000000000007</v>
          </cell>
          <cell r="G81" t="str">
            <v>Mandatory</v>
          </cell>
          <cell r="H81" t="str">
            <v>Urban</v>
          </cell>
          <cell r="I81" t="str">
            <v>New Construction</v>
          </cell>
        </row>
        <row r="82">
          <cell r="F82">
            <v>8.4</v>
          </cell>
          <cell r="G82" t="str">
            <v>0,3,5 or 8</v>
          </cell>
          <cell r="H82" t="str">
            <v>Urban</v>
          </cell>
          <cell r="I82" t="str">
            <v>New Construction</v>
          </cell>
        </row>
        <row r="83">
          <cell r="F83">
            <v>8.5</v>
          </cell>
          <cell r="G83" t="str">
            <v>Mandatory</v>
          </cell>
          <cell r="H83" t="str">
            <v>Urban</v>
          </cell>
          <cell r="I83" t="str">
            <v>New Construction</v>
          </cell>
        </row>
        <row r="84">
          <cell r="F84" t="str">
            <v>1.1A</v>
          </cell>
          <cell r="G84" t="str">
            <v>Mandatory</v>
          </cell>
          <cell r="H84" t="str">
            <v>Urban</v>
          </cell>
          <cell r="I84" t="str">
            <v>Rehab Substantial</v>
          </cell>
        </row>
        <row r="85">
          <cell r="F85" t="str">
            <v>1.1B</v>
          </cell>
          <cell r="G85" t="str">
            <v>0,2,4,6,8 or 10</v>
          </cell>
          <cell r="H85" t="str">
            <v>Urban</v>
          </cell>
          <cell r="I85" t="str">
            <v>Rehab Substantial</v>
          </cell>
        </row>
        <row r="86">
          <cell r="F86">
            <v>1.2</v>
          </cell>
          <cell r="G86" t="str">
            <v>Up to 3</v>
          </cell>
          <cell r="H86" t="str">
            <v>Urban</v>
          </cell>
          <cell r="I86" t="str">
            <v>Rehab Substantial</v>
          </cell>
        </row>
        <row r="87">
          <cell r="F87" t="str">
            <v>1.3A</v>
          </cell>
          <cell r="G87" t="str">
            <v>Mandatory</v>
          </cell>
          <cell r="H87" t="str">
            <v>Urban</v>
          </cell>
          <cell r="I87" t="str">
            <v>Rehab Substantial</v>
          </cell>
        </row>
        <row r="88">
          <cell r="F88" t="str">
            <v>1.3B</v>
          </cell>
          <cell r="G88" t="str">
            <v>up to 12 (2 point increments)</v>
          </cell>
          <cell r="H88" t="str">
            <v>Urban</v>
          </cell>
          <cell r="I88" t="str">
            <v>Rehab Substantial</v>
          </cell>
        </row>
        <row r="89">
          <cell r="F89">
            <v>1.4</v>
          </cell>
          <cell r="G89" t="str">
            <v>0,3 or 6</v>
          </cell>
          <cell r="H89" t="str">
            <v>Urban</v>
          </cell>
          <cell r="I89" t="str">
            <v>Rehab Substantial</v>
          </cell>
        </row>
        <row r="90">
          <cell r="F90">
            <v>2.1</v>
          </cell>
          <cell r="G90" t="str">
            <v>Mandatory</v>
          </cell>
          <cell r="H90" t="str">
            <v>Urban</v>
          </cell>
          <cell r="I90" t="str">
            <v>Rehab Substantial</v>
          </cell>
        </row>
        <row r="91">
          <cell r="F91">
            <v>2.2000000000000002</v>
          </cell>
          <cell r="G91" t="str">
            <v>n/a</v>
          </cell>
          <cell r="H91" t="str">
            <v>Urban</v>
          </cell>
          <cell r="I91" t="str">
            <v>Rehab Substantial</v>
          </cell>
        </row>
        <row r="92">
          <cell r="F92">
            <v>2.2999999999999998</v>
          </cell>
          <cell r="G92" t="str">
            <v>Mandatory</v>
          </cell>
          <cell r="H92" t="str">
            <v>Urban</v>
          </cell>
          <cell r="I92" t="str">
            <v>Rehab Substantial</v>
          </cell>
        </row>
        <row r="93">
          <cell r="F93">
            <v>2.4</v>
          </cell>
          <cell r="G93" t="str">
            <v>0 or 5</v>
          </cell>
          <cell r="H93" t="str">
            <v>Urban</v>
          </cell>
          <cell r="I93" t="str">
            <v>Rehab Substantial</v>
          </cell>
        </row>
        <row r="94">
          <cell r="F94">
            <v>2.5</v>
          </cell>
          <cell r="G94" t="str">
            <v>Mandatory, +5</v>
          </cell>
          <cell r="H94" t="str">
            <v>Urban</v>
          </cell>
          <cell r="I94" t="str">
            <v>Rehab Substantial</v>
          </cell>
        </row>
        <row r="95">
          <cell r="F95">
            <v>2.6</v>
          </cell>
          <cell r="G95" t="str">
            <v>Mandatory</v>
          </cell>
          <cell r="H95" t="str">
            <v>Urban</v>
          </cell>
          <cell r="I95" t="str">
            <v>Rehab Substantial</v>
          </cell>
        </row>
        <row r="96">
          <cell r="F96" t="str">
            <v>2.7A</v>
          </cell>
          <cell r="G96" t="str">
            <v>Mandatory</v>
          </cell>
          <cell r="H96" t="str">
            <v>Urban</v>
          </cell>
          <cell r="I96" t="str">
            <v>Rehab Substantial</v>
          </cell>
        </row>
        <row r="97">
          <cell r="F97" t="str">
            <v>2.7B</v>
          </cell>
          <cell r="G97" t="str">
            <v>0,3 or 5 -Tribal Only</v>
          </cell>
          <cell r="H97" t="str">
            <v>Urban</v>
          </cell>
          <cell r="I97" t="str">
            <v>Rehab Substantial</v>
          </cell>
        </row>
        <row r="98">
          <cell r="F98">
            <v>2.8</v>
          </cell>
          <cell r="G98" t="str">
            <v>up to 2</v>
          </cell>
          <cell r="H98" t="str">
            <v>Urban</v>
          </cell>
          <cell r="I98" t="str">
            <v>Rehab Substantial</v>
          </cell>
        </row>
        <row r="99">
          <cell r="F99">
            <v>2.9</v>
          </cell>
          <cell r="G99" t="str">
            <v>0 or 5</v>
          </cell>
          <cell r="H99" t="str">
            <v>Urban</v>
          </cell>
          <cell r="I99" t="str">
            <v>Rehab Substantial</v>
          </cell>
        </row>
        <row r="100">
          <cell r="F100" t="str">
            <v>2.10</v>
          </cell>
          <cell r="G100" t="str">
            <v>0 or 3</v>
          </cell>
          <cell r="H100" t="str">
            <v>Urban</v>
          </cell>
          <cell r="I100" t="str">
            <v>Rehab Substantial</v>
          </cell>
        </row>
        <row r="101">
          <cell r="F101">
            <v>3.1</v>
          </cell>
          <cell r="G101" t="str">
            <v>Mandatory</v>
          </cell>
          <cell r="H101" t="str">
            <v>Urban</v>
          </cell>
          <cell r="I101" t="str">
            <v>Rehab Substantial</v>
          </cell>
        </row>
        <row r="102">
          <cell r="F102">
            <v>3.2</v>
          </cell>
          <cell r="G102" t="str">
            <v>Mandatory</v>
          </cell>
          <cell r="H102" t="str">
            <v>Urban</v>
          </cell>
          <cell r="I102" t="str">
            <v>Rehab Substantial</v>
          </cell>
        </row>
        <row r="103">
          <cell r="F103" t="str">
            <v>3.3A</v>
          </cell>
          <cell r="G103" t="str">
            <v>Mandatory, if providing landscaping</v>
          </cell>
          <cell r="H103" t="str">
            <v>Urban</v>
          </cell>
          <cell r="I103" t="str">
            <v>Rehab Substantial</v>
          </cell>
        </row>
        <row r="104">
          <cell r="F104" t="str">
            <v>3.3B</v>
          </cell>
          <cell r="G104" t="str">
            <v>0 or 5</v>
          </cell>
          <cell r="H104" t="str">
            <v>Urban</v>
          </cell>
          <cell r="I104" t="str">
            <v>Rehab Substantial</v>
          </cell>
        </row>
        <row r="105">
          <cell r="F105" t="str">
            <v>3.3C</v>
          </cell>
          <cell r="G105" t="str">
            <v>up to 5</v>
          </cell>
          <cell r="H105" t="str">
            <v>Urban</v>
          </cell>
          <cell r="I105" t="str">
            <v>Rehab Substantial</v>
          </cell>
        </row>
        <row r="106">
          <cell r="F106">
            <v>3.4</v>
          </cell>
          <cell r="G106" t="str">
            <v>Mandatory, if installing irrigation</v>
          </cell>
          <cell r="H106" t="str">
            <v>Urban</v>
          </cell>
          <cell r="I106" t="str">
            <v>Rehab Substantial</v>
          </cell>
        </row>
        <row r="107">
          <cell r="F107">
            <v>3.5</v>
          </cell>
          <cell r="G107" t="str">
            <v>0,2,4 or 6</v>
          </cell>
          <cell r="H107" t="str">
            <v>Urban</v>
          </cell>
          <cell r="I107" t="str">
            <v>Rehab Substantial</v>
          </cell>
        </row>
        <row r="108">
          <cell r="F108">
            <v>3.6</v>
          </cell>
          <cell r="G108" t="str">
            <v>Mandatory</v>
          </cell>
          <cell r="H108" t="str">
            <v>Urban</v>
          </cell>
          <cell r="I108" t="str">
            <v>Rehab Substantial</v>
          </cell>
        </row>
        <row r="109">
          <cell r="F109" t="str">
            <v>4.1A</v>
          </cell>
          <cell r="G109" t="str">
            <v>Mandatory</v>
          </cell>
          <cell r="H109" t="str">
            <v>Urban</v>
          </cell>
          <cell r="I109" t="str">
            <v>Rehab Substantial</v>
          </cell>
        </row>
        <row r="110">
          <cell r="F110" t="str">
            <v>4.1B</v>
          </cell>
          <cell r="G110" t="str">
            <v>up to 6</v>
          </cell>
          <cell r="H110" t="str">
            <v>Urban</v>
          </cell>
          <cell r="I110" t="str">
            <v>Rehab Substantial</v>
          </cell>
        </row>
        <row r="111">
          <cell r="F111">
            <v>4.2</v>
          </cell>
          <cell r="G111" t="str">
            <v>0 or 4</v>
          </cell>
          <cell r="H111" t="str">
            <v>Urban</v>
          </cell>
          <cell r="I111" t="str">
            <v>Rehab Substantial</v>
          </cell>
        </row>
        <row r="112">
          <cell r="F112">
            <v>4.3</v>
          </cell>
          <cell r="G112" t="str">
            <v>0,1,2,4,6,8,10 or 12</v>
          </cell>
          <cell r="H112" t="str">
            <v>Urban</v>
          </cell>
          <cell r="I112" t="str">
            <v>Rehab Substantial</v>
          </cell>
        </row>
        <row r="113">
          <cell r="F113">
            <v>4.4000000000000004</v>
          </cell>
          <cell r="G113" t="str">
            <v>0 or 7</v>
          </cell>
          <cell r="H113" t="str">
            <v>Urban</v>
          </cell>
          <cell r="I113" t="str">
            <v>Rehab Substantial</v>
          </cell>
        </row>
        <row r="114">
          <cell r="F114" t="str">
            <v>5.1A</v>
          </cell>
          <cell r="G114" t="str">
            <v>n/a</v>
          </cell>
          <cell r="H114" t="str">
            <v>Urban</v>
          </cell>
          <cell r="I114" t="str">
            <v>Rehab Substantial</v>
          </cell>
        </row>
        <row r="115">
          <cell r="F115" t="str">
            <v>5.1B</v>
          </cell>
          <cell r="G115" t="str">
            <v>Mandatory</v>
          </cell>
          <cell r="H115" t="str">
            <v>Urban</v>
          </cell>
          <cell r="I115" t="str">
            <v>Rehab Substantial</v>
          </cell>
        </row>
        <row r="116">
          <cell r="F116" t="str">
            <v>5.2A</v>
          </cell>
          <cell r="G116" t="str">
            <v>n/a</v>
          </cell>
          <cell r="H116" t="str">
            <v>Urban</v>
          </cell>
          <cell r="I116" t="str">
            <v>Rehab Substantial</v>
          </cell>
        </row>
        <row r="117">
          <cell r="F117" t="str">
            <v>5.2B</v>
          </cell>
          <cell r="G117" t="str">
            <v>0 or 5</v>
          </cell>
          <cell r="H117" t="str">
            <v>Urban</v>
          </cell>
          <cell r="I117" t="str">
            <v>Rehab Substantial</v>
          </cell>
        </row>
        <row r="118">
          <cell r="F118">
            <v>5.3</v>
          </cell>
          <cell r="G118" t="str">
            <v>0,1,2,3 or 4</v>
          </cell>
          <cell r="H118" t="str">
            <v>Urban</v>
          </cell>
          <cell r="I118" t="str">
            <v>Rehab Substantial</v>
          </cell>
        </row>
        <row r="119">
          <cell r="F119">
            <v>5.4</v>
          </cell>
          <cell r="G119" t="str">
            <v>Mandatory, if providing appliances</v>
          </cell>
          <cell r="H119" t="str">
            <v>Urban</v>
          </cell>
          <cell r="I119" t="str">
            <v>Rehab Substantial</v>
          </cell>
        </row>
        <row r="120">
          <cell r="F120">
            <v>5.5</v>
          </cell>
          <cell r="G120" t="str">
            <v>0 or 3</v>
          </cell>
          <cell r="H120" t="str">
            <v>Urban</v>
          </cell>
          <cell r="I120" t="str">
            <v>Rehab Substantial</v>
          </cell>
        </row>
        <row r="121">
          <cell r="F121">
            <v>5.6</v>
          </cell>
          <cell r="G121" t="str">
            <v>Mandatory</v>
          </cell>
          <cell r="H121" t="str">
            <v>Urban</v>
          </cell>
          <cell r="I121" t="str">
            <v>Rehab Substantial</v>
          </cell>
        </row>
        <row r="122">
          <cell r="F122" t="str">
            <v>5.7A</v>
          </cell>
          <cell r="G122" t="str">
            <v>n/a</v>
          </cell>
          <cell r="H122" t="str">
            <v>Urban</v>
          </cell>
          <cell r="I122" t="str">
            <v>Rehab Substantial</v>
          </cell>
        </row>
        <row r="123">
          <cell r="F123" t="str">
            <v>5.7B</v>
          </cell>
          <cell r="G123" t="str">
            <v xml:space="preserve">0 or 2 </v>
          </cell>
          <cell r="H123" t="str">
            <v>Urban</v>
          </cell>
          <cell r="I123" t="str">
            <v>Rehab Substantial</v>
          </cell>
        </row>
        <row r="124">
          <cell r="F124" t="str">
            <v>5.8A</v>
          </cell>
          <cell r="G124" t="str">
            <v>up to 15</v>
          </cell>
          <cell r="H124" t="str">
            <v>Urban</v>
          </cell>
          <cell r="I124" t="str">
            <v>Rehab Substantial</v>
          </cell>
        </row>
        <row r="125">
          <cell r="F125" t="str">
            <v>5.8B</v>
          </cell>
          <cell r="G125" t="str">
            <v>0 or 1</v>
          </cell>
          <cell r="H125" t="str">
            <v>Urban</v>
          </cell>
          <cell r="I125" t="str">
            <v>Rehab Substantial</v>
          </cell>
        </row>
        <row r="126">
          <cell r="F126" t="str">
            <v>5.8C</v>
          </cell>
          <cell r="G126" t="str">
            <v>up to 10</v>
          </cell>
          <cell r="H126" t="str">
            <v>Urban</v>
          </cell>
          <cell r="I126" t="str">
            <v>Rehab Substantial</v>
          </cell>
        </row>
        <row r="127">
          <cell r="F127">
            <v>5.9</v>
          </cell>
          <cell r="G127" t="str">
            <v>Mandatory</v>
          </cell>
          <cell r="H127" t="str">
            <v>Urban</v>
          </cell>
          <cell r="I127" t="str">
            <v>Rehab Substantial</v>
          </cell>
        </row>
        <row r="128">
          <cell r="F128" t="str">
            <v>5.10</v>
          </cell>
          <cell r="G128" t="str">
            <v>0,2 or 5</v>
          </cell>
          <cell r="H128" t="str">
            <v>Urban</v>
          </cell>
          <cell r="I128" t="str">
            <v>Rehab Substantial</v>
          </cell>
        </row>
        <row r="129">
          <cell r="F129">
            <v>5.1100000000000003</v>
          </cell>
          <cell r="G129" t="str">
            <v>0,3 or 7</v>
          </cell>
          <cell r="H129" t="str">
            <v>Urban</v>
          </cell>
          <cell r="I129" t="str">
            <v>Rehab Substantial</v>
          </cell>
        </row>
        <row r="130">
          <cell r="F130">
            <v>5.12</v>
          </cell>
          <cell r="G130" t="str">
            <v>0 or 10</v>
          </cell>
          <cell r="H130" t="str">
            <v>Urban</v>
          </cell>
          <cell r="I130" t="str">
            <v>Rehab Substantial</v>
          </cell>
        </row>
        <row r="131">
          <cell r="F131">
            <v>5.13</v>
          </cell>
          <cell r="G131" t="str">
            <v>0, 2,5 or 7</v>
          </cell>
          <cell r="H131" t="str">
            <v>Urban</v>
          </cell>
          <cell r="I131" t="str">
            <v>Rehab Substantial</v>
          </cell>
        </row>
        <row r="132">
          <cell r="F132">
            <v>6.1</v>
          </cell>
          <cell r="G132" t="str">
            <v>Mandatory</v>
          </cell>
          <cell r="H132" t="str">
            <v>Urban</v>
          </cell>
          <cell r="I132" t="str">
            <v>Rehab Substantial</v>
          </cell>
        </row>
        <row r="133">
          <cell r="F133">
            <v>6.2</v>
          </cell>
          <cell r="G133" t="str">
            <v>Mandatory</v>
          </cell>
          <cell r="H133" t="str">
            <v>Urban</v>
          </cell>
          <cell r="I133" t="str">
            <v>Rehab Substantial</v>
          </cell>
        </row>
        <row r="134">
          <cell r="F134">
            <v>6.3</v>
          </cell>
          <cell r="G134" t="str">
            <v>up to 5</v>
          </cell>
          <cell r="H134" t="str">
            <v>Urban</v>
          </cell>
          <cell r="I134" t="str">
            <v>Rehab Substantial</v>
          </cell>
        </row>
        <row r="135">
          <cell r="F135">
            <v>6.4</v>
          </cell>
          <cell r="G135" t="str">
            <v>up to 10 (0.5 increments)</v>
          </cell>
          <cell r="H135" t="str">
            <v>Urban</v>
          </cell>
          <cell r="I135" t="str">
            <v>Rehab Substantial</v>
          </cell>
        </row>
        <row r="136">
          <cell r="F136" t="str">
            <v>6.5A</v>
          </cell>
          <cell r="G136" t="str">
            <v>0 or 2</v>
          </cell>
          <cell r="H136" t="str">
            <v>Urban</v>
          </cell>
          <cell r="I136" t="str">
            <v>Rehab Substantial</v>
          </cell>
        </row>
        <row r="137">
          <cell r="F137" t="str">
            <v>6.5B</v>
          </cell>
          <cell r="G137" t="str">
            <v>0 or 2, if paving</v>
          </cell>
          <cell r="H137" t="str">
            <v>Urban</v>
          </cell>
          <cell r="I137" t="str">
            <v>Rehab Substantial</v>
          </cell>
        </row>
        <row r="138">
          <cell r="F138">
            <v>6.6</v>
          </cell>
          <cell r="G138" t="str">
            <v>up to 3</v>
          </cell>
          <cell r="H138" t="str">
            <v>Urban</v>
          </cell>
          <cell r="I138" t="str">
            <v>Rehab Substantial</v>
          </cell>
        </row>
        <row r="139">
          <cell r="F139">
            <v>7.1</v>
          </cell>
          <cell r="G139" t="str">
            <v>Mandatory</v>
          </cell>
          <cell r="H139" t="str">
            <v>Urban</v>
          </cell>
          <cell r="I139" t="str">
            <v>Rehab Substantial</v>
          </cell>
        </row>
        <row r="140">
          <cell r="F140" t="str">
            <v>7.2A</v>
          </cell>
          <cell r="G140" t="str">
            <v>Mandatory, if providing flooring materials</v>
          </cell>
          <cell r="H140" t="str">
            <v>Urban</v>
          </cell>
          <cell r="I140" t="str">
            <v>Rehab Substantial</v>
          </cell>
        </row>
        <row r="141">
          <cell r="F141" t="str">
            <v>7.2B</v>
          </cell>
          <cell r="G141" t="str">
            <v>0 or 6</v>
          </cell>
          <cell r="H141" t="str">
            <v>Urban</v>
          </cell>
          <cell r="I141" t="str">
            <v>Rehab Substantial</v>
          </cell>
        </row>
        <row r="142">
          <cell r="F142" t="str">
            <v>7.3A</v>
          </cell>
          <cell r="G142" t="str">
            <v>Mandatory</v>
          </cell>
          <cell r="H142" t="str">
            <v>Urban</v>
          </cell>
          <cell r="I142" t="str">
            <v>Rehab Substantial</v>
          </cell>
        </row>
        <row r="143">
          <cell r="F143" t="str">
            <v>7.3B</v>
          </cell>
          <cell r="G143" t="str">
            <v>n/a</v>
          </cell>
          <cell r="H143" t="str">
            <v>Urban</v>
          </cell>
          <cell r="I143" t="str">
            <v>Rehab Substantial</v>
          </cell>
        </row>
        <row r="144">
          <cell r="F144" t="str">
            <v>7.4A</v>
          </cell>
          <cell r="G144" t="str">
            <v>n/a</v>
          </cell>
          <cell r="H144" t="str">
            <v>Urban</v>
          </cell>
          <cell r="I144" t="str">
            <v>Rehab Substantial</v>
          </cell>
        </row>
        <row r="145">
          <cell r="F145" t="str">
            <v>7.4B</v>
          </cell>
          <cell r="G145" t="str">
            <v>0 or 3</v>
          </cell>
          <cell r="H145" t="str">
            <v>Urban</v>
          </cell>
          <cell r="I145" t="str">
            <v>Rehab Substantial</v>
          </cell>
        </row>
        <row r="146">
          <cell r="F146">
            <v>7.5</v>
          </cell>
          <cell r="G146" t="str">
            <v>Mandatory</v>
          </cell>
          <cell r="H146" t="str">
            <v>Urban</v>
          </cell>
          <cell r="I146" t="str">
            <v>Rehab Substantial</v>
          </cell>
        </row>
        <row r="147">
          <cell r="F147">
            <v>7.6</v>
          </cell>
          <cell r="G147" t="str">
            <v>Mandatory</v>
          </cell>
          <cell r="H147" t="str">
            <v>Urban</v>
          </cell>
          <cell r="I147" t="str">
            <v>Rehab Substantial</v>
          </cell>
        </row>
        <row r="148">
          <cell r="F148">
            <v>7.7</v>
          </cell>
          <cell r="G148" t="str">
            <v>Mandatory</v>
          </cell>
          <cell r="H148" t="str">
            <v>Urban</v>
          </cell>
          <cell r="I148" t="str">
            <v>Rehab Substantial</v>
          </cell>
        </row>
        <row r="149">
          <cell r="F149">
            <v>7.8</v>
          </cell>
          <cell r="G149" t="str">
            <v>Mandatory</v>
          </cell>
          <cell r="H149" t="str">
            <v>Urban</v>
          </cell>
          <cell r="I149" t="str">
            <v>Rehab Substantial</v>
          </cell>
        </row>
        <row r="150">
          <cell r="F150">
            <v>7.9</v>
          </cell>
          <cell r="G150" t="str">
            <v>Mandatory</v>
          </cell>
          <cell r="H150" t="str">
            <v>Urban</v>
          </cell>
          <cell r="I150" t="str">
            <v>Rehab Substantial</v>
          </cell>
        </row>
        <row r="151">
          <cell r="F151" t="str">
            <v>7.10</v>
          </cell>
          <cell r="G151" t="str">
            <v>Mandatory if Foundation Work Included</v>
          </cell>
          <cell r="H151" t="str">
            <v>Urban</v>
          </cell>
          <cell r="I151" t="str">
            <v>Rehab Substantial</v>
          </cell>
        </row>
        <row r="152">
          <cell r="F152">
            <v>7.11</v>
          </cell>
          <cell r="G152" t="str">
            <v>Mandatory</v>
          </cell>
          <cell r="H152" t="str">
            <v>Urban</v>
          </cell>
          <cell r="I152" t="str">
            <v>Rehab Substantial</v>
          </cell>
        </row>
        <row r="153">
          <cell r="F153">
            <v>7.12</v>
          </cell>
          <cell r="G153" t="str">
            <v>Mandatory</v>
          </cell>
          <cell r="H153" t="str">
            <v>Urban</v>
          </cell>
          <cell r="I153" t="str">
            <v>Rehab Substantial</v>
          </cell>
        </row>
        <row r="154">
          <cell r="F154" t="str">
            <v>7.13A</v>
          </cell>
          <cell r="G154" t="str">
            <v>n/a</v>
          </cell>
          <cell r="H154" t="str">
            <v>Urban</v>
          </cell>
          <cell r="I154" t="str">
            <v>Rehab Substantial</v>
          </cell>
        </row>
        <row r="155">
          <cell r="F155" t="str">
            <v>7.13B</v>
          </cell>
          <cell r="G155" t="str">
            <v>0,2,3,4,5,6,7,8 or 10</v>
          </cell>
          <cell r="H155" t="str">
            <v>Urban</v>
          </cell>
          <cell r="I155" t="str">
            <v>Rehab Substantial</v>
          </cell>
        </row>
        <row r="156">
          <cell r="F156">
            <v>7.14</v>
          </cell>
          <cell r="G156" t="str">
            <v>Mandatory</v>
          </cell>
          <cell r="H156" t="str">
            <v>Urban</v>
          </cell>
          <cell r="I156" t="str">
            <v>Rehab Substantial</v>
          </cell>
        </row>
        <row r="157">
          <cell r="F157">
            <v>7.15</v>
          </cell>
          <cell r="G157" t="str">
            <v>Mandatory</v>
          </cell>
          <cell r="H157" t="str">
            <v>Urban</v>
          </cell>
          <cell r="I157" t="str">
            <v>Rehab Substantial</v>
          </cell>
        </row>
        <row r="158">
          <cell r="F158">
            <v>7.16</v>
          </cell>
          <cell r="G158" t="str">
            <v>Mandatory</v>
          </cell>
          <cell r="H158" t="str">
            <v>Urban</v>
          </cell>
          <cell r="I158" t="str">
            <v>Rehab Substantial</v>
          </cell>
        </row>
        <row r="159">
          <cell r="F159">
            <v>7.17</v>
          </cell>
          <cell r="G159" t="str">
            <v>Mandatory</v>
          </cell>
          <cell r="H159" t="str">
            <v>Urban</v>
          </cell>
          <cell r="I159" t="str">
            <v>Rehab Substantial</v>
          </cell>
        </row>
        <row r="160">
          <cell r="F160" t="str">
            <v>8.1A</v>
          </cell>
          <cell r="G160" t="str">
            <v>Mandatory</v>
          </cell>
          <cell r="H160" t="str">
            <v>Urban</v>
          </cell>
          <cell r="I160" t="str">
            <v>Rehab Substantial</v>
          </cell>
        </row>
        <row r="161">
          <cell r="F161" t="str">
            <v>8.1B</v>
          </cell>
          <cell r="G161" t="str">
            <v>0 or 7</v>
          </cell>
          <cell r="H161" t="str">
            <v>Urban</v>
          </cell>
          <cell r="I161" t="str">
            <v>Rehab Substantial</v>
          </cell>
        </row>
        <row r="162">
          <cell r="F162">
            <v>8.1999999999999993</v>
          </cell>
          <cell r="G162" t="str">
            <v>Mandatory for Multifamily Projects</v>
          </cell>
          <cell r="H162" t="str">
            <v>Urban</v>
          </cell>
          <cell r="I162" t="str">
            <v>Rehab Substantial</v>
          </cell>
        </row>
        <row r="163">
          <cell r="F163">
            <v>8.3000000000000007</v>
          </cell>
          <cell r="G163" t="str">
            <v>Mandatory</v>
          </cell>
          <cell r="H163" t="str">
            <v>Urban</v>
          </cell>
          <cell r="I163" t="str">
            <v>Rehab Substantial</v>
          </cell>
        </row>
        <row r="164">
          <cell r="F164">
            <v>8.4</v>
          </cell>
          <cell r="G164" t="str">
            <v>0,3,5 or 8</v>
          </cell>
          <cell r="H164" t="str">
            <v>Urban</v>
          </cell>
          <cell r="I164" t="str">
            <v>Rehab Substantial</v>
          </cell>
        </row>
        <row r="165">
          <cell r="F165">
            <v>8.5</v>
          </cell>
          <cell r="G165" t="str">
            <v>Mandatory</v>
          </cell>
          <cell r="H165" t="str">
            <v>Urban</v>
          </cell>
          <cell r="I165" t="str">
            <v>Rehab Substantial</v>
          </cell>
        </row>
        <row r="166">
          <cell r="F166" t="str">
            <v>1.1A</v>
          </cell>
          <cell r="G166" t="str">
            <v>Mandatory</v>
          </cell>
          <cell r="H166" t="str">
            <v>Urban</v>
          </cell>
          <cell r="I166" t="str">
            <v>Rehab Moderate</v>
          </cell>
        </row>
        <row r="167">
          <cell r="F167" t="str">
            <v>1.1B</v>
          </cell>
          <cell r="G167" t="str">
            <v>0,2,4,6,8 or 10</v>
          </cell>
          <cell r="H167" t="str">
            <v>Urban</v>
          </cell>
          <cell r="I167" t="str">
            <v>Rehab Moderate</v>
          </cell>
        </row>
        <row r="168">
          <cell r="F168">
            <v>1.2</v>
          </cell>
          <cell r="G168" t="str">
            <v>Up to 3</v>
          </cell>
          <cell r="H168" t="str">
            <v>Urban</v>
          </cell>
          <cell r="I168" t="str">
            <v>Rehab Moderate</v>
          </cell>
        </row>
        <row r="169">
          <cell r="F169" t="str">
            <v>1.3A</v>
          </cell>
          <cell r="G169" t="str">
            <v>Mandatory</v>
          </cell>
          <cell r="H169" t="str">
            <v>Urban</v>
          </cell>
          <cell r="I169" t="str">
            <v>Rehab Moderate</v>
          </cell>
        </row>
        <row r="170">
          <cell r="F170" t="str">
            <v>1.3B</v>
          </cell>
          <cell r="G170" t="str">
            <v>up to 12 (2 point increments)</v>
          </cell>
          <cell r="H170" t="str">
            <v>Urban</v>
          </cell>
          <cell r="I170" t="str">
            <v>Rehab Moderate</v>
          </cell>
        </row>
        <row r="171">
          <cell r="F171">
            <v>1.4</v>
          </cell>
          <cell r="G171" t="str">
            <v>0,3 or 6</v>
          </cell>
          <cell r="H171" t="str">
            <v>Urban</v>
          </cell>
          <cell r="I171" t="str">
            <v>Rehab Moderate</v>
          </cell>
        </row>
        <row r="172">
          <cell r="F172">
            <v>2.1</v>
          </cell>
          <cell r="G172" t="str">
            <v>Mandatory</v>
          </cell>
          <cell r="H172" t="str">
            <v>Urban</v>
          </cell>
          <cell r="I172" t="str">
            <v>Rehab Moderate</v>
          </cell>
        </row>
        <row r="173">
          <cell r="F173">
            <v>2.2000000000000002</v>
          </cell>
          <cell r="G173" t="str">
            <v>n/a</v>
          </cell>
          <cell r="H173" t="str">
            <v>Urban</v>
          </cell>
          <cell r="I173" t="str">
            <v>Rehab Moderate</v>
          </cell>
        </row>
        <row r="174">
          <cell r="F174">
            <v>2.2999999999999998</v>
          </cell>
          <cell r="G174" t="str">
            <v>Mandatory</v>
          </cell>
          <cell r="H174" t="str">
            <v>Urban</v>
          </cell>
          <cell r="I174" t="str">
            <v>Rehab Moderate</v>
          </cell>
        </row>
        <row r="175">
          <cell r="F175">
            <v>2.4</v>
          </cell>
          <cell r="G175" t="str">
            <v>0 or 5</v>
          </cell>
          <cell r="H175" t="str">
            <v>Urban</v>
          </cell>
          <cell r="I175" t="str">
            <v>Rehab Moderate</v>
          </cell>
        </row>
        <row r="176">
          <cell r="F176">
            <v>2.5</v>
          </cell>
          <cell r="G176" t="str">
            <v xml:space="preserve">Mandatory, +5 </v>
          </cell>
          <cell r="H176" t="str">
            <v>Urban</v>
          </cell>
          <cell r="I176" t="str">
            <v>Rehab Moderate</v>
          </cell>
        </row>
        <row r="177">
          <cell r="F177">
            <v>2.6</v>
          </cell>
          <cell r="G177" t="str">
            <v>Mandatory</v>
          </cell>
          <cell r="H177" t="str">
            <v>Urban</v>
          </cell>
          <cell r="I177" t="str">
            <v>Rehab Moderate</v>
          </cell>
        </row>
        <row r="178">
          <cell r="F178" t="str">
            <v>2.7A</v>
          </cell>
          <cell r="G178" t="str">
            <v>Mandatory</v>
          </cell>
          <cell r="H178" t="str">
            <v>Urban</v>
          </cell>
          <cell r="I178" t="str">
            <v>Rehab Moderate</v>
          </cell>
        </row>
        <row r="179">
          <cell r="F179" t="str">
            <v>2.7B</v>
          </cell>
          <cell r="G179" t="str">
            <v>0,3 or 5 -Tribal Only</v>
          </cell>
          <cell r="H179" t="str">
            <v>Urban</v>
          </cell>
          <cell r="I179" t="str">
            <v>Rehab Moderate</v>
          </cell>
        </row>
        <row r="180">
          <cell r="F180">
            <v>2.8</v>
          </cell>
          <cell r="G180" t="str">
            <v>up to 2</v>
          </cell>
          <cell r="H180" t="str">
            <v>Urban</v>
          </cell>
          <cell r="I180" t="str">
            <v>Rehab Moderate</v>
          </cell>
        </row>
        <row r="181">
          <cell r="F181">
            <v>2.9</v>
          </cell>
          <cell r="G181" t="str">
            <v>0 or 5</v>
          </cell>
          <cell r="H181" t="str">
            <v>Urban</v>
          </cell>
          <cell r="I181" t="str">
            <v>Rehab Moderate</v>
          </cell>
        </row>
        <row r="182">
          <cell r="F182" t="str">
            <v>2.10</v>
          </cell>
          <cell r="G182" t="str">
            <v>0 or 3</v>
          </cell>
          <cell r="H182" t="str">
            <v>Urban</v>
          </cell>
          <cell r="I182" t="str">
            <v>Rehab Moderate</v>
          </cell>
        </row>
        <row r="183">
          <cell r="F183">
            <v>3.1</v>
          </cell>
          <cell r="G183" t="str">
            <v>Mandatory</v>
          </cell>
          <cell r="H183" t="str">
            <v>Urban</v>
          </cell>
          <cell r="I183" t="str">
            <v>Rehab Moderate</v>
          </cell>
        </row>
        <row r="184">
          <cell r="F184">
            <v>3.2</v>
          </cell>
          <cell r="G184" t="str">
            <v>Mandatory</v>
          </cell>
          <cell r="H184" t="str">
            <v>Urban</v>
          </cell>
          <cell r="I184" t="str">
            <v>Rehab Moderate</v>
          </cell>
        </row>
        <row r="185">
          <cell r="F185" t="str">
            <v>3.3A</v>
          </cell>
          <cell r="G185" t="str">
            <v>Mandatory, if providing Landscaping</v>
          </cell>
          <cell r="H185" t="str">
            <v>Urban</v>
          </cell>
          <cell r="I185" t="str">
            <v>Rehab Moderate</v>
          </cell>
        </row>
        <row r="186">
          <cell r="F186" t="str">
            <v>3.3B</v>
          </cell>
          <cell r="G186" t="str">
            <v>0 or 5</v>
          </cell>
          <cell r="H186" t="str">
            <v>Urban</v>
          </cell>
          <cell r="I186" t="str">
            <v>Rehab Moderate</v>
          </cell>
        </row>
        <row r="187">
          <cell r="F187" t="str">
            <v>3.3C</v>
          </cell>
          <cell r="G187" t="str">
            <v>up to 5</v>
          </cell>
          <cell r="H187" t="str">
            <v>Urban</v>
          </cell>
          <cell r="I187" t="str">
            <v>Rehab Moderate</v>
          </cell>
        </row>
        <row r="188">
          <cell r="F188">
            <v>3.4</v>
          </cell>
          <cell r="G188" t="str">
            <v>Mandatory, if installing irrigation</v>
          </cell>
          <cell r="H188" t="str">
            <v>Urban</v>
          </cell>
          <cell r="I188" t="str">
            <v>Rehab Moderate</v>
          </cell>
        </row>
        <row r="189">
          <cell r="F189">
            <v>3.5</v>
          </cell>
          <cell r="G189" t="str">
            <v>0,2,4 or 6</v>
          </cell>
          <cell r="H189" t="str">
            <v>Urban</v>
          </cell>
          <cell r="I189" t="str">
            <v>Rehab Moderate</v>
          </cell>
        </row>
        <row r="190">
          <cell r="F190">
            <v>3.6</v>
          </cell>
          <cell r="G190" t="str">
            <v>Mandatory</v>
          </cell>
          <cell r="H190" t="str">
            <v>Urban</v>
          </cell>
          <cell r="I190" t="str">
            <v>Rehab Moderate</v>
          </cell>
        </row>
        <row r="191">
          <cell r="F191" t="str">
            <v>4.1A</v>
          </cell>
          <cell r="G191" t="str">
            <v>Mandatory</v>
          </cell>
          <cell r="H191" t="str">
            <v>Urban</v>
          </cell>
          <cell r="I191" t="str">
            <v>Rehab Moderate</v>
          </cell>
        </row>
        <row r="192">
          <cell r="F192" t="str">
            <v>4.1B</v>
          </cell>
          <cell r="G192" t="str">
            <v>up to 6</v>
          </cell>
          <cell r="H192" t="str">
            <v>Urban</v>
          </cell>
          <cell r="I192" t="str">
            <v>Rehab Moderate</v>
          </cell>
        </row>
        <row r="193">
          <cell r="F193">
            <v>4.2</v>
          </cell>
          <cell r="G193" t="str">
            <v>0 or 4</v>
          </cell>
          <cell r="H193" t="str">
            <v>Urban</v>
          </cell>
          <cell r="I193" t="str">
            <v>Rehab Moderate</v>
          </cell>
        </row>
        <row r="194">
          <cell r="F194">
            <v>4.3</v>
          </cell>
          <cell r="G194" t="str">
            <v>0,1,2,4,6,8,10 or 12</v>
          </cell>
          <cell r="H194" t="str">
            <v>Urban</v>
          </cell>
          <cell r="I194" t="str">
            <v>Rehab Moderate</v>
          </cell>
        </row>
        <row r="195">
          <cell r="F195">
            <v>4.4000000000000004</v>
          </cell>
          <cell r="G195" t="str">
            <v>0 or 7</v>
          </cell>
          <cell r="H195" t="str">
            <v>Urban</v>
          </cell>
          <cell r="I195" t="str">
            <v>Rehab Moderate</v>
          </cell>
        </row>
        <row r="196">
          <cell r="F196" t="str">
            <v>5.1A</v>
          </cell>
          <cell r="G196" t="str">
            <v>n/a</v>
          </cell>
          <cell r="H196" t="str">
            <v>Urban</v>
          </cell>
          <cell r="I196" t="str">
            <v>Rehab Moderate</v>
          </cell>
        </row>
        <row r="197">
          <cell r="F197" t="str">
            <v>5.1B</v>
          </cell>
          <cell r="G197" t="str">
            <v>Mandatory</v>
          </cell>
          <cell r="H197" t="str">
            <v>Urban</v>
          </cell>
          <cell r="I197" t="str">
            <v>Rehab Moderate</v>
          </cell>
        </row>
        <row r="198">
          <cell r="F198" t="str">
            <v>5.2A</v>
          </cell>
          <cell r="G198" t="str">
            <v>n/a</v>
          </cell>
          <cell r="H198" t="str">
            <v>Urban</v>
          </cell>
          <cell r="I198" t="str">
            <v>Rehab Moderate</v>
          </cell>
        </row>
        <row r="199">
          <cell r="F199" t="str">
            <v>5.2B</v>
          </cell>
          <cell r="G199" t="str">
            <v>0 or 5</v>
          </cell>
          <cell r="H199" t="str">
            <v>Urban</v>
          </cell>
          <cell r="I199" t="str">
            <v>Rehab Moderate</v>
          </cell>
        </row>
        <row r="200">
          <cell r="F200">
            <v>5.3</v>
          </cell>
          <cell r="G200" t="str">
            <v>0,1,2,3 or 4</v>
          </cell>
          <cell r="H200" t="str">
            <v>Urban</v>
          </cell>
          <cell r="I200" t="str">
            <v>Rehab Moderate</v>
          </cell>
        </row>
        <row r="201">
          <cell r="F201">
            <v>5.4</v>
          </cell>
          <cell r="G201" t="str">
            <v>Mandatory, if providing appliances</v>
          </cell>
          <cell r="H201" t="str">
            <v>Urban</v>
          </cell>
          <cell r="I201" t="str">
            <v>Rehab Moderate</v>
          </cell>
        </row>
        <row r="202">
          <cell r="F202">
            <v>5.5</v>
          </cell>
          <cell r="G202" t="str">
            <v>0 or 3</v>
          </cell>
          <cell r="H202" t="str">
            <v>Urban</v>
          </cell>
          <cell r="I202" t="str">
            <v>Rehab Moderate</v>
          </cell>
        </row>
        <row r="203">
          <cell r="F203">
            <v>5.6</v>
          </cell>
          <cell r="G203" t="str">
            <v>Mandatory</v>
          </cell>
          <cell r="H203" t="str">
            <v>Urban</v>
          </cell>
          <cell r="I203" t="str">
            <v>Rehab Moderate</v>
          </cell>
        </row>
        <row r="204">
          <cell r="F204" t="str">
            <v>5.7A</v>
          </cell>
          <cell r="G204" t="str">
            <v>n/a</v>
          </cell>
          <cell r="H204" t="str">
            <v>Urban</v>
          </cell>
          <cell r="I204" t="str">
            <v>Rehab Moderate</v>
          </cell>
        </row>
        <row r="205">
          <cell r="F205" t="str">
            <v>5.7B</v>
          </cell>
          <cell r="G205" t="str">
            <v>0 or 2</v>
          </cell>
          <cell r="H205" t="str">
            <v>Urban</v>
          </cell>
          <cell r="I205" t="str">
            <v>Rehab Moderate</v>
          </cell>
        </row>
        <row r="206">
          <cell r="F206" t="str">
            <v>5.8A</v>
          </cell>
          <cell r="G206" t="str">
            <v>up to 15</v>
          </cell>
          <cell r="H206" t="str">
            <v>Urban</v>
          </cell>
          <cell r="I206" t="str">
            <v>Rehab Moderate</v>
          </cell>
        </row>
        <row r="207">
          <cell r="F207" t="str">
            <v>5.8B</v>
          </cell>
          <cell r="G207" t="str">
            <v>0 or 1</v>
          </cell>
          <cell r="H207" t="str">
            <v>Urban</v>
          </cell>
          <cell r="I207" t="str">
            <v>Rehab Moderate</v>
          </cell>
        </row>
        <row r="208">
          <cell r="F208" t="str">
            <v>5.8C</v>
          </cell>
          <cell r="G208" t="str">
            <v>up to 10</v>
          </cell>
          <cell r="H208" t="str">
            <v>Urban</v>
          </cell>
          <cell r="I208" t="str">
            <v>Rehab Moderate</v>
          </cell>
        </row>
        <row r="209">
          <cell r="F209">
            <v>5.9</v>
          </cell>
          <cell r="G209" t="str">
            <v>Mandatory</v>
          </cell>
          <cell r="H209" t="str">
            <v>Urban</v>
          </cell>
          <cell r="I209" t="str">
            <v>Rehab Moderate</v>
          </cell>
        </row>
        <row r="210">
          <cell r="F210" t="str">
            <v>5.10</v>
          </cell>
          <cell r="G210" t="str">
            <v>0, 2 or 5</v>
          </cell>
          <cell r="H210" t="str">
            <v>Urban</v>
          </cell>
          <cell r="I210" t="str">
            <v>Rehab Moderate</v>
          </cell>
        </row>
        <row r="211">
          <cell r="F211">
            <v>5.1100000000000003</v>
          </cell>
          <cell r="G211" t="str">
            <v>0, 3 or 7</v>
          </cell>
          <cell r="H211" t="str">
            <v>Urban</v>
          </cell>
          <cell r="I211" t="str">
            <v>Rehab Moderate</v>
          </cell>
        </row>
        <row r="212">
          <cell r="F212">
            <v>5.12</v>
          </cell>
          <cell r="G212" t="str">
            <v>0 or 10</v>
          </cell>
          <cell r="H212" t="str">
            <v>Urban</v>
          </cell>
          <cell r="I212" t="str">
            <v>Rehab Moderate</v>
          </cell>
        </row>
        <row r="213">
          <cell r="F213">
            <v>5.13</v>
          </cell>
          <cell r="G213" t="str">
            <v>0,2,5 or 7</v>
          </cell>
          <cell r="H213" t="str">
            <v>Urban</v>
          </cell>
          <cell r="I213" t="str">
            <v>Rehab Moderate</v>
          </cell>
        </row>
        <row r="214">
          <cell r="F214">
            <v>6.1</v>
          </cell>
          <cell r="G214" t="str">
            <v>Mandatory</v>
          </cell>
          <cell r="H214" t="str">
            <v>Urban</v>
          </cell>
          <cell r="I214" t="str">
            <v>Rehab Moderate</v>
          </cell>
        </row>
        <row r="215">
          <cell r="F215">
            <v>6.2</v>
          </cell>
          <cell r="G215" t="str">
            <v>Mandatory</v>
          </cell>
          <cell r="H215" t="str">
            <v>Urban</v>
          </cell>
          <cell r="I215" t="str">
            <v>Rehab Moderate</v>
          </cell>
        </row>
        <row r="216">
          <cell r="F216">
            <v>6.3</v>
          </cell>
          <cell r="G216" t="str">
            <v>up to 5</v>
          </cell>
          <cell r="H216" t="str">
            <v>Urban</v>
          </cell>
          <cell r="I216" t="str">
            <v>Rehab Moderate</v>
          </cell>
        </row>
        <row r="217">
          <cell r="F217">
            <v>6.4</v>
          </cell>
          <cell r="G217" t="str">
            <v>up to 10 (0.5 increments)</v>
          </cell>
          <cell r="H217" t="str">
            <v>Urban</v>
          </cell>
          <cell r="I217" t="str">
            <v>Rehab Moderate</v>
          </cell>
        </row>
        <row r="218">
          <cell r="F218" t="str">
            <v>6.5A</v>
          </cell>
          <cell r="G218" t="str">
            <v>0 or 2</v>
          </cell>
          <cell r="H218" t="str">
            <v>Urban</v>
          </cell>
          <cell r="I218" t="str">
            <v>Rehab Moderate</v>
          </cell>
        </row>
        <row r="219">
          <cell r="F219" t="str">
            <v>6.5B</v>
          </cell>
          <cell r="G219" t="str">
            <v>0 or 2, if paving</v>
          </cell>
          <cell r="H219" t="str">
            <v>Urban</v>
          </cell>
          <cell r="I219" t="str">
            <v>Rehab Moderate</v>
          </cell>
        </row>
        <row r="220">
          <cell r="F220">
            <v>6.6</v>
          </cell>
          <cell r="G220" t="str">
            <v>up to 3</v>
          </cell>
          <cell r="H220" t="str">
            <v>Urban</v>
          </cell>
          <cell r="I220" t="str">
            <v>Rehab Moderate</v>
          </cell>
        </row>
        <row r="221">
          <cell r="F221">
            <v>7.1</v>
          </cell>
          <cell r="G221" t="str">
            <v>Mandatory</v>
          </cell>
          <cell r="H221" t="str">
            <v>Urban</v>
          </cell>
          <cell r="I221" t="str">
            <v>Rehab Moderate</v>
          </cell>
        </row>
        <row r="222">
          <cell r="F222" t="str">
            <v>7.2A</v>
          </cell>
          <cell r="G222" t="str">
            <v>Mandatory, if providing flooring materials</v>
          </cell>
          <cell r="H222" t="str">
            <v>Urban</v>
          </cell>
          <cell r="I222" t="str">
            <v>Rehab Moderate</v>
          </cell>
        </row>
        <row r="223">
          <cell r="F223" t="str">
            <v>7.2B</v>
          </cell>
          <cell r="G223" t="str">
            <v>0 or 6</v>
          </cell>
          <cell r="H223" t="str">
            <v>Urban</v>
          </cell>
          <cell r="I223" t="str">
            <v>Rehab Moderate</v>
          </cell>
        </row>
        <row r="224">
          <cell r="F224" t="str">
            <v>7.3A</v>
          </cell>
          <cell r="G224" t="str">
            <v>n/a</v>
          </cell>
          <cell r="H224" t="str">
            <v>Urban</v>
          </cell>
          <cell r="I224" t="str">
            <v>Rehab Moderate</v>
          </cell>
        </row>
        <row r="225">
          <cell r="F225" t="str">
            <v>7.3B</v>
          </cell>
          <cell r="G225" t="str">
            <v>0 or 3</v>
          </cell>
          <cell r="H225" t="str">
            <v>Urban</v>
          </cell>
          <cell r="I225" t="str">
            <v>Rehab Moderate</v>
          </cell>
        </row>
        <row r="226">
          <cell r="F226" t="str">
            <v>7.4A</v>
          </cell>
          <cell r="G226" t="str">
            <v>n/a</v>
          </cell>
          <cell r="H226" t="str">
            <v>Urban</v>
          </cell>
          <cell r="I226" t="str">
            <v>Rehab Moderate</v>
          </cell>
        </row>
        <row r="227">
          <cell r="F227" t="str">
            <v>7.4B</v>
          </cell>
          <cell r="G227" t="str">
            <v>0 or 3</v>
          </cell>
          <cell r="H227" t="str">
            <v>Urban</v>
          </cell>
          <cell r="I227" t="str">
            <v>Rehab Moderate</v>
          </cell>
        </row>
        <row r="228">
          <cell r="F228">
            <v>7.5</v>
          </cell>
          <cell r="G228" t="str">
            <v>Mandatory</v>
          </cell>
          <cell r="H228" t="str">
            <v>Urban</v>
          </cell>
          <cell r="I228" t="str">
            <v>Rehab Moderate</v>
          </cell>
        </row>
        <row r="229">
          <cell r="F229">
            <v>7.6</v>
          </cell>
          <cell r="G229" t="str">
            <v>Mandatory</v>
          </cell>
          <cell r="H229" t="str">
            <v>Urban</v>
          </cell>
          <cell r="I229" t="str">
            <v>Rehab Moderate</v>
          </cell>
        </row>
        <row r="230">
          <cell r="F230">
            <v>7.7</v>
          </cell>
          <cell r="G230" t="str">
            <v>Mandatory</v>
          </cell>
          <cell r="H230" t="str">
            <v>Urban</v>
          </cell>
          <cell r="I230" t="str">
            <v>Rehab Moderate</v>
          </cell>
        </row>
        <row r="231">
          <cell r="F231">
            <v>7.8</v>
          </cell>
          <cell r="G231" t="str">
            <v>Mandatory</v>
          </cell>
          <cell r="H231" t="str">
            <v>Urban</v>
          </cell>
          <cell r="I231" t="str">
            <v>Rehab Moderate</v>
          </cell>
        </row>
        <row r="232">
          <cell r="F232">
            <v>7.9</v>
          </cell>
          <cell r="G232" t="str">
            <v>Mandatory</v>
          </cell>
          <cell r="H232" t="str">
            <v>Urban</v>
          </cell>
          <cell r="I232" t="str">
            <v>Rehab Moderate</v>
          </cell>
        </row>
        <row r="233">
          <cell r="F233" t="str">
            <v>7.10</v>
          </cell>
          <cell r="G233" t="str">
            <v>Mandatory if Foundation Work Included</v>
          </cell>
          <cell r="H233" t="str">
            <v>Urban</v>
          </cell>
          <cell r="I233" t="str">
            <v>Rehab Moderate</v>
          </cell>
        </row>
        <row r="234">
          <cell r="F234">
            <v>7.11</v>
          </cell>
          <cell r="G234" t="str">
            <v>Mandatory</v>
          </cell>
          <cell r="H234" t="str">
            <v>Urban</v>
          </cell>
          <cell r="I234" t="str">
            <v>Rehab Moderate</v>
          </cell>
        </row>
        <row r="235">
          <cell r="F235">
            <v>7.12</v>
          </cell>
          <cell r="G235" t="str">
            <v>Mandatory</v>
          </cell>
          <cell r="H235" t="str">
            <v>Urban</v>
          </cell>
          <cell r="I235" t="str">
            <v>Rehab Moderate</v>
          </cell>
        </row>
        <row r="236">
          <cell r="F236" t="str">
            <v>7.13A</v>
          </cell>
          <cell r="G236" t="str">
            <v>n/a</v>
          </cell>
          <cell r="H236" t="str">
            <v>Urban</v>
          </cell>
          <cell r="I236" t="str">
            <v>Rehab Moderate</v>
          </cell>
        </row>
        <row r="237">
          <cell r="F237" t="str">
            <v>7.13B</v>
          </cell>
          <cell r="G237" t="str">
            <v>0,2,3,4,5,6,7,8 or 10</v>
          </cell>
          <cell r="H237" t="str">
            <v>Urban</v>
          </cell>
          <cell r="I237" t="str">
            <v>Rehab Moderate</v>
          </cell>
        </row>
        <row r="238">
          <cell r="F238">
            <v>7.14</v>
          </cell>
          <cell r="G238" t="str">
            <v>Mandatory</v>
          </cell>
          <cell r="H238" t="str">
            <v>Urban</v>
          </cell>
          <cell r="I238" t="str">
            <v>Rehab Moderate</v>
          </cell>
        </row>
        <row r="239">
          <cell r="F239">
            <v>7.15</v>
          </cell>
          <cell r="G239" t="str">
            <v>Mandatory</v>
          </cell>
          <cell r="H239" t="str">
            <v>Urban</v>
          </cell>
          <cell r="I239" t="str">
            <v>Rehab Moderate</v>
          </cell>
        </row>
        <row r="240">
          <cell r="F240">
            <v>7.16</v>
          </cell>
          <cell r="G240" t="str">
            <v>Mandatory</v>
          </cell>
          <cell r="H240" t="str">
            <v>Urban</v>
          </cell>
          <cell r="I240" t="str">
            <v>Rehab Moderate</v>
          </cell>
        </row>
        <row r="241">
          <cell r="F241">
            <v>7.17</v>
          </cell>
          <cell r="G241" t="str">
            <v>Mandatory</v>
          </cell>
          <cell r="H241" t="str">
            <v>Urban</v>
          </cell>
          <cell r="I241" t="str">
            <v>Rehab Moderate</v>
          </cell>
        </row>
        <row r="242">
          <cell r="F242" t="str">
            <v>8.1A</v>
          </cell>
          <cell r="G242" t="str">
            <v>Mandatory</v>
          </cell>
          <cell r="H242" t="str">
            <v>Urban</v>
          </cell>
          <cell r="I242" t="str">
            <v>Rehab Moderate</v>
          </cell>
        </row>
        <row r="243">
          <cell r="F243" t="str">
            <v>8.1B</v>
          </cell>
          <cell r="G243" t="str">
            <v>0 or 7</v>
          </cell>
          <cell r="H243" t="str">
            <v>Urban</v>
          </cell>
          <cell r="I243" t="str">
            <v>Rehab Moderate</v>
          </cell>
        </row>
        <row r="244">
          <cell r="F244">
            <v>8.1999999999999993</v>
          </cell>
          <cell r="G244" t="str">
            <v>Mandatory for Multifamily Projects</v>
          </cell>
          <cell r="H244" t="str">
            <v>Urban</v>
          </cell>
          <cell r="I244" t="str">
            <v>Rehab Moderate</v>
          </cell>
        </row>
        <row r="245">
          <cell r="F245">
            <v>8.3000000000000007</v>
          </cell>
          <cell r="G245" t="str">
            <v>Mandatory</v>
          </cell>
          <cell r="H245" t="str">
            <v>Urban</v>
          </cell>
          <cell r="I245" t="str">
            <v>Rehab Moderate</v>
          </cell>
        </row>
        <row r="246">
          <cell r="F246">
            <v>8.4</v>
          </cell>
          <cell r="G246" t="str">
            <v>0,3,5 or 8</v>
          </cell>
          <cell r="H246" t="str">
            <v>Urban</v>
          </cell>
          <cell r="I246" t="str">
            <v>Rehab Moderate</v>
          </cell>
        </row>
        <row r="247">
          <cell r="F247">
            <v>8.5</v>
          </cell>
          <cell r="G247" t="str">
            <v>Mandatory</v>
          </cell>
          <cell r="H247" t="str">
            <v>Urban</v>
          </cell>
          <cell r="I247" t="str">
            <v>Rehab Moderate</v>
          </cell>
        </row>
        <row r="248">
          <cell r="F248" t="str">
            <v>1.1A</v>
          </cell>
          <cell r="G248" t="str">
            <v>Mandatory</v>
          </cell>
          <cell r="H248" t="str">
            <v>Rural</v>
          </cell>
          <cell r="I248" t="str">
            <v>New Construction</v>
          </cell>
        </row>
        <row r="249">
          <cell r="F249" t="str">
            <v>1.1B</v>
          </cell>
          <cell r="G249" t="str">
            <v>0,2,4,6,8 or 10</v>
          </cell>
          <cell r="H249" t="str">
            <v>Rural</v>
          </cell>
          <cell r="I249" t="str">
            <v>New Construction</v>
          </cell>
        </row>
        <row r="250">
          <cell r="F250">
            <v>1.2</v>
          </cell>
          <cell r="G250" t="str">
            <v>Up to 3</v>
          </cell>
          <cell r="H250" t="str">
            <v>Rural</v>
          </cell>
          <cell r="I250" t="str">
            <v>New Construction</v>
          </cell>
        </row>
        <row r="251">
          <cell r="F251" t="str">
            <v>1.3A</v>
          </cell>
          <cell r="G251" t="str">
            <v>Mandatory</v>
          </cell>
          <cell r="H251" t="str">
            <v>Rural</v>
          </cell>
          <cell r="I251" t="str">
            <v>New Construction</v>
          </cell>
        </row>
        <row r="252">
          <cell r="F252" t="str">
            <v>1.3B</v>
          </cell>
          <cell r="G252" t="str">
            <v>up to 12 (2 point increments)</v>
          </cell>
          <cell r="H252" t="str">
            <v>Rural</v>
          </cell>
          <cell r="I252" t="str">
            <v>New Construction</v>
          </cell>
        </row>
        <row r="253">
          <cell r="F253">
            <v>1.4</v>
          </cell>
          <cell r="G253" t="str">
            <v>0,3 or 6</v>
          </cell>
          <cell r="H253" t="str">
            <v>Rural</v>
          </cell>
          <cell r="I253" t="str">
            <v>New Construction</v>
          </cell>
        </row>
        <row r="254">
          <cell r="F254">
            <v>2.1</v>
          </cell>
          <cell r="G254" t="str">
            <v>Mandatory</v>
          </cell>
          <cell r="H254" t="str">
            <v>Rural</v>
          </cell>
          <cell r="I254" t="str">
            <v>New Construction</v>
          </cell>
        </row>
        <row r="255">
          <cell r="F255">
            <v>2.2000000000000002</v>
          </cell>
          <cell r="G255" t="str">
            <v>0 or 2</v>
          </cell>
          <cell r="H255" t="str">
            <v>Rural</v>
          </cell>
          <cell r="I255" t="str">
            <v>New Construction</v>
          </cell>
        </row>
        <row r="256">
          <cell r="F256">
            <v>2.2999999999999998</v>
          </cell>
          <cell r="G256" t="str">
            <v>Mandatory</v>
          </cell>
          <cell r="H256" t="str">
            <v>Rural</v>
          </cell>
          <cell r="I256" t="str">
            <v>New Construction</v>
          </cell>
        </row>
        <row r="257">
          <cell r="F257">
            <v>2.4</v>
          </cell>
          <cell r="G257" t="str">
            <v>0 or 5</v>
          </cell>
          <cell r="H257" t="str">
            <v>Rural</v>
          </cell>
          <cell r="I257" t="str">
            <v>New Construction</v>
          </cell>
        </row>
        <row r="258">
          <cell r="F258">
            <v>2.5</v>
          </cell>
          <cell r="G258" t="str">
            <v xml:space="preserve">Mandatory, +5 </v>
          </cell>
          <cell r="H258" t="str">
            <v>Rural</v>
          </cell>
          <cell r="I258" t="str">
            <v>New Construction</v>
          </cell>
        </row>
        <row r="259">
          <cell r="F259">
            <v>2.6</v>
          </cell>
          <cell r="G259" t="str">
            <v>Mandatory</v>
          </cell>
          <cell r="H259" t="str">
            <v>Rural</v>
          </cell>
          <cell r="I259" t="str">
            <v>New Construction</v>
          </cell>
        </row>
        <row r="260">
          <cell r="F260" t="str">
            <v>2.7A</v>
          </cell>
          <cell r="G260" t="str">
            <v>n/a</v>
          </cell>
          <cell r="H260" t="str">
            <v>Rural</v>
          </cell>
          <cell r="I260" t="str">
            <v>New Construction</v>
          </cell>
        </row>
        <row r="261">
          <cell r="F261" t="str">
            <v>2.7B</v>
          </cell>
          <cell r="G261" t="str">
            <v>0,3 or 5</v>
          </cell>
          <cell r="H261" t="str">
            <v>Rural</v>
          </cell>
          <cell r="I261" t="str">
            <v>New Construction</v>
          </cell>
        </row>
        <row r="262">
          <cell r="F262">
            <v>2.8</v>
          </cell>
          <cell r="G262" t="str">
            <v>up to 2</v>
          </cell>
          <cell r="H262" t="str">
            <v>Rural</v>
          </cell>
          <cell r="I262" t="str">
            <v>New Construction</v>
          </cell>
        </row>
        <row r="263">
          <cell r="F263">
            <v>2.9</v>
          </cell>
          <cell r="G263" t="str">
            <v>0 or 5</v>
          </cell>
          <cell r="H263" t="str">
            <v>Rural</v>
          </cell>
          <cell r="I263" t="str">
            <v>New Construction</v>
          </cell>
        </row>
        <row r="264">
          <cell r="F264" t="str">
            <v>2.10</v>
          </cell>
          <cell r="G264" t="str">
            <v>0 or 3</v>
          </cell>
          <cell r="H264" t="str">
            <v>Rural</v>
          </cell>
          <cell r="I264" t="str">
            <v>New Construction</v>
          </cell>
        </row>
        <row r="265">
          <cell r="F265">
            <v>3.1</v>
          </cell>
          <cell r="G265" t="str">
            <v>Mandatory</v>
          </cell>
          <cell r="H265" t="str">
            <v>Rural</v>
          </cell>
          <cell r="I265" t="str">
            <v>New Construction</v>
          </cell>
        </row>
        <row r="266">
          <cell r="F266">
            <v>3.2</v>
          </cell>
          <cell r="G266" t="str">
            <v>Mandatory</v>
          </cell>
          <cell r="H266" t="str">
            <v>Rural</v>
          </cell>
          <cell r="I266" t="str">
            <v>New Construction</v>
          </cell>
        </row>
        <row r="267">
          <cell r="F267" t="str">
            <v>3.3A</v>
          </cell>
          <cell r="G267" t="str">
            <v>Mandatory, if providing Landscaping</v>
          </cell>
          <cell r="H267" t="str">
            <v>Rural</v>
          </cell>
          <cell r="I267" t="str">
            <v>New Construction</v>
          </cell>
        </row>
        <row r="268">
          <cell r="F268" t="str">
            <v>3.3B</v>
          </cell>
          <cell r="G268" t="str">
            <v>0 or 5</v>
          </cell>
          <cell r="H268" t="str">
            <v>Rural</v>
          </cell>
          <cell r="I268" t="str">
            <v>New Construction</v>
          </cell>
        </row>
        <row r="269">
          <cell r="F269" t="str">
            <v>3.3C</v>
          </cell>
          <cell r="G269" t="str">
            <v>up to 5</v>
          </cell>
          <cell r="H269" t="str">
            <v>Rural</v>
          </cell>
          <cell r="I269" t="str">
            <v>New Construction</v>
          </cell>
        </row>
        <row r="270">
          <cell r="F270">
            <v>3.4</v>
          </cell>
          <cell r="G270" t="str">
            <v>Mandatory, if installing irrigation</v>
          </cell>
          <cell r="H270" t="str">
            <v>Rural</v>
          </cell>
          <cell r="I270" t="str">
            <v>New Construction</v>
          </cell>
        </row>
        <row r="271">
          <cell r="F271">
            <v>3.5</v>
          </cell>
          <cell r="G271" t="str">
            <v>0,2,4 or 6</v>
          </cell>
          <cell r="H271" t="str">
            <v>Rural</v>
          </cell>
          <cell r="I271" t="str">
            <v>New Construction</v>
          </cell>
        </row>
        <row r="272">
          <cell r="F272">
            <v>3.6</v>
          </cell>
          <cell r="G272" t="str">
            <v>Mandatory</v>
          </cell>
          <cell r="H272" t="str">
            <v>Rural</v>
          </cell>
          <cell r="I272" t="str">
            <v>New Construction</v>
          </cell>
        </row>
        <row r="273">
          <cell r="F273" t="str">
            <v>4.1A</v>
          </cell>
          <cell r="G273" t="str">
            <v>Mandatory</v>
          </cell>
          <cell r="H273" t="str">
            <v>Rural</v>
          </cell>
          <cell r="I273" t="str">
            <v>New Construction</v>
          </cell>
        </row>
        <row r="274">
          <cell r="F274" t="str">
            <v>4.1B</v>
          </cell>
          <cell r="G274" t="str">
            <v>up to 6, must also achieve 4.4</v>
          </cell>
          <cell r="H274" t="str">
            <v>Rural</v>
          </cell>
          <cell r="I274" t="str">
            <v>New Construction</v>
          </cell>
        </row>
        <row r="275">
          <cell r="F275">
            <v>4.2</v>
          </cell>
          <cell r="G275" t="str">
            <v>0 or 2</v>
          </cell>
          <cell r="H275" t="str">
            <v>Rural</v>
          </cell>
          <cell r="I275" t="str">
            <v>New Construction</v>
          </cell>
        </row>
        <row r="276">
          <cell r="F276">
            <v>4.3</v>
          </cell>
          <cell r="G276" t="str">
            <v>0,1,2,4,6,8,10 or 12</v>
          </cell>
          <cell r="H276" t="str">
            <v>Rural</v>
          </cell>
          <cell r="I276" t="str">
            <v>New Construction</v>
          </cell>
        </row>
        <row r="277">
          <cell r="F277">
            <v>4.4000000000000004</v>
          </cell>
          <cell r="G277" t="str">
            <v>0 or 7</v>
          </cell>
          <cell r="H277" t="str">
            <v>Rural</v>
          </cell>
          <cell r="I277" t="str">
            <v>New Construction</v>
          </cell>
        </row>
        <row r="278">
          <cell r="F278" t="str">
            <v>5.1A</v>
          </cell>
          <cell r="G278" t="str">
            <v>Mandatory</v>
          </cell>
          <cell r="H278" t="str">
            <v>Rural</v>
          </cell>
          <cell r="I278" t="str">
            <v>New Construction</v>
          </cell>
        </row>
        <row r="279">
          <cell r="F279" t="str">
            <v>5.1B</v>
          </cell>
          <cell r="G279" t="str">
            <v>n/a</v>
          </cell>
          <cell r="H279" t="str">
            <v>Rural</v>
          </cell>
          <cell r="I279" t="str">
            <v>New Construction</v>
          </cell>
        </row>
        <row r="280">
          <cell r="F280" t="str">
            <v>5.2A</v>
          </cell>
          <cell r="G280" t="str">
            <v>5 to 25 (5 point increments)</v>
          </cell>
          <cell r="H280" t="str">
            <v>Rural</v>
          </cell>
          <cell r="I280" t="str">
            <v>New Construction</v>
          </cell>
        </row>
        <row r="281">
          <cell r="F281" t="str">
            <v>5.2B</v>
          </cell>
          <cell r="G281" t="str">
            <v>n/a</v>
          </cell>
          <cell r="H281" t="str">
            <v>Rural</v>
          </cell>
          <cell r="I281" t="str">
            <v>New Construction</v>
          </cell>
        </row>
        <row r="282">
          <cell r="F282">
            <v>5.3</v>
          </cell>
          <cell r="G282" t="str">
            <v>0,1,2,3 or 4</v>
          </cell>
          <cell r="H282" t="str">
            <v>Rural</v>
          </cell>
          <cell r="I282" t="str">
            <v>New Construction</v>
          </cell>
        </row>
        <row r="283">
          <cell r="F283">
            <v>5.4</v>
          </cell>
          <cell r="G283" t="str">
            <v>Mandatory, if providing appliances</v>
          </cell>
          <cell r="H283" t="str">
            <v>Rural</v>
          </cell>
          <cell r="I283" t="str">
            <v>New Construction</v>
          </cell>
        </row>
        <row r="284">
          <cell r="F284">
            <v>5.5</v>
          </cell>
          <cell r="G284" t="str">
            <v>0 or 3</v>
          </cell>
          <cell r="H284" t="str">
            <v>Rural</v>
          </cell>
          <cell r="I284" t="str">
            <v>New Construction</v>
          </cell>
        </row>
        <row r="285">
          <cell r="F285">
            <v>5.6</v>
          </cell>
          <cell r="G285" t="str">
            <v>Mandatory</v>
          </cell>
          <cell r="H285" t="str">
            <v>Rural</v>
          </cell>
          <cell r="I285" t="str">
            <v>New Construction</v>
          </cell>
        </row>
        <row r="286">
          <cell r="F286" t="str">
            <v>5.7A</v>
          </cell>
          <cell r="G286" t="str">
            <v>Mandatory</v>
          </cell>
          <cell r="H286" t="str">
            <v>Rural</v>
          </cell>
          <cell r="I286" t="str">
            <v>New Construction</v>
          </cell>
        </row>
        <row r="287">
          <cell r="F287" t="str">
            <v>5.7B</v>
          </cell>
          <cell r="G287" t="str">
            <v>n/a</v>
          </cell>
          <cell r="H287" t="str">
            <v>Rural</v>
          </cell>
          <cell r="I287" t="str">
            <v>New Construction</v>
          </cell>
        </row>
        <row r="288">
          <cell r="F288" t="str">
            <v>5.8A</v>
          </cell>
          <cell r="G288" t="str">
            <v>n/a</v>
          </cell>
          <cell r="H288" t="str">
            <v>Rural</v>
          </cell>
          <cell r="I288" t="str">
            <v>New Construction</v>
          </cell>
        </row>
        <row r="289">
          <cell r="F289" t="str">
            <v>5.8B</v>
          </cell>
          <cell r="G289" t="str">
            <v>0 or 1</v>
          </cell>
          <cell r="H289" t="str">
            <v>Rural</v>
          </cell>
          <cell r="I289" t="str">
            <v>New Construction</v>
          </cell>
        </row>
        <row r="290">
          <cell r="F290" t="str">
            <v>5.8C</v>
          </cell>
          <cell r="G290" t="str">
            <v>n/a</v>
          </cell>
          <cell r="H290" t="str">
            <v>Rural</v>
          </cell>
          <cell r="I290" t="str">
            <v>New Construction</v>
          </cell>
        </row>
        <row r="291">
          <cell r="F291">
            <v>5.9</v>
          </cell>
          <cell r="G291" t="str">
            <v>Mandatory</v>
          </cell>
          <cell r="H291" t="str">
            <v>Rural</v>
          </cell>
          <cell r="I291" t="str">
            <v>New Construction</v>
          </cell>
        </row>
        <row r="292">
          <cell r="F292" t="str">
            <v>5.10</v>
          </cell>
          <cell r="G292" t="str">
            <v>n/a</v>
          </cell>
          <cell r="H292" t="str">
            <v>Rural</v>
          </cell>
          <cell r="I292" t="str">
            <v>New Construction</v>
          </cell>
        </row>
        <row r="293">
          <cell r="F293">
            <v>5.1100000000000003</v>
          </cell>
          <cell r="G293" t="str">
            <v>n/a</v>
          </cell>
          <cell r="H293" t="str">
            <v>Rural</v>
          </cell>
          <cell r="I293" t="str">
            <v>New Construction</v>
          </cell>
        </row>
        <row r="294">
          <cell r="F294">
            <v>5.12</v>
          </cell>
          <cell r="G294" t="str">
            <v>n/a</v>
          </cell>
          <cell r="H294" t="str">
            <v>Rural</v>
          </cell>
          <cell r="I294" t="str">
            <v>New Construction</v>
          </cell>
        </row>
        <row r="295">
          <cell r="F295">
            <v>5.13</v>
          </cell>
          <cell r="G295" t="str">
            <v>n/a</v>
          </cell>
          <cell r="H295" t="str">
            <v>Rural</v>
          </cell>
          <cell r="I295" t="str">
            <v>New Construction</v>
          </cell>
        </row>
        <row r="296">
          <cell r="F296">
            <v>6.1</v>
          </cell>
          <cell r="G296" t="str">
            <v>Mandatory</v>
          </cell>
          <cell r="H296" t="str">
            <v>Rural</v>
          </cell>
          <cell r="I296" t="str">
            <v>New Construction</v>
          </cell>
        </row>
        <row r="297">
          <cell r="F297">
            <v>6.2</v>
          </cell>
          <cell r="G297" t="str">
            <v>Mandatory</v>
          </cell>
          <cell r="H297" t="str">
            <v>Rural</v>
          </cell>
          <cell r="I297" t="str">
            <v>New Construction</v>
          </cell>
        </row>
        <row r="298">
          <cell r="F298">
            <v>6.3</v>
          </cell>
          <cell r="G298" t="str">
            <v>up to 5</v>
          </cell>
          <cell r="H298" t="str">
            <v>Rural</v>
          </cell>
          <cell r="I298" t="str">
            <v>New Construction</v>
          </cell>
        </row>
        <row r="299">
          <cell r="F299">
            <v>6.4</v>
          </cell>
          <cell r="G299" t="str">
            <v>up to 10 (0.5 increments)</v>
          </cell>
          <cell r="H299" t="str">
            <v>Rural</v>
          </cell>
          <cell r="I299" t="str">
            <v>New Construction</v>
          </cell>
        </row>
        <row r="300">
          <cell r="F300" t="str">
            <v>6.5A</v>
          </cell>
          <cell r="G300" t="str">
            <v>0 or 2</v>
          </cell>
          <cell r="H300" t="str">
            <v>Rural</v>
          </cell>
          <cell r="I300" t="str">
            <v>New Construction</v>
          </cell>
        </row>
        <row r="301">
          <cell r="F301" t="str">
            <v>6.5B</v>
          </cell>
          <cell r="G301" t="str">
            <v>0 or 2, if paving</v>
          </cell>
          <cell r="H301" t="str">
            <v>Rural</v>
          </cell>
          <cell r="I301" t="str">
            <v>New Construction</v>
          </cell>
        </row>
        <row r="302">
          <cell r="F302">
            <v>6.6</v>
          </cell>
          <cell r="G302" t="str">
            <v>up to 3</v>
          </cell>
          <cell r="H302" t="str">
            <v>Rural</v>
          </cell>
          <cell r="I302" t="str">
            <v>New Construction</v>
          </cell>
        </row>
        <row r="303">
          <cell r="F303">
            <v>7.1</v>
          </cell>
          <cell r="G303" t="str">
            <v>Mandatory</v>
          </cell>
          <cell r="H303" t="str">
            <v>Rural</v>
          </cell>
          <cell r="I303" t="str">
            <v>New Construction</v>
          </cell>
        </row>
        <row r="304">
          <cell r="F304" t="str">
            <v>7.2A</v>
          </cell>
          <cell r="G304" t="str">
            <v>Mandatory, if providing flooring materials</v>
          </cell>
          <cell r="H304" t="str">
            <v>Rural</v>
          </cell>
          <cell r="I304" t="str">
            <v>New Construction</v>
          </cell>
        </row>
        <row r="305">
          <cell r="F305" t="str">
            <v>7.2B</v>
          </cell>
          <cell r="G305" t="str">
            <v>0 or 6</v>
          </cell>
          <cell r="H305" t="str">
            <v>Rural</v>
          </cell>
          <cell r="I305" t="str">
            <v>New Construction</v>
          </cell>
        </row>
        <row r="306">
          <cell r="F306" t="str">
            <v>7.3A</v>
          </cell>
          <cell r="G306" t="str">
            <v>Mandatory</v>
          </cell>
          <cell r="H306" t="str">
            <v>Rural</v>
          </cell>
          <cell r="I306" t="str">
            <v>New Construction</v>
          </cell>
        </row>
        <row r="307">
          <cell r="F307" t="str">
            <v>7.3B</v>
          </cell>
          <cell r="G307" t="str">
            <v>n/a</v>
          </cell>
          <cell r="H307" t="str">
            <v>Rural</v>
          </cell>
          <cell r="I307" t="str">
            <v>New Construction</v>
          </cell>
        </row>
        <row r="308">
          <cell r="F308" t="str">
            <v>7.4A</v>
          </cell>
          <cell r="G308" t="str">
            <v>Mandatory</v>
          </cell>
          <cell r="H308" t="str">
            <v>Rural</v>
          </cell>
          <cell r="I308" t="str">
            <v>New Construction</v>
          </cell>
        </row>
        <row r="309">
          <cell r="F309" t="str">
            <v>7.4B</v>
          </cell>
          <cell r="G309" t="str">
            <v>n/a</v>
          </cell>
          <cell r="H309" t="str">
            <v>Rural</v>
          </cell>
          <cell r="I309" t="str">
            <v>New Construction</v>
          </cell>
        </row>
        <row r="310">
          <cell r="F310">
            <v>7.5</v>
          </cell>
          <cell r="G310" t="str">
            <v>Mandatory</v>
          </cell>
          <cell r="H310" t="str">
            <v>Rural</v>
          </cell>
          <cell r="I310" t="str">
            <v>New Construction</v>
          </cell>
        </row>
        <row r="311">
          <cell r="F311">
            <v>7.6</v>
          </cell>
          <cell r="G311" t="str">
            <v>Mandatory</v>
          </cell>
          <cell r="H311" t="str">
            <v>Rural</v>
          </cell>
          <cell r="I311" t="str">
            <v>New Construction</v>
          </cell>
        </row>
        <row r="312">
          <cell r="F312">
            <v>7.7</v>
          </cell>
          <cell r="G312" t="str">
            <v>Mandatory</v>
          </cell>
          <cell r="H312" t="str">
            <v>Rural</v>
          </cell>
          <cell r="I312" t="str">
            <v>New Construction</v>
          </cell>
        </row>
        <row r="313">
          <cell r="F313">
            <v>7.8</v>
          </cell>
          <cell r="G313" t="str">
            <v>Mandatory</v>
          </cell>
          <cell r="H313" t="str">
            <v>Rural</v>
          </cell>
          <cell r="I313" t="str">
            <v>New Construction</v>
          </cell>
        </row>
        <row r="314">
          <cell r="F314">
            <v>7.9</v>
          </cell>
          <cell r="G314" t="str">
            <v>Mandatory</v>
          </cell>
          <cell r="H314" t="str">
            <v>Rural</v>
          </cell>
          <cell r="I314" t="str">
            <v>New Construction</v>
          </cell>
        </row>
        <row r="315">
          <cell r="F315" t="str">
            <v>7.10</v>
          </cell>
          <cell r="G315" t="str">
            <v>Mandatory</v>
          </cell>
          <cell r="H315" t="str">
            <v>Rural</v>
          </cell>
          <cell r="I315" t="str">
            <v>New Construction</v>
          </cell>
        </row>
        <row r="316">
          <cell r="F316">
            <v>7.11</v>
          </cell>
          <cell r="G316" t="str">
            <v>Mandatory</v>
          </cell>
          <cell r="H316" t="str">
            <v>Rural</v>
          </cell>
          <cell r="I316" t="str">
            <v>New Construction</v>
          </cell>
        </row>
        <row r="317">
          <cell r="F317">
            <v>7.12</v>
          </cell>
          <cell r="G317" t="str">
            <v>Mandatory</v>
          </cell>
          <cell r="H317" t="str">
            <v>Rural</v>
          </cell>
          <cell r="I317" t="str">
            <v>New Construction</v>
          </cell>
        </row>
        <row r="318">
          <cell r="F318" t="str">
            <v>7.13A</v>
          </cell>
          <cell r="G318" t="str">
            <v>Mandatory</v>
          </cell>
          <cell r="H318" t="str">
            <v>Rural</v>
          </cell>
          <cell r="I318" t="str">
            <v>New Construction</v>
          </cell>
        </row>
        <row r="319">
          <cell r="F319" t="str">
            <v>7.13B</v>
          </cell>
          <cell r="G319" t="str">
            <v>0,2,3,4,5,6,7 or 8</v>
          </cell>
          <cell r="H319" t="str">
            <v>Rural</v>
          </cell>
          <cell r="I319" t="str">
            <v>New Construction</v>
          </cell>
        </row>
        <row r="320">
          <cell r="F320">
            <v>7.14</v>
          </cell>
          <cell r="G320" t="str">
            <v>Mandatory</v>
          </cell>
          <cell r="H320" t="str">
            <v>Rural</v>
          </cell>
          <cell r="I320" t="str">
            <v>New Construction</v>
          </cell>
        </row>
        <row r="321">
          <cell r="F321">
            <v>7.15</v>
          </cell>
          <cell r="G321" t="str">
            <v>Mandatory</v>
          </cell>
          <cell r="H321" t="str">
            <v>Rural</v>
          </cell>
          <cell r="I321" t="str">
            <v>New Construction</v>
          </cell>
        </row>
        <row r="322">
          <cell r="F322">
            <v>7.16</v>
          </cell>
          <cell r="G322" t="str">
            <v>Mandatory</v>
          </cell>
          <cell r="H322" t="str">
            <v>Rural</v>
          </cell>
          <cell r="I322" t="str">
            <v>New Construction</v>
          </cell>
        </row>
        <row r="323">
          <cell r="F323">
            <v>7.17</v>
          </cell>
          <cell r="G323" t="str">
            <v>Mandatory</v>
          </cell>
          <cell r="H323" t="str">
            <v>Rural</v>
          </cell>
          <cell r="I323" t="str">
            <v>New Construction</v>
          </cell>
        </row>
        <row r="324">
          <cell r="F324" t="str">
            <v>8.1A</v>
          </cell>
          <cell r="G324" t="str">
            <v>Mandatory</v>
          </cell>
          <cell r="H324" t="str">
            <v>Rural</v>
          </cell>
          <cell r="I324" t="str">
            <v>New Construction</v>
          </cell>
        </row>
        <row r="325">
          <cell r="F325" t="str">
            <v>8.1B</v>
          </cell>
          <cell r="G325" t="str">
            <v>0 or 7</v>
          </cell>
          <cell r="H325" t="str">
            <v>Rural</v>
          </cell>
          <cell r="I325" t="str">
            <v>New Construction</v>
          </cell>
        </row>
        <row r="326">
          <cell r="F326">
            <v>8.1999999999999993</v>
          </cell>
          <cell r="G326" t="str">
            <v>Mandatory for Multifamily Projects</v>
          </cell>
          <cell r="H326" t="str">
            <v>Rural</v>
          </cell>
          <cell r="I326" t="str">
            <v>New Construction</v>
          </cell>
        </row>
        <row r="327">
          <cell r="F327">
            <v>8.3000000000000007</v>
          </cell>
          <cell r="G327" t="str">
            <v>Mandatory</v>
          </cell>
          <cell r="H327" t="str">
            <v>Rural</v>
          </cell>
          <cell r="I327" t="str">
            <v>New Construction</v>
          </cell>
        </row>
        <row r="328">
          <cell r="F328">
            <v>8.4</v>
          </cell>
          <cell r="G328" t="str">
            <v>0,3,5 or 8</v>
          </cell>
          <cell r="H328" t="str">
            <v>Rural</v>
          </cell>
          <cell r="I328" t="str">
            <v>New Construction</v>
          </cell>
        </row>
        <row r="329">
          <cell r="F329">
            <v>8.5</v>
          </cell>
          <cell r="G329" t="str">
            <v>Mandatory</v>
          </cell>
          <cell r="H329" t="str">
            <v>Rural</v>
          </cell>
          <cell r="I329" t="str">
            <v>New Construction</v>
          </cell>
        </row>
        <row r="330">
          <cell r="F330" t="str">
            <v>1.1A</v>
          </cell>
          <cell r="G330" t="str">
            <v>Mandatory</v>
          </cell>
          <cell r="H330" t="str">
            <v>Rural</v>
          </cell>
          <cell r="I330" t="str">
            <v>Rehab Substantial</v>
          </cell>
        </row>
        <row r="331">
          <cell r="F331" t="str">
            <v>1.1B</v>
          </cell>
          <cell r="G331" t="str">
            <v>0,2,4,6,8 or 10</v>
          </cell>
          <cell r="H331" t="str">
            <v>Rural</v>
          </cell>
          <cell r="I331" t="str">
            <v>Rehab Substantial</v>
          </cell>
        </row>
        <row r="332">
          <cell r="F332">
            <v>1.2</v>
          </cell>
          <cell r="G332" t="str">
            <v>Up to 3</v>
          </cell>
          <cell r="H332" t="str">
            <v>Rural</v>
          </cell>
          <cell r="I332" t="str">
            <v>Rehab Substantial</v>
          </cell>
        </row>
        <row r="333">
          <cell r="F333" t="str">
            <v>1.3A</v>
          </cell>
          <cell r="G333" t="str">
            <v>Mandatory</v>
          </cell>
          <cell r="H333" t="str">
            <v>Rural</v>
          </cell>
          <cell r="I333" t="str">
            <v>Rehab Substantial</v>
          </cell>
        </row>
        <row r="334">
          <cell r="F334" t="str">
            <v>1.3B</v>
          </cell>
          <cell r="G334" t="str">
            <v>up to 12 (2 point increments)</v>
          </cell>
          <cell r="H334" t="str">
            <v>Rural</v>
          </cell>
          <cell r="I334" t="str">
            <v>Rehab Substantial</v>
          </cell>
        </row>
        <row r="335">
          <cell r="F335">
            <v>1.4</v>
          </cell>
          <cell r="G335" t="str">
            <v>0,3 or 6</v>
          </cell>
          <cell r="H335" t="str">
            <v>Rural</v>
          </cell>
          <cell r="I335" t="str">
            <v>Rehab Substantial</v>
          </cell>
        </row>
        <row r="336">
          <cell r="F336">
            <v>2.1</v>
          </cell>
          <cell r="G336" t="str">
            <v>Mandatory</v>
          </cell>
          <cell r="H336" t="str">
            <v>Rural</v>
          </cell>
          <cell r="I336" t="str">
            <v>Rehab Substantial</v>
          </cell>
        </row>
        <row r="337">
          <cell r="F337">
            <v>2.2000000000000002</v>
          </cell>
          <cell r="G337" t="str">
            <v>n/a</v>
          </cell>
          <cell r="H337" t="str">
            <v>Rural</v>
          </cell>
          <cell r="I337" t="str">
            <v>Rehab Substantial</v>
          </cell>
        </row>
        <row r="338">
          <cell r="F338">
            <v>2.2999999999999998</v>
          </cell>
          <cell r="G338" t="str">
            <v>Mandatory</v>
          </cell>
          <cell r="H338" t="str">
            <v>Rural</v>
          </cell>
          <cell r="I338" t="str">
            <v>Rehab Substantial</v>
          </cell>
        </row>
        <row r="339">
          <cell r="F339">
            <v>2.4</v>
          </cell>
          <cell r="G339" t="str">
            <v>0 or 5</v>
          </cell>
          <cell r="H339" t="str">
            <v>Rural</v>
          </cell>
          <cell r="I339" t="str">
            <v>Rehab Substantial</v>
          </cell>
        </row>
        <row r="340">
          <cell r="F340">
            <v>2.5</v>
          </cell>
          <cell r="G340" t="str">
            <v xml:space="preserve">Mandatory, +5 </v>
          </cell>
          <cell r="H340" t="str">
            <v>Rural</v>
          </cell>
          <cell r="I340" t="str">
            <v>Rehab Substantial</v>
          </cell>
        </row>
        <row r="341">
          <cell r="F341">
            <v>2.6</v>
          </cell>
          <cell r="G341" t="str">
            <v>Mandatory</v>
          </cell>
          <cell r="H341" t="str">
            <v>Rural</v>
          </cell>
          <cell r="I341" t="str">
            <v>Rehab Substantial</v>
          </cell>
        </row>
        <row r="342">
          <cell r="F342" t="str">
            <v>2.7A</v>
          </cell>
          <cell r="G342" t="str">
            <v>n/a</v>
          </cell>
          <cell r="H342" t="str">
            <v>Rural</v>
          </cell>
          <cell r="I342" t="str">
            <v>Rehab Substantial</v>
          </cell>
        </row>
        <row r="343">
          <cell r="F343" t="str">
            <v>2.7B</v>
          </cell>
          <cell r="G343" t="str">
            <v>0,3 or 5</v>
          </cell>
          <cell r="H343" t="str">
            <v>Rural</v>
          </cell>
          <cell r="I343" t="str">
            <v>Rehab Substantial</v>
          </cell>
        </row>
        <row r="344">
          <cell r="F344">
            <v>2.8</v>
          </cell>
          <cell r="G344" t="str">
            <v>up to 2</v>
          </cell>
          <cell r="H344" t="str">
            <v>Rural</v>
          </cell>
          <cell r="I344" t="str">
            <v>Rehab Substantial</v>
          </cell>
        </row>
        <row r="345">
          <cell r="F345">
            <v>2.9</v>
          </cell>
          <cell r="G345" t="str">
            <v>0 or 5</v>
          </cell>
          <cell r="H345" t="str">
            <v>Rural</v>
          </cell>
          <cell r="I345" t="str">
            <v>Rehab Substantial</v>
          </cell>
        </row>
        <row r="346">
          <cell r="F346" t="str">
            <v>2.10</v>
          </cell>
          <cell r="G346" t="str">
            <v>0 or 3</v>
          </cell>
          <cell r="H346" t="str">
            <v>Rural</v>
          </cell>
          <cell r="I346" t="str">
            <v>Rehab Substantial</v>
          </cell>
        </row>
        <row r="347">
          <cell r="F347">
            <v>3.1</v>
          </cell>
          <cell r="G347" t="str">
            <v>Mandatory</v>
          </cell>
          <cell r="H347" t="str">
            <v>Rural</v>
          </cell>
          <cell r="I347" t="str">
            <v>Rehab Substantial</v>
          </cell>
        </row>
        <row r="348">
          <cell r="F348">
            <v>3.2</v>
          </cell>
          <cell r="G348" t="str">
            <v>Mandatory</v>
          </cell>
          <cell r="H348" t="str">
            <v>Rural</v>
          </cell>
          <cell r="I348" t="str">
            <v>Rehab Substantial</v>
          </cell>
        </row>
        <row r="349">
          <cell r="F349" t="str">
            <v>3.3A</v>
          </cell>
          <cell r="G349" t="str">
            <v>Mandatory, if providing Landscaping</v>
          </cell>
          <cell r="H349" t="str">
            <v>Rural</v>
          </cell>
          <cell r="I349" t="str">
            <v>Rehab Substantial</v>
          </cell>
        </row>
        <row r="350">
          <cell r="F350" t="str">
            <v>3.3B</v>
          </cell>
          <cell r="G350" t="str">
            <v>0 or 5</v>
          </cell>
          <cell r="H350" t="str">
            <v>Rural</v>
          </cell>
          <cell r="I350" t="str">
            <v>Rehab Substantial</v>
          </cell>
        </row>
        <row r="351">
          <cell r="F351" t="str">
            <v>3.3C</v>
          </cell>
          <cell r="G351" t="str">
            <v>up to 5</v>
          </cell>
          <cell r="H351" t="str">
            <v>Rural</v>
          </cell>
          <cell r="I351" t="str">
            <v>Rehab Substantial</v>
          </cell>
        </row>
        <row r="352">
          <cell r="F352">
            <v>3.4</v>
          </cell>
          <cell r="G352" t="str">
            <v>Mandatory, if installing irrigation</v>
          </cell>
          <cell r="H352" t="str">
            <v>Rural</v>
          </cell>
          <cell r="I352" t="str">
            <v>Rehab Substantial</v>
          </cell>
        </row>
        <row r="353">
          <cell r="F353">
            <v>3.5</v>
          </cell>
          <cell r="G353" t="str">
            <v>0,2,4 or 6</v>
          </cell>
          <cell r="H353" t="str">
            <v>Rural</v>
          </cell>
          <cell r="I353" t="str">
            <v>Rehab Substantial</v>
          </cell>
        </row>
        <row r="354">
          <cell r="F354">
            <v>3.6</v>
          </cell>
          <cell r="G354" t="str">
            <v>Mandatory</v>
          </cell>
          <cell r="H354" t="str">
            <v>Rural</v>
          </cell>
          <cell r="I354" t="str">
            <v>Rehab Substantial</v>
          </cell>
        </row>
        <row r="355">
          <cell r="F355" t="str">
            <v>4.1A</v>
          </cell>
          <cell r="G355" t="str">
            <v>Mandatory</v>
          </cell>
          <cell r="H355" t="str">
            <v>Rural</v>
          </cell>
          <cell r="I355" t="str">
            <v>Rehab Substantial</v>
          </cell>
        </row>
        <row r="356">
          <cell r="F356" t="str">
            <v>4.1B</v>
          </cell>
          <cell r="G356" t="str">
            <v>up to 6</v>
          </cell>
          <cell r="H356" t="str">
            <v>Rural</v>
          </cell>
          <cell r="I356" t="str">
            <v>Rehab Substantial</v>
          </cell>
        </row>
        <row r="357">
          <cell r="F357">
            <v>4.2</v>
          </cell>
          <cell r="G357" t="str">
            <v>0 or 4</v>
          </cell>
          <cell r="H357" t="str">
            <v>Rural</v>
          </cell>
          <cell r="I357" t="str">
            <v>Rehab Substantial</v>
          </cell>
        </row>
        <row r="358">
          <cell r="F358">
            <v>4.3</v>
          </cell>
          <cell r="G358" t="str">
            <v>0,1,2,4,6,8,10 or 12</v>
          </cell>
          <cell r="H358" t="str">
            <v>Rural</v>
          </cell>
          <cell r="I358" t="str">
            <v>Rehab Substantial</v>
          </cell>
        </row>
        <row r="359">
          <cell r="F359">
            <v>4.4000000000000004</v>
          </cell>
          <cell r="G359" t="str">
            <v>0 or 7</v>
          </cell>
          <cell r="H359" t="str">
            <v>Rural</v>
          </cell>
          <cell r="I359" t="str">
            <v>Rehab Substantial</v>
          </cell>
        </row>
        <row r="360">
          <cell r="F360" t="str">
            <v>5.1A</v>
          </cell>
          <cell r="G360" t="str">
            <v>n/a</v>
          </cell>
          <cell r="H360" t="str">
            <v>Rural</v>
          </cell>
          <cell r="I360" t="str">
            <v>Rehab Substantial</v>
          </cell>
        </row>
        <row r="361">
          <cell r="F361" t="str">
            <v>5.1B</v>
          </cell>
          <cell r="G361" t="str">
            <v>Mandatory</v>
          </cell>
          <cell r="H361" t="str">
            <v>Rural</v>
          </cell>
          <cell r="I361" t="str">
            <v>Rehab Substantial</v>
          </cell>
        </row>
        <row r="362">
          <cell r="F362" t="str">
            <v>5.2A</v>
          </cell>
          <cell r="G362" t="str">
            <v>n/a</v>
          </cell>
          <cell r="H362" t="str">
            <v>Rural</v>
          </cell>
          <cell r="I362" t="str">
            <v>Rehab Substantial</v>
          </cell>
        </row>
        <row r="363">
          <cell r="F363" t="str">
            <v>5.2B</v>
          </cell>
          <cell r="G363" t="str">
            <v>0 or 5</v>
          </cell>
          <cell r="H363" t="str">
            <v>Rural</v>
          </cell>
          <cell r="I363" t="str">
            <v>Rehab Substantial</v>
          </cell>
        </row>
        <row r="364">
          <cell r="F364">
            <v>5.3</v>
          </cell>
          <cell r="G364" t="str">
            <v>0,1,2,3 or 4</v>
          </cell>
          <cell r="H364" t="str">
            <v>Rural</v>
          </cell>
          <cell r="I364" t="str">
            <v>Rehab Substantial</v>
          </cell>
        </row>
        <row r="365">
          <cell r="F365">
            <v>5.4</v>
          </cell>
          <cell r="G365" t="str">
            <v>Mandatory, if providing appliances</v>
          </cell>
          <cell r="H365" t="str">
            <v>Rural</v>
          </cell>
          <cell r="I365" t="str">
            <v>Rehab Substantial</v>
          </cell>
        </row>
        <row r="366">
          <cell r="F366">
            <v>5.5</v>
          </cell>
          <cell r="G366" t="str">
            <v>0 or 3</v>
          </cell>
          <cell r="H366" t="str">
            <v>Rural</v>
          </cell>
          <cell r="I366" t="str">
            <v>Rehab Substantial</v>
          </cell>
        </row>
        <row r="367">
          <cell r="F367">
            <v>5.6</v>
          </cell>
          <cell r="G367" t="str">
            <v>Mandatory</v>
          </cell>
          <cell r="H367" t="str">
            <v>Rural</v>
          </cell>
          <cell r="I367" t="str">
            <v>Rehab Substantial</v>
          </cell>
        </row>
        <row r="368">
          <cell r="F368" t="str">
            <v>5.7A</v>
          </cell>
          <cell r="G368" t="str">
            <v>n/a</v>
          </cell>
          <cell r="H368" t="str">
            <v>Rural</v>
          </cell>
          <cell r="I368" t="str">
            <v>Rehab Substantial</v>
          </cell>
        </row>
        <row r="369">
          <cell r="F369" t="str">
            <v>5.7B</v>
          </cell>
          <cell r="G369" t="str">
            <v>0 or 2</v>
          </cell>
          <cell r="H369" t="str">
            <v>Rural</v>
          </cell>
          <cell r="I369" t="str">
            <v>Rehab Substantial</v>
          </cell>
        </row>
        <row r="370">
          <cell r="F370" t="str">
            <v>5.8A</v>
          </cell>
          <cell r="G370" t="str">
            <v>up to 15</v>
          </cell>
          <cell r="H370" t="str">
            <v>Rural</v>
          </cell>
          <cell r="I370" t="str">
            <v>Rehab Substantial</v>
          </cell>
        </row>
        <row r="371">
          <cell r="F371" t="str">
            <v>5.8B</v>
          </cell>
          <cell r="G371" t="str">
            <v>0 or 1</v>
          </cell>
          <cell r="H371" t="str">
            <v>Rural</v>
          </cell>
          <cell r="I371" t="str">
            <v>Rehab Substantial</v>
          </cell>
        </row>
        <row r="372">
          <cell r="F372" t="str">
            <v>5.8C</v>
          </cell>
          <cell r="G372" t="str">
            <v>up to 10</v>
          </cell>
          <cell r="H372" t="str">
            <v>Rural</v>
          </cell>
          <cell r="I372" t="str">
            <v>Rehab Substantial</v>
          </cell>
        </row>
        <row r="373">
          <cell r="F373">
            <v>5.9</v>
          </cell>
          <cell r="G373" t="str">
            <v>Mandatory</v>
          </cell>
          <cell r="H373" t="str">
            <v>Rural</v>
          </cell>
          <cell r="I373" t="str">
            <v>Rehab Substantial</v>
          </cell>
        </row>
        <row r="374">
          <cell r="F374" t="str">
            <v>5.10</v>
          </cell>
          <cell r="G374" t="str">
            <v>0, 2 or 5</v>
          </cell>
          <cell r="H374" t="str">
            <v>Rural</v>
          </cell>
          <cell r="I374" t="str">
            <v>Rehab Substantial</v>
          </cell>
        </row>
        <row r="375">
          <cell r="F375">
            <v>5.1100000000000003</v>
          </cell>
          <cell r="G375" t="str">
            <v>0, 3 or 7</v>
          </cell>
          <cell r="H375" t="str">
            <v>Rural</v>
          </cell>
          <cell r="I375" t="str">
            <v>Rehab Substantial</v>
          </cell>
        </row>
        <row r="376">
          <cell r="F376">
            <v>5.12</v>
          </cell>
          <cell r="G376" t="str">
            <v>0 or 10</v>
          </cell>
          <cell r="H376" t="str">
            <v>Rural</v>
          </cell>
          <cell r="I376" t="str">
            <v>Rehab Substantial</v>
          </cell>
        </row>
        <row r="377">
          <cell r="F377">
            <v>5.13</v>
          </cell>
          <cell r="G377" t="str">
            <v>0,2,5 or 7</v>
          </cell>
          <cell r="H377" t="str">
            <v>Rural</v>
          </cell>
          <cell r="I377" t="str">
            <v>Rehab Substantial</v>
          </cell>
        </row>
        <row r="378">
          <cell r="F378">
            <v>6.1</v>
          </cell>
          <cell r="G378" t="str">
            <v>Mandatory</v>
          </cell>
          <cell r="H378" t="str">
            <v>Rural</v>
          </cell>
          <cell r="I378" t="str">
            <v>Rehab Substantial</v>
          </cell>
        </row>
        <row r="379">
          <cell r="F379">
            <v>6.2</v>
          </cell>
          <cell r="G379" t="str">
            <v>Mandatory</v>
          </cell>
          <cell r="H379" t="str">
            <v>Rural</v>
          </cell>
          <cell r="I379" t="str">
            <v>Rehab Substantial</v>
          </cell>
        </row>
        <row r="380">
          <cell r="F380">
            <v>6.3</v>
          </cell>
          <cell r="G380" t="str">
            <v>up to 5</v>
          </cell>
          <cell r="H380" t="str">
            <v>Rural</v>
          </cell>
          <cell r="I380" t="str">
            <v>Rehab Substantial</v>
          </cell>
        </row>
        <row r="381">
          <cell r="F381">
            <v>6.4</v>
          </cell>
          <cell r="G381" t="str">
            <v>up to 10 (0.5 increments)</v>
          </cell>
          <cell r="H381" t="str">
            <v>Rural</v>
          </cell>
          <cell r="I381" t="str">
            <v>Rehab Substantial</v>
          </cell>
        </row>
        <row r="382">
          <cell r="F382" t="str">
            <v>6.5A</v>
          </cell>
          <cell r="G382" t="str">
            <v>0 or 2</v>
          </cell>
          <cell r="H382" t="str">
            <v>Rural</v>
          </cell>
          <cell r="I382" t="str">
            <v>Rehab Substantial</v>
          </cell>
        </row>
        <row r="383">
          <cell r="F383" t="str">
            <v>6.5B</v>
          </cell>
          <cell r="G383" t="str">
            <v>0 or 2, if paving</v>
          </cell>
          <cell r="H383" t="str">
            <v>Rural</v>
          </cell>
          <cell r="I383" t="str">
            <v>Rehab Substantial</v>
          </cell>
        </row>
        <row r="384">
          <cell r="F384">
            <v>6.6</v>
          </cell>
          <cell r="G384" t="str">
            <v>up to 3</v>
          </cell>
          <cell r="H384" t="str">
            <v>Rural</v>
          </cell>
          <cell r="I384" t="str">
            <v>Rehab Substantial</v>
          </cell>
        </row>
        <row r="385">
          <cell r="F385">
            <v>7.1</v>
          </cell>
          <cell r="G385" t="str">
            <v>Mandatory</v>
          </cell>
          <cell r="H385" t="str">
            <v>Rural</v>
          </cell>
          <cell r="I385" t="str">
            <v>Rehab Substantial</v>
          </cell>
        </row>
        <row r="386">
          <cell r="F386" t="str">
            <v>7.2A</v>
          </cell>
          <cell r="G386" t="str">
            <v>Mandatory, if providing flooring materials</v>
          </cell>
          <cell r="H386" t="str">
            <v>Rural</v>
          </cell>
          <cell r="I386" t="str">
            <v>Rehab Substantial</v>
          </cell>
        </row>
        <row r="387">
          <cell r="F387" t="str">
            <v>7.2B</v>
          </cell>
          <cell r="G387" t="str">
            <v>0 or 6</v>
          </cell>
          <cell r="H387" t="str">
            <v>Rural</v>
          </cell>
          <cell r="I387" t="str">
            <v>Rehab Substantial</v>
          </cell>
        </row>
        <row r="388">
          <cell r="F388" t="str">
            <v>7.3A</v>
          </cell>
          <cell r="G388" t="str">
            <v>Mandatory</v>
          </cell>
          <cell r="H388" t="str">
            <v>Rural</v>
          </cell>
          <cell r="I388" t="str">
            <v>Rehab Substantial</v>
          </cell>
        </row>
        <row r="389">
          <cell r="F389" t="str">
            <v>7.3B</v>
          </cell>
          <cell r="G389" t="str">
            <v>n/a</v>
          </cell>
          <cell r="H389" t="str">
            <v>Rural</v>
          </cell>
          <cell r="I389" t="str">
            <v>Rehab Substantial</v>
          </cell>
        </row>
        <row r="390">
          <cell r="F390" t="str">
            <v>7.4A</v>
          </cell>
          <cell r="G390" t="str">
            <v>n/a</v>
          </cell>
          <cell r="H390" t="str">
            <v>Rural</v>
          </cell>
          <cell r="I390" t="str">
            <v>Rehab Substantial</v>
          </cell>
        </row>
        <row r="391">
          <cell r="F391" t="str">
            <v>7.4B</v>
          </cell>
          <cell r="G391" t="str">
            <v>0 or 3</v>
          </cell>
          <cell r="H391" t="str">
            <v>Rural</v>
          </cell>
          <cell r="I391" t="str">
            <v>Rehab Substantial</v>
          </cell>
        </row>
        <row r="392">
          <cell r="F392">
            <v>7.5</v>
          </cell>
          <cell r="G392" t="str">
            <v>Mandatory</v>
          </cell>
          <cell r="H392" t="str">
            <v>Rural</v>
          </cell>
          <cell r="I392" t="str">
            <v>Rehab Substantial</v>
          </cell>
        </row>
        <row r="393">
          <cell r="F393">
            <v>7.6</v>
          </cell>
          <cell r="G393" t="str">
            <v>Mandatory</v>
          </cell>
          <cell r="H393" t="str">
            <v>Rural</v>
          </cell>
          <cell r="I393" t="str">
            <v>Rehab Substantial</v>
          </cell>
        </row>
        <row r="394">
          <cell r="F394">
            <v>7.7</v>
          </cell>
          <cell r="G394" t="str">
            <v>Mandatory</v>
          </cell>
          <cell r="H394" t="str">
            <v>Rural</v>
          </cell>
          <cell r="I394" t="str">
            <v>Rehab Substantial</v>
          </cell>
        </row>
        <row r="395">
          <cell r="F395">
            <v>7.8</v>
          </cell>
          <cell r="G395" t="str">
            <v>Mandatory</v>
          </cell>
          <cell r="H395" t="str">
            <v>Rural</v>
          </cell>
          <cell r="I395" t="str">
            <v>Rehab Substantial</v>
          </cell>
        </row>
        <row r="396">
          <cell r="F396">
            <v>7.9</v>
          </cell>
          <cell r="G396" t="str">
            <v>Mandatory</v>
          </cell>
          <cell r="H396" t="str">
            <v>Rural</v>
          </cell>
          <cell r="I396" t="str">
            <v>Rehab Substantial</v>
          </cell>
        </row>
        <row r="397">
          <cell r="F397" t="str">
            <v>7.10</v>
          </cell>
          <cell r="G397" t="str">
            <v>Mandatory if Foundation Work Included</v>
          </cell>
          <cell r="H397" t="str">
            <v>Rural</v>
          </cell>
          <cell r="I397" t="str">
            <v>Rehab Substantial</v>
          </cell>
        </row>
        <row r="398">
          <cell r="F398">
            <v>7.11</v>
          </cell>
          <cell r="G398" t="str">
            <v>Mandatory</v>
          </cell>
          <cell r="H398" t="str">
            <v>Rural</v>
          </cell>
          <cell r="I398" t="str">
            <v>Rehab Substantial</v>
          </cell>
        </row>
        <row r="399">
          <cell r="F399">
            <v>7.12</v>
          </cell>
          <cell r="G399" t="str">
            <v>Mandatory</v>
          </cell>
          <cell r="H399" t="str">
            <v>Rural</v>
          </cell>
          <cell r="I399" t="str">
            <v>Rehab Substantial</v>
          </cell>
        </row>
        <row r="400">
          <cell r="F400" t="str">
            <v>7.13A</v>
          </cell>
          <cell r="G400" t="str">
            <v>n/a</v>
          </cell>
          <cell r="H400" t="str">
            <v>Rural</v>
          </cell>
          <cell r="I400" t="str">
            <v>Rehab Substantial</v>
          </cell>
        </row>
        <row r="401">
          <cell r="F401" t="str">
            <v>7.13B</v>
          </cell>
          <cell r="G401" t="str">
            <v>0,2,3,4,5,6,7,8 or 10</v>
          </cell>
          <cell r="H401" t="str">
            <v>Rural</v>
          </cell>
          <cell r="I401" t="str">
            <v>Rehab Substantial</v>
          </cell>
        </row>
        <row r="402">
          <cell r="F402">
            <v>7.14</v>
          </cell>
          <cell r="G402" t="str">
            <v>Mandatory</v>
          </cell>
          <cell r="H402" t="str">
            <v>Rural</v>
          </cell>
          <cell r="I402" t="str">
            <v>Rehab Substantial</v>
          </cell>
        </row>
        <row r="403">
          <cell r="F403">
            <v>7.15</v>
          </cell>
          <cell r="G403" t="str">
            <v>Mandatory</v>
          </cell>
          <cell r="H403" t="str">
            <v>Rural</v>
          </cell>
          <cell r="I403" t="str">
            <v>Rehab Substantial</v>
          </cell>
        </row>
        <row r="404">
          <cell r="F404">
            <v>7.16</v>
          </cell>
          <cell r="G404" t="str">
            <v>Mandatory</v>
          </cell>
          <cell r="H404" t="str">
            <v>Rural</v>
          </cell>
          <cell r="I404" t="str">
            <v>Rehab Substantial</v>
          </cell>
        </row>
        <row r="405">
          <cell r="F405">
            <v>7.17</v>
          </cell>
          <cell r="G405" t="str">
            <v>Mandatory</v>
          </cell>
          <cell r="H405" t="str">
            <v>Rural</v>
          </cell>
          <cell r="I405" t="str">
            <v>Rehab Substantial</v>
          </cell>
        </row>
        <row r="406">
          <cell r="F406" t="str">
            <v>8.1A</v>
          </cell>
          <cell r="G406" t="str">
            <v>Mandatory</v>
          </cell>
          <cell r="H406" t="str">
            <v>Rural</v>
          </cell>
          <cell r="I406" t="str">
            <v>Rehab Substantial</v>
          </cell>
        </row>
        <row r="407">
          <cell r="F407" t="str">
            <v>8.1B</v>
          </cell>
          <cell r="G407" t="str">
            <v>0 or 7</v>
          </cell>
          <cell r="H407" t="str">
            <v>Rural</v>
          </cell>
          <cell r="I407" t="str">
            <v>Rehab Substantial</v>
          </cell>
        </row>
        <row r="408">
          <cell r="F408">
            <v>8.1999999999999993</v>
          </cell>
          <cell r="G408" t="str">
            <v>Mandatory for Multifamily Projects</v>
          </cell>
          <cell r="H408" t="str">
            <v>Rural</v>
          </cell>
          <cell r="I408" t="str">
            <v>Rehab Substantial</v>
          </cell>
        </row>
        <row r="409">
          <cell r="F409">
            <v>8.3000000000000007</v>
          </cell>
          <cell r="G409" t="str">
            <v>Mandatory</v>
          </cell>
          <cell r="H409" t="str">
            <v>Rural</v>
          </cell>
          <cell r="I409" t="str">
            <v>Rehab Substantial</v>
          </cell>
        </row>
        <row r="410">
          <cell r="F410">
            <v>8.4</v>
          </cell>
          <cell r="G410" t="str">
            <v>0,3,5 or 8</v>
          </cell>
          <cell r="H410" t="str">
            <v>Rural</v>
          </cell>
          <cell r="I410" t="str">
            <v>Rehab Substantial</v>
          </cell>
        </row>
        <row r="411">
          <cell r="F411">
            <v>8.5</v>
          </cell>
          <cell r="G411" t="str">
            <v>Mandatory</v>
          </cell>
          <cell r="H411" t="str">
            <v>Rural</v>
          </cell>
          <cell r="I411" t="str">
            <v>Rehab Substantial</v>
          </cell>
        </row>
        <row r="412">
          <cell r="F412" t="str">
            <v>1.1A</v>
          </cell>
          <cell r="G412" t="str">
            <v>Mandatory</v>
          </cell>
          <cell r="H412" t="str">
            <v>Rural</v>
          </cell>
          <cell r="I412" t="str">
            <v>Rehab Moderate</v>
          </cell>
        </row>
        <row r="413">
          <cell r="F413" t="str">
            <v>1.1B</v>
          </cell>
          <cell r="G413" t="str">
            <v>0,2,4,6,8 or 10</v>
          </cell>
          <cell r="H413" t="str">
            <v>Rural</v>
          </cell>
          <cell r="I413" t="str">
            <v>Rehab Moderate</v>
          </cell>
        </row>
        <row r="414">
          <cell r="F414">
            <v>1.2</v>
          </cell>
          <cell r="G414" t="str">
            <v>Up to 3</v>
          </cell>
          <cell r="H414" t="str">
            <v>Rural</v>
          </cell>
          <cell r="I414" t="str">
            <v>Rehab Moderate</v>
          </cell>
        </row>
        <row r="415">
          <cell r="F415" t="str">
            <v>1.3A</v>
          </cell>
          <cell r="G415" t="str">
            <v>Mandatory</v>
          </cell>
          <cell r="H415" t="str">
            <v>Rural</v>
          </cell>
          <cell r="I415" t="str">
            <v>Rehab Moderate</v>
          </cell>
        </row>
        <row r="416">
          <cell r="F416" t="str">
            <v>1.3B</v>
          </cell>
          <cell r="G416" t="str">
            <v>up to 12 (2 point increments)</v>
          </cell>
          <cell r="H416" t="str">
            <v>Rural</v>
          </cell>
          <cell r="I416" t="str">
            <v>Rehab Moderate</v>
          </cell>
        </row>
        <row r="417">
          <cell r="F417">
            <v>1.4</v>
          </cell>
          <cell r="G417" t="str">
            <v>0,3 or 6</v>
          </cell>
          <cell r="H417" t="str">
            <v>Rural</v>
          </cell>
          <cell r="I417" t="str">
            <v>Rehab Moderate</v>
          </cell>
        </row>
        <row r="418">
          <cell r="F418">
            <v>2.1</v>
          </cell>
          <cell r="G418" t="str">
            <v>Mandatory</v>
          </cell>
          <cell r="H418" t="str">
            <v>Rural</v>
          </cell>
          <cell r="I418" t="str">
            <v>Rehab Moderate</v>
          </cell>
        </row>
        <row r="419">
          <cell r="F419">
            <v>2.2000000000000002</v>
          </cell>
          <cell r="G419" t="str">
            <v>n/a</v>
          </cell>
          <cell r="H419" t="str">
            <v>Rural</v>
          </cell>
          <cell r="I419" t="str">
            <v>Rehab Moderate</v>
          </cell>
        </row>
        <row r="420">
          <cell r="F420">
            <v>2.2999999999999998</v>
          </cell>
          <cell r="G420" t="str">
            <v>Mandatory</v>
          </cell>
          <cell r="H420" t="str">
            <v>Rural</v>
          </cell>
          <cell r="I420" t="str">
            <v>Rehab Moderate</v>
          </cell>
        </row>
        <row r="421">
          <cell r="F421">
            <v>2.4</v>
          </cell>
          <cell r="G421" t="str">
            <v>0 or 5</v>
          </cell>
          <cell r="H421" t="str">
            <v>Rural</v>
          </cell>
          <cell r="I421" t="str">
            <v>Rehab Moderate</v>
          </cell>
        </row>
        <row r="422">
          <cell r="F422">
            <v>2.5</v>
          </cell>
          <cell r="G422" t="str">
            <v xml:space="preserve">Mandatory, +5 </v>
          </cell>
          <cell r="H422" t="str">
            <v>Rural</v>
          </cell>
          <cell r="I422" t="str">
            <v>Rehab Moderate</v>
          </cell>
        </row>
        <row r="423">
          <cell r="F423">
            <v>2.6</v>
          </cell>
          <cell r="G423" t="str">
            <v>Mandatory</v>
          </cell>
          <cell r="H423" t="str">
            <v>Rural</v>
          </cell>
          <cell r="I423" t="str">
            <v>Rehab Moderate</v>
          </cell>
        </row>
        <row r="424">
          <cell r="F424" t="str">
            <v>2.7A</v>
          </cell>
          <cell r="G424" t="str">
            <v>n/a</v>
          </cell>
          <cell r="H424" t="str">
            <v>Rural</v>
          </cell>
          <cell r="I424" t="str">
            <v>Rehab Moderate</v>
          </cell>
        </row>
        <row r="425">
          <cell r="F425" t="str">
            <v>2.7B</v>
          </cell>
          <cell r="G425" t="str">
            <v>0,3 or 5</v>
          </cell>
          <cell r="H425" t="str">
            <v>Rural</v>
          </cell>
          <cell r="I425" t="str">
            <v>Rehab Moderate</v>
          </cell>
        </row>
        <row r="426">
          <cell r="F426">
            <v>2.8</v>
          </cell>
          <cell r="G426" t="str">
            <v>up to 2</v>
          </cell>
          <cell r="H426" t="str">
            <v>Rural</v>
          </cell>
          <cell r="I426" t="str">
            <v>Rehab Moderate</v>
          </cell>
        </row>
        <row r="427">
          <cell r="F427">
            <v>2.9</v>
          </cell>
          <cell r="G427" t="str">
            <v>0 or 5</v>
          </cell>
          <cell r="H427" t="str">
            <v>Rural</v>
          </cell>
          <cell r="I427" t="str">
            <v>Rehab Moderate</v>
          </cell>
        </row>
        <row r="428">
          <cell r="F428" t="str">
            <v>2.10</v>
          </cell>
          <cell r="G428" t="str">
            <v>0 or 3</v>
          </cell>
          <cell r="H428" t="str">
            <v>Rural</v>
          </cell>
          <cell r="I428" t="str">
            <v>Rehab Moderate</v>
          </cell>
        </row>
        <row r="429">
          <cell r="F429">
            <v>3.1</v>
          </cell>
          <cell r="G429" t="str">
            <v>Mandatory</v>
          </cell>
          <cell r="H429" t="str">
            <v>Rural</v>
          </cell>
          <cell r="I429" t="str">
            <v>Rehab Moderate</v>
          </cell>
        </row>
        <row r="430">
          <cell r="F430">
            <v>3.2</v>
          </cell>
          <cell r="G430" t="str">
            <v>Mandatory</v>
          </cell>
          <cell r="H430" t="str">
            <v>Rural</v>
          </cell>
          <cell r="I430" t="str">
            <v>Rehab Moderate</v>
          </cell>
        </row>
        <row r="431">
          <cell r="F431" t="str">
            <v>3.3A</v>
          </cell>
          <cell r="G431" t="str">
            <v>Mandatory, if providing Landscaping</v>
          </cell>
          <cell r="H431" t="str">
            <v>Rural</v>
          </cell>
          <cell r="I431" t="str">
            <v>Rehab Moderate</v>
          </cell>
        </row>
        <row r="432">
          <cell r="F432" t="str">
            <v>3.3B</v>
          </cell>
          <cell r="G432" t="str">
            <v>0 or 5</v>
          </cell>
          <cell r="H432" t="str">
            <v>Rural</v>
          </cell>
          <cell r="I432" t="str">
            <v>Rehab Moderate</v>
          </cell>
        </row>
        <row r="433">
          <cell r="F433" t="str">
            <v>3.3C</v>
          </cell>
          <cell r="G433" t="str">
            <v>up to 5</v>
          </cell>
          <cell r="H433" t="str">
            <v>Rural</v>
          </cell>
          <cell r="I433" t="str">
            <v>Rehab Moderate</v>
          </cell>
        </row>
        <row r="434">
          <cell r="F434">
            <v>3.4</v>
          </cell>
          <cell r="G434" t="str">
            <v>Mandatory, if installing irrigation</v>
          </cell>
          <cell r="H434" t="str">
            <v>Rural</v>
          </cell>
          <cell r="I434" t="str">
            <v>Rehab Moderate</v>
          </cell>
        </row>
        <row r="435">
          <cell r="F435">
            <v>3.5</v>
          </cell>
          <cell r="G435" t="str">
            <v>0,2,4 or 6</v>
          </cell>
          <cell r="H435" t="str">
            <v>Rural</v>
          </cell>
          <cell r="I435" t="str">
            <v>Rehab Moderate</v>
          </cell>
        </row>
        <row r="436">
          <cell r="F436">
            <v>3.6</v>
          </cell>
          <cell r="G436" t="str">
            <v>Mandatory</v>
          </cell>
          <cell r="H436" t="str">
            <v>Rural</v>
          </cell>
          <cell r="I436" t="str">
            <v>Rehab Moderate</v>
          </cell>
        </row>
        <row r="437">
          <cell r="F437" t="str">
            <v>4.1A</v>
          </cell>
          <cell r="G437" t="str">
            <v>Mandatory</v>
          </cell>
          <cell r="H437" t="str">
            <v>Rural</v>
          </cell>
          <cell r="I437" t="str">
            <v>Rehab Moderate</v>
          </cell>
        </row>
        <row r="438">
          <cell r="F438" t="str">
            <v>4.1B</v>
          </cell>
          <cell r="G438" t="str">
            <v>up to 6</v>
          </cell>
          <cell r="H438" t="str">
            <v>Rural</v>
          </cell>
          <cell r="I438" t="str">
            <v>Rehab Moderate</v>
          </cell>
        </row>
        <row r="439">
          <cell r="F439">
            <v>4.2</v>
          </cell>
          <cell r="G439" t="str">
            <v>0 or 4</v>
          </cell>
          <cell r="H439" t="str">
            <v>Rural</v>
          </cell>
          <cell r="I439" t="str">
            <v>Rehab Moderate</v>
          </cell>
        </row>
        <row r="440">
          <cell r="F440">
            <v>4.3</v>
          </cell>
          <cell r="G440" t="str">
            <v>0,1,2,4,6,8,10 or 12</v>
          </cell>
          <cell r="H440" t="str">
            <v>Rural</v>
          </cell>
          <cell r="I440" t="str">
            <v>Rehab Moderate</v>
          </cell>
        </row>
        <row r="441">
          <cell r="F441">
            <v>4.4000000000000004</v>
          </cell>
          <cell r="G441" t="str">
            <v>0 or 7</v>
          </cell>
          <cell r="H441" t="str">
            <v>Rural</v>
          </cell>
          <cell r="I441" t="str">
            <v>Rehab Moderate</v>
          </cell>
        </row>
        <row r="442">
          <cell r="F442" t="str">
            <v>5.1A</v>
          </cell>
          <cell r="G442" t="str">
            <v>n/a</v>
          </cell>
          <cell r="H442" t="str">
            <v>Rural</v>
          </cell>
          <cell r="I442" t="str">
            <v>Rehab Moderate</v>
          </cell>
        </row>
        <row r="443">
          <cell r="F443" t="str">
            <v>5.1B</v>
          </cell>
          <cell r="G443" t="str">
            <v>Mandatory</v>
          </cell>
          <cell r="H443" t="str">
            <v>Rural</v>
          </cell>
          <cell r="I443" t="str">
            <v>Rehab Moderate</v>
          </cell>
        </row>
        <row r="444">
          <cell r="F444" t="str">
            <v>5.2A</v>
          </cell>
          <cell r="G444" t="str">
            <v>n/a</v>
          </cell>
          <cell r="H444" t="str">
            <v>Rural</v>
          </cell>
          <cell r="I444" t="str">
            <v>Rehab Moderate</v>
          </cell>
        </row>
        <row r="445">
          <cell r="F445" t="str">
            <v>5.2B</v>
          </cell>
          <cell r="G445" t="str">
            <v>0 or 5</v>
          </cell>
          <cell r="H445" t="str">
            <v>Rural</v>
          </cell>
          <cell r="I445" t="str">
            <v>Rehab Moderate</v>
          </cell>
        </row>
        <row r="446">
          <cell r="F446">
            <v>5.3</v>
          </cell>
          <cell r="G446" t="str">
            <v>0,1,2,3 or 4</v>
          </cell>
          <cell r="H446" t="str">
            <v>Rural</v>
          </cell>
          <cell r="I446" t="str">
            <v>Rehab Moderate</v>
          </cell>
        </row>
        <row r="447">
          <cell r="F447">
            <v>5.4</v>
          </cell>
          <cell r="G447" t="str">
            <v>Mandatory, if providing appliances</v>
          </cell>
          <cell r="H447" t="str">
            <v>Rural</v>
          </cell>
          <cell r="I447" t="str">
            <v>Rehab Moderate</v>
          </cell>
        </row>
        <row r="448">
          <cell r="F448">
            <v>5.5</v>
          </cell>
          <cell r="G448" t="str">
            <v>0 or 3</v>
          </cell>
          <cell r="H448" t="str">
            <v>Rural</v>
          </cell>
          <cell r="I448" t="str">
            <v>Rehab Moderate</v>
          </cell>
        </row>
        <row r="449">
          <cell r="F449">
            <v>5.6</v>
          </cell>
          <cell r="G449" t="str">
            <v>Mandatory</v>
          </cell>
          <cell r="H449" t="str">
            <v>Rural</v>
          </cell>
          <cell r="I449" t="str">
            <v>Rehab Moderate</v>
          </cell>
        </row>
        <row r="450">
          <cell r="F450" t="str">
            <v>5.7A</v>
          </cell>
          <cell r="G450" t="str">
            <v>n/a</v>
          </cell>
          <cell r="H450" t="str">
            <v>Rural</v>
          </cell>
          <cell r="I450" t="str">
            <v>Rehab Moderate</v>
          </cell>
        </row>
        <row r="451">
          <cell r="F451" t="str">
            <v>5.7B</v>
          </cell>
          <cell r="G451" t="str">
            <v>0 or 2</v>
          </cell>
          <cell r="H451" t="str">
            <v>Rural</v>
          </cell>
          <cell r="I451" t="str">
            <v>Rehab Moderate</v>
          </cell>
        </row>
        <row r="452">
          <cell r="F452" t="str">
            <v>5.8A</v>
          </cell>
          <cell r="G452" t="str">
            <v>up to 15</v>
          </cell>
          <cell r="H452" t="str">
            <v>Rural</v>
          </cell>
          <cell r="I452" t="str">
            <v>Rehab Moderate</v>
          </cell>
        </row>
        <row r="453">
          <cell r="F453" t="str">
            <v>5.8B</v>
          </cell>
          <cell r="G453" t="str">
            <v>0 or 1</v>
          </cell>
          <cell r="H453" t="str">
            <v>Rural</v>
          </cell>
          <cell r="I453" t="str">
            <v>Rehab Moderate</v>
          </cell>
        </row>
        <row r="454">
          <cell r="F454" t="str">
            <v>5.8C</v>
          </cell>
          <cell r="G454" t="str">
            <v>up to 10</v>
          </cell>
          <cell r="H454" t="str">
            <v>Rural</v>
          </cell>
          <cell r="I454" t="str">
            <v>Rehab Moderate</v>
          </cell>
        </row>
        <row r="455">
          <cell r="F455">
            <v>5.9</v>
          </cell>
          <cell r="G455" t="str">
            <v>Mandatory</v>
          </cell>
          <cell r="H455" t="str">
            <v>Rural</v>
          </cell>
          <cell r="I455" t="str">
            <v>Rehab Moderate</v>
          </cell>
        </row>
        <row r="456">
          <cell r="F456" t="str">
            <v>5.10</v>
          </cell>
          <cell r="G456" t="str">
            <v>0, 2 or 5</v>
          </cell>
          <cell r="H456" t="str">
            <v>Rural</v>
          </cell>
          <cell r="I456" t="str">
            <v>Rehab Moderate</v>
          </cell>
        </row>
        <row r="457">
          <cell r="F457">
            <v>5.1100000000000003</v>
          </cell>
          <cell r="G457" t="str">
            <v>0, 3 or 7</v>
          </cell>
          <cell r="H457" t="str">
            <v>Rural</v>
          </cell>
          <cell r="I457" t="str">
            <v>Rehab Moderate</v>
          </cell>
        </row>
        <row r="458">
          <cell r="F458">
            <v>5.12</v>
          </cell>
          <cell r="G458" t="str">
            <v>0 or 10</v>
          </cell>
          <cell r="H458" t="str">
            <v>Rural</v>
          </cell>
          <cell r="I458" t="str">
            <v>Rehab Moderate</v>
          </cell>
        </row>
        <row r="459">
          <cell r="F459">
            <v>5.13</v>
          </cell>
          <cell r="G459" t="str">
            <v>0,2,5 or 7</v>
          </cell>
          <cell r="H459" t="str">
            <v>Rural</v>
          </cell>
          <cell r="I459" t="str">
            <v>Rehab Moderate</v>
          </cell>
        </row>
        <row r="460">
          <cell r="F460">
            <v>6.1</v>
          </cell>
          <cell r="G460" t="str">
            <v>Mandatory</v>
          </cell>
          <cell r="H460" t="str">
            <v>Rural</v>
          </cell>
          <cell r="I460" t="str">
            <v>Rehab Moderate</v>
          </cell>
        </row>
        <row r="461">
          <cell r="F461">
            <v>6.2</v>
          </cell>
          <cell r="G461" t="str">
            <v>Mandatory</v>
          </cell>
          <cell r="H461" t="str">
            <v>Rural</v>
          </cell>
          <cell r="I461" t="str">
            <v>Rehab Moderate</v>
          </cell>
        </row>
        <row r="462">
          <cell r="F462">
            <v>6.3</v>
          </cell>
          <cell r="G462" t="str">
            <v>up to 5</v>
          </cell>
          <cell r="H462" t="str">
            <v>Rural</v>
          </cell>
          <cell r="I462" t="str">
            <v>Rehab Moderate</v>
          </cell>
        </row>
        <row r="463">
          <cell r="F463">
            <v>6.4</v>
          </cell>
          <cell r="G463" t="str">
            <v>up to 10 (0.5 increments)</v>
          </cell>
          <cell r="H463" t="str">
            <v>Rural</v>
          </cell>
          <cell r="I463" t="str">
            <v>Rehab Moderate</v>
          </cell>
        </row>
        <row r="464">
          <cell r="F464" t="str">
            <v>6.5A</v>
          </cell>
          <cell r="G464" t="str">
            <v>0 or 2</v>
          </cell>
          <cell r="H464" t="str">
            <v>Rural</v>
          </cell>
          <cell r="I464" t="str">
            <v>Rehab Moderate</v>
          </cell>
        </row>
        <row r="465">
          <cell r="F465" t="str">
            <v>6.5B</v>
          </cell>
          <cell r="G465" t="str">
            <v>0 or 2, if paving</v>
          </cell>
          <cell r="H465" t="str">
            <v>Rural</v>
          </cell>
          <cell r="I465" t="str">
            <v>Rehab Moderate</v>
          </cell>
        </row>
        <row r="466">
          <cell r="F466">
            <v>6.6</v>
          </cell>
          <cell r="G466" t="str">
            <v>up to 3</v>
          </cell>
          <cell r="H466" t="str">
            <v>Rural</v>
          </cell>
          <cell r="I466" t="str">
            <v>Rehab Moderate</v>
          </cell>
        </row>
        <row r="467">
          <cell r="F467">
            <v>7.1</v>
          </cell>
          <cell r="G467" t="str">
            <v>Mandatory</v>
          </cell>
          <cell r="H467" t="str">
            <v>Rural</v>
          </cell>
          <cell r="I467" t="str">
            <v>Rehab Moderate</v>
          </cell>
        </row>
        <row r="468">
          <cell r="F468" t="str">
            <v>7.2A</v>
          </cell>
          <cell r="G468" t="str">
            <v>Mandatory, if providing flooring materials</v>
          </cell>
          <cell r="H468" t="str">
            <v>Rural</v>
          </cell>
          <cell r="I468" t="str">
            <v>Rehab Moderate</v>
          </cell>
        </row>
        <row r="469">
          <cell r="F469" t="str">
            <v>7.2B</v>
          </cell>
          <cell r="G469" t="str">
            <v>0 or 6</v>
          </cell>
          <cell r="H469" t="str">
            <v>Rural</v>
          </cell>
          <cell r="I469" t="str">
            <v>Rehab Moderate</v>
          </cell>
        </row>
        <row r="470">
          <cell r="F470" t="str">
            <v>7.3A</v>
          </cell>
          <cell r="G470" t="str">
            <v>n/a</v>
          </cell>
          <cell r="H470" t="str">
            <v>Rural</v>
          </cell>
          <cell r="I470" t="str">
            <v>Rehab Moderate</v>
          </cell>
        </row>
        <row r="471">
          <cell r="F471" t="str">
            <v>7.3B</v>
          </cell>
          <cell r="G471" t="str">
            <v>0 or 3</v>
          </cell>
          <cell r="H471" t="str">
            <v>Rural</v>
          </cell>
          <cell r="I471" t="str">
            <v>Rehab Moderate</v>
          </cell>
        </row>
        <row r="472">
          <cell r="F472" t="str">
            <v>7.4A</v>
          </cell>
          <cell r="G472" t="str">
            <v>n/a</v>
          </cell>
          <cell r="H472" t="str">
            <v>Rural</v>
          </cell>
          <cell r="I472" t="str">
            <v>Rehab Moderate</v>
          </cell>
        </row>
        <row r="473">
          <cell r="F473" t="str">
            <v>7.4B</v>
          </cell>
          <cell r="G473" t="str">
            <v>0 or 3</v>
          </cell>
          <cell r="H473" t="str">
            <v>Rural</v>
          </cell>
          <cell r="I473" t="str">
            <v>Rehab Moderate</v>
          </cell>
        </row>
        <row r="474">
          <cell r="F474">
            <v>7.5</v>
          </cell>
          <cell r="G474" t="str">
            <v>Mandatory</v>
          </cell>
          <cell r="H474" t="str">
            <v>Rural</v>
          </cell>
          <cell r="I474" t="str">
            <v>Rehab Moderate</v>
          </cell>
        </row>
        <row r="475">
          <cell r="F475">
            <v>7.6</v>
          </cell>
          <cell r="G475" t="str">
            <v>Mandatory</v>
          </cell>
          <cell r="H475" t="str">
            <v>Rural</v>
          </cell>
          <cell r="I475" t="str">
            <v>Rehab Moderate</v>
          </cell>
        </row>
        <row r="476">
          <cell r="F476">
            <v>7.7</v>
          </cell>
          <cell r="G476" t="str">
            <v>Mandatory</v>
          </cell>
          <cell r="H476" t="str">
            <v>Rural</v>
          </cell>
          <cell r="I476" t="str">
            <v>Rehab Moderate</v>
          </cell>
        </row>
        <row r="477">
          <cell r="F477">
            <v>7.8</v>
          </cell>
          <cell r="G477" t="str">
            <v>Mandatory</v>
          </cell>
          <cell r="H477" t="str">
            <v>Rural</v>
          </cell>
          <cell r="I477" t="str">
            <v>Rehab Moderate</v>
          </cell>
        </row>
        <row r="478">
          <cell r="F478">
            <v>7.9</v>
          </cell>
          <cell r="G478" t="str">
            <v>Mandatory</v>
          </cell>
          <cell r="H478" t="str">
            <v>Rural</v>
          </cell>
          <cell r="I478" t="str">
            <v>Rehab Moderate</v>
          </cell>
        </row>
        <row r="479">
          <cell r="F479" t="str">
            <v>7.10</v>
          </cell>
          <cell r="G479" t="str">
            <v>Mandatory if Foundation Work Included</v>
          </cell>
          <cell r="H479" t="str">
            <v>Rural</v>
          </cell>
          <cell r="I479" t="str">
            <v>Rehab Moderate</v>
          </cell>
        </row>
        <row r="480">
          <cell r="F480">
            <v>7.11</v>
          </cell>
          <cell r="G480" t="str">
            <v>Mandatory</v>
          </cell>
          <cell r="H480" t="str">
            <v>Rural</v>
          </cell>
          <cell r="I480" t="str">
            <v>Rehab Moderate</v>
          </cell>
        </row>
        <row r="481">
          <cell r="F481">
            <v>7.12</v>
          </cell>
          <cell r="G481" t="str">
            <v>Mandatory</v>
          </cell>
          <cell r="H481" t="str">
            <v>Rural</v>
          </cell>
          <cell r="I481" t="str">
            <v>Rehab Moderate</v>
          </cell>
        </row>
        <row r="482">
          <cell r="F482" t="str">
            <v>7.13A</v>
          </cell>
          <cell r="G482" t="str">
            <v>n/a</v>
          </cell>
          <cell r="H482" t="str">
            <v>Rural</v>
          </cell>
          <cell r="I482" t="str">
            <v>Rehab Moderate</v>
          </cell>
        </row>
        <row r="483">
          <cell r="F483" t="str">
            <v>7.13B</v>
          </cell>
          <cell r="G483" t="str">
            <v>0,2,3,4,5,6,7,8 or 10</v>
          </cell>
          <cell r="H483" t="str">
            <v>Rural</v>
          </cell>
          <cell r="I483" t="str">
            <v>Rehab Moderate</v>
          </cell>
        </row>
        <row r="484">
          <cell r="F484">
            <v>7.14</v>
          </cell>
          <cell r="G484" t="str">
            <v>Mandatory</v>
          </cell>
          <cell r="H484" t="str">
            <v>Rural</v>
          </cell>
          <cell r="I484" t="str">
            <v>Rehab Moderate</v>
          </cell>
        </row>
        <row r="485">
          <cell r="F485">
            <v>7.15</v>
          </cell>
          <cell r="G485" t="str">
            <v>Mandatory</v>
          </cell>
          <cell r="H485" t="str">
            <v>Rural</v>
          </cell>
          <cell r="I485" t="str">
            <v>Rehab Moderate</v>
          </cell>
        </row>
        <row r="486">
          <cell r="F486">
            <v>7.16</v>
          </cell>
          <cell r="G486" t="str">
            <v>Mandatory</v>
          </cell>
          <cell r="H486" t="str">
            <v>Rural</v>
          </cell>
          <cell r="I486" t="str">
            <v>Rehab Moderate</v>
          </cell>
        </row>
        <row r="487">
          <cell r="F487">
            <v>7.17</v>
          </cell>
          <cell r="G487" t="str">
            <v>Mandatory</v>
          </cell>
          <cell r="H487" t="str">
            <v>Rural</v>
          </cell>
          <cell r="I487" t="str">
            <v>Rehab Moderate</v>
          </cell>
        </row>
        <row r="488">
          <cell r="F488" t="str">
            <v>8.1A</v>
          </cell>
          <cell r="G488" t="str">
            <v>Mandatory</v>
          </cell>
          <cell r="H488" t="str">
            <v>Rural</v>
          </cell>
          <cell r="I488" t="str">
            <v>Rehab Moderate</v>
          </cell>
        </row>
        <row r="489">
          <cell r="F489" t="str">
            <v>8.1B</v>
          </cell>
          <cell r="G489" t="str">
            <v>0 or 7</v>
          </cell>
          <cell r="H489" t="str">
            <v>Rural</v>
          </cell>
          <cell r="I489" t="str">
            <v>Rehab Moderate</v>
          </cell>
        </row>
        <row r="490">
          <cell r="F490">
            <v>8.1999999999999993</v>
          </cell>
          <cell r="G490" t="str">
            <v>Mandatory for Multifamily Projects</v>
          </cell>
          <cell r="H490" t="str">
            <v>Rural</v>
          </cell>
          <cell r="I490" t="str">
            <v>Rehab Moderate</v>
          </cell>
        </row>
        <row r="491">
          <cell r="F491">
            <v>8.3000000000000007</v>
          </cell>
          <cell r="G491" t="str">
            <v>Mandatory</v>
          </cell>
          <cell r="H491" t="str">
            <v>Rural</v>
          </cell>
          <cell r="I491" t="str">
            <v>Rehab Moderate</v>
          </cell>
        </row>
        <row r="492">
          <cell r="F492">
            <v>8.4</v>
          </cell>
          <cell r="G492" t="str">
            <v>0,3,5 or 8</v>
          </cell>
          <cell r="H492" t="str">
            <v>Rural</v>
          </cell>
          <cell r="I492" t="str">
            <v>Rehab Moderate</v>
          </cell>
        </row>
        <row r="493">
          <cell r="F493">
            <v>8.5</v>
          </cell>
          <cell r="G493" t="str">
            <v>Mandatory</v>
          </cell>
          <cell r="H493" t="str">
            <v>Rural</v>
          </cell>
          <cell r="I493" t="str">
            <v>Rehab Moderate</v>
          </cell>
        </row>
      </sheetData>
      <sheetData sheetId="2">
        <row r="2">
          <cell r="A2" t="str">
            <v>Select…</v>
          </cell>
          <cell r="B2" t="str">
            <v>Select…</v>
          </cell>
        </row>
        <row r="3">
          <cell r="A3" t="str">
            <v>Urban</v>
          </cell>
          <cell r="B3" t="str">
            <v>New Construction</v>
          </cell>
        </row>
        <row r="4">
          <cell r="A4" t="str">
            <v>Rural</v>
          </cell>
          <cell r="B4" t="str">
            <v>Rehab Moderate</v>
          </cell>
        </row>
        <row r="5">
          <cell r="B5" t="str">
            <v>Rehab Substantial</v>
          </cell>
        </row>
      </sheetData>
    </sheetDataSet>
  </externalBook>
</externalLink>
</file>

<file path=xl/tables/table1.xml><?xml version="1.0" encoding="utf-8"?>
<table xmlns="http://schemas.openxmlformats.org/spreadsheetml/2006/main" id="1" name="Table1" displayName="Table1" ref="C7:N21" totalsRowShown="0" headerRowDxfId="135" dataDxfId="133" headerRowBorderDxfId="134" tableBorderDxfId="132">
  <tableColumns count="12">
    <tableColumn id="1" name="Building ID#/Name" dataDxfId="131"/>
    <tableColumn id="2" name="Building Address _x000a_(Street)" dataDxfId="130"/>
    <tableColumn id="3" name="Building Address_x000a_(City)" dataDxfId="129"/>
    <tableColumn id="4" name="Building Type" dataDxfId="128"/>
    <tableColumn id="5" name="Building Activity" dataDxfId="127"/>
    <tableColumn id="6" name="Transitional Housing for the Homeless?" dataDxfId="126"/>
    <tableColumn id="7" name="Low-Income Units" dataDxfId="125"/>
    <tableColumn id="8" name="Market Rate Units" dataDxfId="124"/>
    <tableColumn id="9" name="Common Area Units" dataDxfId="123"/>
    <tableColumn id="10" name="TOTAL UNITS" dataDxfId="122">
      <calculatedColumnFormula>SUM(I8:K8)</calculatedColumnFormula>
    </tableColumn>
    <tableColumn id="11" name="Year building received original Certificate of Occupancy" dataDxfId="121"/>
    <tableColumn id="12" name="Expected Placed-In-Service Date (MM/DD/YYYY)" dataDxfId="120"/>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19" dataDxfId="117" headerRowBorderDxfId="118" tableBorderDxfId="116">
  <tableColumns count="13">
    <tableColumn id="1" name="Building # " headerRowDxfId="115" dataDxfId="114"/>
    <tableColumn id="2" name="# of Floors" headerRowDxfId="113" dataDxfId="112"/>
    <tableColumn id="3" name=" Low-Income Units" headerRowDxfId="111" dataDxfId="110"/>
    <tableColumn id="4" name="Common Area/ Manager Units" headerRowDxfId="109" dataDxfId="108"/>
    <tableColumn id="5" name="Market Rate Units" headerRowDxfId="107" dataDxfId="106"/>
    <tableColumn id="6" name="Common Area for Residential Services" headerRowDxfId="105" dataDxfId="104"/>
    <tableColumn id="7" name="Other Common Area" headerRowDxfId="103" dataDxfId="102"/>
    <tableColumn id="8" name="Structured Residential Parking" headerRowDxfId="101" dataDxfId="100"/>
    <tableColumn id="9" name="Total Residential Gross Square Footage" headerRowDxfId="99" dataDxfId="98">
      <calculatedColumnFormula>SUM(E21:J21)</calculatedColumnFormula>
    </tableColumn>
    <tableColumn id="10" name="." headerRowDxfId="97" dataDxfId="96"/>
    <tableColumn id="11" name="# of floors2" headerRowDxfId="95" dataDxfId="94"/>
    <tableColumn id="12" name="Gross Square Footage" headerRowDxfId="93" dataDxfId="92"/>
    <tableColumn id="13" name="Total Gross Square Footage" headerRowDxfId="91" dataDxfId="90">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67" dataDxfId="65" headerRowBorderDxfId="66" tableBorderDxfId="64">
  <tableColumns count="5">
    <tableColumn id="1" name="Population Type" dataDxfId="63"/>
    <tableColumn id="2" name="Homeless at Entry?" dataDxfId="62"/>
    <tableColumn id="3" name="Residency Type" dataDxfId="61"/>
    <tableColumn id="4" name="Unit _x000a_or Bed" dataDxfId="60"/>
    <tableColumn id="5" name="Qty." dataDxfId="59"/>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45" workbookViewId="0">
      <selection activeCell="A145" sqref="A1:XFD1048576"/>
    </sheetView>
  </sheetViews>
  <sheetFormatPr defaultRowHeight="15" x14ac:dyDescent="0.25"/>
  <cols>
    <col min="1" max="1" width="17.42578125" style="2085" bestFit="1" customWidth="1"/>
    <col min="2" max="2" width="42.42578125" style="2085" bestFit="1" customWidth="1"/>
    <col min="3" max="3" width="9.140625" style="2085"/>
    <col min="4" max="4" width="19.5703125" style="2085" bestFit="1" customWidth="1"/>
    <col min="5" max="5" width="25.28515625" style="2085" bestFit="1" customWidth="1"/>
    <col min="6" max="6" width="9.140625" style="2085"/>
    <col min="7" max="7" width="16.5703125" style="2085" bestFit="1" customWidth="1"/>
    <col min="8" max="8" width="10.7109375" style="2085" bestFit="1" customWidth="1"/>
    <col min="9" max="16384" width="9.140625" style="2085"/>
  </cols>
  <sheetData>
    <row r="3" spans="1:2" x14ac:dyDescent="0.25">
      <c r="A3" s="361" t="s">
        <v>531</v>
      </c>
      <c r="B3" s="787" t="s">
        <v>541</v>
      </c>
    </row>
    <row r="4" spans="1:2" x14ac:dyDescent="0.25">
      <c r="B4" s="788" t="s">
        <v>517</v>
      </c>
    </row>
    <row r="5" spans="1:2" x14ac:dyDescent="0.25">
      <c r="B5" s="788" t="s">
        <v>518</v>
      </c>
    </row>
    <row r="6" spans="1:2" x14ac:dyDescent="0.25">
      <c r="B6" s="788" t="s">
        <v>554</v>
      </c>
    </row>
    <row r="7" spans="1:2" x14ac:dyDescent="0.25">
      <c r="B7" s="788" t="s">
        <v>519</v>
      </c>
    </row>
    <row r="8" spans="1:2" x14ac:dyDescent="0.25">
      <c r="B8" s="788" t="s">
        <v>520</v>
      </c>
    </row>
    <row r="9" spans="1:2" x14ac:dyDescent="0.25">
      <c r="B9" s="788" t="s">
        <v>521</v>
      </c>
    </row>
    <row r="10" spans="1:2" x14ac:dyDescent="0.25">
      <c r="B10" s="788" t="s">
        <v>522</v>
      </c>
    </row>
    <row r="11" spans="1:2" x14ac:dyDescent="0.25">
      <c r="B11" s="788" t="s">
        <v>523</v>
      </c>
    </row>
    <row r="12" spans="1:2" x14ac:dyDescent="0.25">
      <c r="B12" s="788" t="s">
        <v>546</v>
      </c>
    </row>
    <row r="13" spans="1:2" x14ac:dyDescent="0.25">
      <c r="B13" s="788" t="s">
        <v>524</v>
      </c>
    </row>
    <row r="14" spans="1:2" x14ac:dyDescent="0.25">
      <c r="B14" s="788" t="s">
        <v>525</v>
      </c>
    </row>
    <row r="15" spans="1:2" x14ac:dyDescent="0.25">
      <c r="B15" s="788" t="s">
        <v>526</v>
      </c>
    </row>
    <row r="16" spans="1:2" x14ac:dyDescent="0.25">
      <c r="B16" s="788" t="s">
        <v>527</v>
      </c>
    </row>
    <row r="17" spans="1:2" x14ac:dyDescent="0.25">
      <c r="B17" s="788" t="s">
        <v>528</v>
      </c>
    </row>
    <row r="18" spans="1:2" x14ac:dyDescent="0.25">
      <c r="B18" s="788" t="s">
        <v>529</v>
      </c>
    </row>
    <row r="19" spans="1:2" x14ac:dyDescent="0.25">
      <c r="B19" s="788" t="s">
        <v>530</v>
      </c>
    </row>
    <row r="20" spans="1:2" x14ac:dyDescent="0.25">
      <c r="B20" s="788" t="s">
        <v>501</v>
      </c>
    </row>
    <row r="21" spans="1:2" x14ac:dyDescent="0.25">
      <c r="B21" s="788" t="s">
        <v>555</v>
      </c>
    </row>
    <row r="22" spans="1:2" x14ac:dyDescent="0.25">
      <c r="B22" s="789" t="s">
        <v>556</v>
      </c>
    </row>
    <row r="26" spans="1:2" x14ac:dyDescent="0.25">
      <c r="A26" s="2085" t="s">
        <v>557</v>
      </c>
      <c r="B26" s="339" t="s">
        <v>541</v>
      </c>
    </row>
    <row r="27" spans="1:2" x14ac:dyDescent="0.25">
      <c r="B27" s="791" t="s">
        <v>558</v>
      </c>
    </row>
    <row r="28" spans="1:2" x14ac:dyDescent="0.25">
      <c r="B28" s="790" t="s">
        <v>559</v>
      </c>
    </row>
    <row r="30" spans="1:2" x14ac:dyDescent="0.25">
      <c r="A30" s="2085" t="s">
        <v>1131</v>
      </c>
      <c r="B30" s="787" t="s">
        <v>541</v>
      </c>
    </row>
    <row r="31" spans="1:2" x14ac:dyDescent="0.25">
      <c r="B31" s="794" t="s">
        <v>558</v>
      </c>
    </row>
    <row r="32" spans="1:2" x14ac:dyDescent="0.25">
      <c r="B32" s="794" t="s">
        <v>559</v>
      </c>
    </row>
    <row r="33" spans="1:2" x14ac:dyDescent="0.25">
      <c r="B33" s="1028" t="s">
        <v>1132</v>
      </c>
    </row>
    <row r="35" spans="1:2" x14ac:dyDescent="0.25">
      <c r="A35" s="2085" t="s">
        <v>1146</v>
      </c>
      <c r="B35" s="787" t="s">
        <v>541</v>
      </c>
    </row>
    <row r="36" spans="1:2" x14ac:dyDescent="0.25">
      <c r="B36" s="794" t="s">
        <v>558</v>
      </c>
    </row>
    <row r="37" spans="1:2" x14ac:dyDescent="0.25">
      <c r="B37" s="794" t="s">
        <v>559</v>
      </c>
    </row>
    <row r="38" spans="1:2" x14ac:dyDescent="0.25">
      <c r="B38" s="1028" t="s">
        <v>1145</v>
      </c>
    </row>
    <row r="40" spans="1:2" x14ac:dyDescent="0.25">
      <c r="A40" s="2085" t="s">
        <v>560</v>
      </c>
      <c r="B40" s="339" t="s">
        <v>541</v>
      </c>
    </row>
    <row r="41" spans="1:2" x14ac:dyDescent="0.25">
      <c r="B41" s="791" t="s">
        <v>561</v>
      </c>
    </row>
    <row r="42" spans="1:2" x14ac:dyDescent="0.25">
      <c r="B42" s="791" t="s">
        <v>562</v>
      </c>
    </row>
    <row r="43" spans="1:2" x14ac:dyDescent="0.25">
      <c r="B43" s="791" t="s">
        <v>563</v>
      </c>
    </row>
    <row r="44" spans="1:2" x14ac:dyDescent="0.25">
      <c r="B44" s="790" t="s">
        <v>564</v>
      </c>
    </row>
    <row r="46" spans="1:2" x14ac:dyDescent="0.25">
      <c r="A46" s="2085" t="s">
        <v>565</v>
      </c>
      <c r="B46" s="339" t="s">
        <v>541</v>
      </c>
    </row>
    <row r="47" spans="1:2" x14ac:dyDescent="0.25">
      <c r="B47" s="791" t="s">
        <v>566</v>
      </c>
    </row>
    <row r="48" spans="1:2" x14ac:dyDescent="0.25">
      <c r="B48" s="790" t="s">
        <v>37</v>
      </c>
    </row>
    <row r="51" spans="1:8" x14ac:dyDescent="0.25">
      <c r="A51" s="2085" t="s">
        <v>567</v>
      </c>
      <c r="B51" s="339" t="s">
        <v>553</v>
      </c>
      <c r="D51" s="2085" t="s">
        <v>1501</v>
      </c>
      <c r="E51" s="339" t="s">
        <v>541</v>
      </c>
      <c r="G51" s="2085" t="s">
        <v>1508</v>
      </c>
      <c r="H51" s="2085" t="s">
        <v>1509</v>
      </c>
    </row>
    <row r="52" spans="1:8" x14ac:dyDescent="0.25">
      <c r="B52" s="791" t="s">
        <v>534</v>
      </c>
      <c r="E52" s="791" t="s">
        <v>534</v>
      </c>
      <c r="G52" s="1738" t="s">
        <v>1502</v>
      </c>
      <c r="H52" s="1738" t="s">
        <v>1507</v>
      </c>
    </row>
    <row r="53" spans="1:8" x14ac:dyDescent="0.25">
      <c r="B53" s="791" t="s">
        <v>551</v>
      </c>
      <c r="E53" s="790" t="s">
        <v>551</v>
      </c>
      <c r="G53" s="1738" t="s">
        <v>1503</v>
      </c>
      <c r="H53" s="1738" t="s">
        <v>1504</v>
      </c>
    </row>
    <row r="54" spans="1:8" x14ac:dyDescent="0.25">
      <c r="B54" s="790" t="s">
        <v>1500</v>
      </c>
      <c r="G54" s="1738"/>
      <c r="H54" s="1738" t="s">
        <v>656</v>
      </c>
    </row>
    <row r="55" spans="1:8" x14ac:dyDescent="0.25">
      <c r="H55" s="1738" t="s">
        <v>1505</v>
      </c>
    </row>
    <row r="56" spans="1:8" x14ac:dyDescent="0.25">
      <c r="A56" s="2085" t="s">
        <v>1516</v>
      </c>
      <c r="B56" s="787" t="s">
        <v>541</v>
      </c>
      <c r="H56" s="1738" t="s">
        <v>1506</v>
      </c>
    </row>
    <row r="57" spans="1:8" x14ac:dyDescent="0.25">
      <c r="B57" s="794" t="s">
        <v>1514</v>
      </c>
      <c r="H57" s="1738"/>
    </row>
    <row r="58" spans="1:8" x14ac:dyDescent="0.25">
      <c r="B58" s="1028" t="s">
        <v>1515</v>
      </c>
      <c r="H58" s="1738"/>
    </row>
    <row r="59" spans="1:8" x14ac:dyDescent="0.25">
      <c r="H59" s="1738"/>
    </row>
    <row r="60" spans="1:8" x14ac:dyDescent="0.25">
      <c r="A60" s="2085" t="s">
        <v>568</v>
      </c>
      <c r="B60" s="339" t="s">
        <v>541</v>
      </c>
    </row>
    <row r="61" spans="1:8" x14ac:dyDescent="0.25">
      <c r="B61" s="791" t="s">
        <v>569</v>
      </c>
    </row>
    <row r="62" spans="1:8" x14ac:dyDescent="0.25">
      <c r="B62" s="790" t="s">
        <v>570</v>
      </c>
    </row>
    <row r="65" spans="1:5" x14ac:dyDescent="0.25">
      <c r="A65" s="2085" t="s">
        <v>37</v>
      </c>
      <c r="B65" s="339"/>
    </row>
    <row r="66" spans="1:5" x14ac:dyDescent="0.25">
      <c r="B66" s="790" t="s">
        <v>548</v>
      </c>
    </row>
    <row r="68" spans="1:5" x14ac:dyDescent="0.25">
      <c r="A68" s="2085" t="s">
        <v>566</v>
      </c>
      <c r="B68" s="339" t="s">
        <v>541</v>
      </c>
      <c r="D68" s="2085" t="s">
        <v>1530</v>
      </c>
      <c r="E68" s="339" t="s">
        <v>541</v>
      </c>
    </row>
    <row r="69" spans="1:5" x14ac:dyDescent="0.25">
      <c r="B69" s="791" t="s">
        <v>39</v>
      </c>
      <c r="E69" s="791" t="s">
        <v>39</v>
      </c>
    </row>
    <row r="70" spans="1:5" x14ac:dyDescent="0.25">
      <c r="B70" s="791" t="s">
        <v>38</v>
      </c>
      <c r="E70" s="791" t="s">
        <v>38</v>
      </c>
    </row>
    <row r="71" spans="1:5" x14ac:dyDescent="0.25">
      <c r="B71" s="791" t="s">
        <v>571</v>
      </c>
      <c r="E71" s="791" t="s">
        <v>571</v>
      </c>
    </row>
    <row r="72" spans="1:5" x14ac:dyDescent="0.25">
      <c r="B72" s="791" t="s">
        <v>572</v>
      </c>
      <c r="E72" s="791" t="s">
        <v>572</v>
      </c>
    </row>
    <row r="73" spans="1:5" x14ac:dyDescent="0.25">
      <c r="B73" s="791" t="s">
        <v>573</v>
      </c>
      <c r="E73" s="791" t="s">
        <v>573</v>
      </c>
    </row>
    <row r="74" spans="1:5" x14ac:dyDescent="0.25">
      <c r="B74" s="791" t="s">
        <v>574</v>
      </c>
      <c r="E74" s="791" t="s">
        <v>574</v>
      </c>
    </row>
    <row r="75" spans="1:5" x14ac:dyDescent="0.25">
      <c r="B75" s="790" t="s">
        <v>575</v>
      </c>
      <c r="E75" s="1028" t="s">
        <v>233</v>
      </c>
    </row>
    <row r="77" spans="1:5" x14ac:dyDescent="0.25">
      <c r="A77" s="2085" t="s">
        <v>597</v>
      </c>
      <c r="B77" s="339" t="s">
        <v>541</v>
      </c>
    </row>
    <row r="78" spans="1:5" x14ac:dyDescent="0.25">
      <c r="B78" s="794" t="s">
        <v>37</v>
      </c>
    </row>
    <row r="79" spans="1:5" x14ac:dyDescent="0.25">
      <c r="B79" s="794" t="s">
        <v>38</v>
      </c>
    </row>
    <row r="80" spans="1:5" x14ac:dyDescent="0.25">
      <c r="B80" s="791" t="s">
        <v>39</v>
      </c>
    </row>
    <row r="81" spans="1:2" x14ac:dyDescent="0.25">
      <c r="B81" s="791" t="s">
        <v>571</v>
      </c>
    </row>
    <row r="82" spans="1:2" x14ac:dyDescent="0.25">
      <c r="B82" s="791" t="s">
        <v>572</v>
      </c>
    </row>
    <row r="83" spans="1:2" x14ac:dyDescent="0.25">
      <c r="B83" s="791" t="s">
        <v>573</v>
      </c>
    </row>
    <row r="84" spans="1:2" x14ac:dyDescent="0.25">
      <c r="B84" s="791" t="s">
        <v>574</v>
      </c>
    </row>
    <row r="85" spans="1:2" x14ac:dyDescent="0.25">
      <c r="B85" s="790" t="s">
        <v>575</v>
      </c>
    </row>
    <row r="87" spans="1:2" x14ac:dyDescent="0.25">
      <c r="A87" s="2085" t="s">
        <v>598</v>
      </c>
      <c r="B87" s="339" t="s">
        <v>541</v>
      </c>
    </row>
    <row r="88" spans="1:2" x14ac:dyDescent="0.25">
      <c r="B88" s="791" t="s">
        <v>340</v>
      </c>
    </row>
    <row r="89" spans="1:2" x14ac:dyDescent="0.25">
      <c r="B89" s="790" t="s">
        <v>599</v>
      </c>
    </row>
    <row r="92" spans="1:2" x14ac:dyDescent="0.25">
      <c r="A92" s="2085" t="s">
        <v>576</v>
      </c>
      <c r="B92" s="339" t="s">
        <v>541</v>
      </c>
    </row>
    <row r="93" spans="1:2" x14ac:dyDescent="0.25">
      <c r="B93" s="792">
        <v>0.25</v>
      </c>
    </row>
    <row r="94" spans="1:2" x14ac:dyDescent="0.25">
      <c r="B94" s="792">
        <v>0.3</v>
      </c>
    </row>
    <row r="95" spans="1:2" x14ac:dyDescent="0.25">
      <c r="B95" s="792">
        <v>0.35</v>
      </c>
    </row>
    <row r="96" spans="1:2" x14ac:dyDescent="0.25">
      <c r="B96" s="792">
        <v>0.4</v>
      </c>
    </row>
    <row r="97" spans="1:2" x14ac:dyDescent="0.25">
      <c r="B97" s="792">
        <v>0.45</v>
      </c>
    </row>
    <row r="98" spans="1:2" x14ac:dyDescent="0.25">
      <c r="B98" s="792">
        <v>0.5</v>
      </c>
    </row>
    <row r="99" spans="1:2" x14ac:dyDescent="0.25">
      <c r="B99" s="792">
        <v>0.55000000000000004</v>
      </c>
    </row>
    <row r="100" spans="1:2" x14ac:dyDescent="0.25">
      <c r="B100" s="792">
        <v>0.6</v>
      </c>
    </row>
    <row r="101" spans="1:2" x14ac:dyDescent="0.25">
      <c r="B101" s="792">
        <v>0.65</v>
      </c>
    </row>
    <row r="102" spans="1:2" x14ac:dyDescent="0.25">
      <c r="B102" s="793">
        <v>0.8</v>
      </c>
    </row>
    <row r="105" spans="1:2" x14ac:dyDescent="0.25">
      <c r="A105" s="2085" t="s">
        <v>577</v>
      </c>
      <c r="B105" s="339" t="s">
        <v>541</v>
      </c>
    </row>
    <row r="106" spans="1:2" x14ac:dyDescent="0.25">
      <c r="B106" s="791" t="s">
        <v>578</v>
      </c>
    </row>
    <row r="107" spans="1:2" x14ac:dyDescent="0.25">
      <c r="B107" s="790" t="s">
        <v>579</v>
      </c>
    </row>
    <row r="110" spans="1:2" x14ac:dyDescent="0.25">
      <c r="A110" s="2085" t="s">
        <v>581</v>
      </c>
      <c r="B110" s="1247" t="s">
        <v>580</v>
      </c>
    </row>
    <row r="116" spans="1:2" x14ac:dyDescent="0.25">
      <c r="A116" s="2085" t="s">
        <v>590</v>
      </c>
      <c r="B116" s="339" t="s">
        <v>541</v>
      </c>
    </row>
    <row r="117" spans="1:2" x14ac:dyDescent="0.25">
      <c r="B117" s="791" t="s">
        <v>589</v>
      </c>
    </row>
    <row r="118" spans="1:2" x14ac:dyDescent="0.25">
      <c r="B118" s="791" t="s">
        <v>583</v>
      </c>
    </row>
    <row r="119" spans="1:2" x14ac:dyDescent="0.25">
      <c r="B119" s="791" t="s">
        <v>584</v>
      </c>
    </row>
    <row r="120" spans="1:2" x14ac:dyDescent="0.25">
      <c r="B120" s="791" t="s">
        <v>585</v>
      </c>
    </row>
    <row r="121" spans="1:2" x14ac:dyDescent="0.25">
      <c r="B121" s="791" t="s">
        <v>586</v>
      </c>
    </row>
    <row r="122" spans="1:2" x14ac:dyDescent="0.25">
      <c r="B122" s="791" t="s">
        <v>587</v>
      </c>
    </row>
    <row r="123" spans="1:2" x14ac:dyDescent="0.25">
      <c r="B123" s="791" t="s">
        <v>588</v>
      </c>
    </row>
    <row r="124" spans="1:2" x14ac:dyDescent="0.25">
      <c r="B124" s="790" t="s">
        <v>582</v>
      </c>
    </row>
    <row r="127" spans="1:2" x14ac:dyDescent="0.25">
      <c r="A127" s="2085" t="s">
        <v>591</v>
      </c>
      <c r="B127" s="787" t="s">
        <v>541</v>
      </c>
    </row>
    <row r="128" spans="1:2" x14ac:dyDescent="0.25">
      <c r="B128" s="791" t="s">
        <v>28</v>
      </c>
    </row>
    <row r="129" spans="1:2" x14ac:dyDescent="0.25">
      <c r="B129" s="791" t="s">
        <v>25</v>
      </c>
    </row>
    <row r="130" spans="1:2" x14ac:dyDescent="0.25">
      <c r="B130" s="790" t="s">
        <v>22</v>
      </c>
    </row>
    <row r="132" spans="1:2" x14ac:dyDescent="0.25">
      <c r="A132" s="2085" t="s">
        <v>601</v>
      </c>
      <c r="B132" s="787" t="s">
        <v>541</v>
      </c>
    </row>
    <row r="133" spans="1:2" x14ac:dyDescent="0.25">
      <c r="B133" s="794" t="s">
        <v>602</v>
      </c>
    </row>
    <row r="134" spans="1:2" x14ac:dyDescent="0.25">
      <c r="B134" s="794" t="s">
        <v>603</v>
      </c>
    </row>
    <row r="135" spans="1:2" x14ac:dyDescent="0.25">
      <c r="B135" s="794" t="s">
        <v>604</v>
      </c>
    </row>
    <row r="136" spans="1:2" x14ac:dyDescent="0.25">
      <c r="B136" s="794" t="s">
        <v>605</v>
      </c>
    </row>
    <row r="137" spans="1:2" x14ac:dyDescent="0.25">
      <c r="B137" s="1011"/>
    </row>
    <row r="138" spans="1:2" x14ac:dyDescent="0.25">
      <c r="A138" s="2085" t="s">
        <v>608</v>
      </c>
      <c r="B138" s="787" t="s">
        <v>553</v>
      </c>
    </row>
    <row r="139" spans="1:2" x14ac:dyDescent="0.25">
      <c r="B139" s="791" t="s">
        <v>609</v>
      </c>
    </row>
    <row r="140" spans="1:2" x14ac:dyDescent="0.25">
      <c r="B140" s="790" t="s">
        <v>610</v>
      </c>
    </row>
    <row r="142" spans="1:2" x14ac:dyDescent="0.25">
      <c r="A142" s="2085" t="s">
        <v>611</v>
      </c>
      <c r="B142" s="787" t="s">
        <v>541</v>
      </c>
    </row>
    <row r="143" spans="1:2" x14ac:dyDescent="0.25">
      <c r="B143" s="794" t="s">
        <v>612</v>
      </c>
    </row>
    <row r="144" spans="1:2" x14ac:dyDescent="0.25">
      <c r="B144" s="794" t="s">
        <v>613</v>
      </c>
    </row>
    <row r="145" spans="1:5" x14ac:dyDescent="0.25">
      <c r="B145" s="1028" t="s">
        <v>614</v>
      </c>
    </row>
    <row r="147" spans="1:5" x14ac:dyDescent="0.25">
      <c r="A147" s="2085" t="s">
        <v>618</v>
      </c>
      <c r="B147" s="1244" t="s">
        <v>541</v>
      </c>
    </row>
    <row r="148" spans="1:5" x14ac:dyDescent="0.25">
      <c r="B148" s="1245" t="s">
        <v>619</v>
      </c>
    </row>
    <row r="149" spans="1:5" x14ac:dyDescent="0.25">
      <c r="B149" s="1245" t="s">
        <v>617</v>
      </c>
    </row>
    <row r="150" spans="1:5" x14ac:dyDescent="0.25">
      <c r="B150" s="1245" t="s">
        <v>620</v>
      </c>
    </row>
    <row r="151" spans="1:5" x14ac:dyDescent="0.25">
      <c r="B151" s="1246" t="s">
        <v>621</v>
      </c>
    </row>
    <row r="153" spans="1:5" x14ac:dyDescent="0.25">
      <c r="A153" s="2085" t="s">
        <v>630</v>
      </c>
      <c r="B153" s="787" t="s">
        <v>541</v>
      </c>
      <c r="D153" s="2085" t="s">
        <v>684</v>
      </c>
      <c r="E153" s="787" t="s">
        <v>541</v>
      </c>
    </row>
    <row r="154" spans="1:5" x14ac:dyDescent="0.25">
      <c r="B154" s="1036" t="s">
        <v>627</v>
      </c>
      <c r="E154" s="1036" t="s">
        <v>627</v>
      </c>
    </row>
    <row r="155" spans="1:5" x14ac:dyDescent="0.25">
      <c r="B155" s="1036" t="s">
        <v>624</v>
      </c>
      <c r="E155" s="1036" t="s">
        <v>624</v>
      </c>
    </row>
    <row r="156" spans="1:5" x14ac:dyDescent="0.25">
      <c r="B156" s="1036" t="s">
        <v>625</v>
      </c>
      <c r="E156" s="1036" t="s">
        <v>625</v>
      </c>
    </row>
    <row r="157" spans="1:5" x14ac:dyDescent="0.25">
      <c r="B157" s="1036" t="s">
        <v>645</v>
      </c>
      <c r="E157" s="1036" t="s">
        <v>645</v>
      </c>
    </row>
    <row r="158" spans="1:5" x14ac:dyDescent="0.25">
      <c r="B158" s="1036" t="s">
        <v>622</v>
      </c>
      <c r="E158" s="1036" t="s">
        <v>622</v>
      </c>
    </row>
    <row r="159" spans="1:5" x14ac:dyDescent="0.25">
      <c r="B159" s="1036" t="s">
        <v>629</v>
      </c>
      <c r="E159" s="1036" t="s">
        <v>629</v>
      </c>
    </row>
    <row r="160" spans="1:5" x14ac:dyDescent="0.25">
      <c r="B160" s="1036" t="s">
        <v>570</v>
      </c>
      <c r="E160" s="1036" t="s">
        <v>570</v>
      </c>
    </row>
    <row r="161" spans="1:5" x14ac:dyDescent="0.25">
      <c r="B161" s="1036" t="s">
        <v>628</v>
      </c>
      <c r="E161" s="1036" t="s">
        <v>628</v>
      </c>
    </row>
    <row r="162" spans="1:5" x14ac:dyDescent="0.25">
      <c r="B162" s="1036" t="s">
        <v>626</v>
      </c>
      <c r="E162" s="1036" t="s">
        <v>626</v>
      </c>
    </row>
    <row r="163" spans="1:5" x14ac:dyDescent="0.25">
      <c r="B163" s="1036" t="s">
        <v>1133</v>
      </c>
      <c r="E163" s="1036" t="s">
        <v>623</v>
      </c>
    </row>
    <row r="164" spans="1:5" x14ac:dyDescent="0.25">
      <c r="B164" s="1036" t="s">
        <v>1134</v>
      </c>
      <c r="E164" s="1036"/>
    </row>
    <row r="165" spans="1:5" x14ac:dyDescent="0.25">
      <c r="B165" s="1036" t="s">
        <v>675</v>
      </c>
      <c r="E165" s="1036" t="s">
        <v>675</v>
      </c>
    </row>
    <row r="166" spans="1:5" x14ac:dyDescent="0.25">
      <c r="B166" s="1092" t="s">
        <v>646</v>
      </c>
      <c r="E166" s="1036" t="s">
        <v>683</v>
      </c>
    </row>
    <row r="167" spans="1:5" x14ac:dyDescent="0.25">
      <c r="B167" s="1248" t="s">
        <v>233</v>
      </c>
      <c r="E167" s="1092" t="s">
        <v>646</v>
      </c>
    </row>
    <row r="168" spans="1:5" x14ac:dyDescent="0.25">
      <c r="E168" s="1248" t="s">
        <v>233</v>
      </c>
    </row>
    <row r="170" spans="1:5" x14ac:dyDescent="0.25">
      <c r="A170" s="2085" t="s">
        <v>636</v>
      </c>
      <c r="B170" s="339" t="s">
        <v>541</v>
      </c>
    </row>
    <row r="171" spans="1:5" x14ac:dyDescent="0.25">
      <c r="B171" s="791" t="s">
        <v>634</v>
      </c>
    </row>
    <row r="172" spans="1:5" x14ac:dyDescent="0.25">
      <c r="B172" s="790" t="s">
        <v>635</v>
      </c>
    </row>
    <row r="175" spans="1:5" x14ac:dyDescent="0.25">
      <c r="A175" s="2085" t="s">
        <v>1534</v>
      </c>
      <c r="B175" s="787" t="s">
        <v>541</v>
      </c>
    </row>
    <row r="176" spans="1:5" x14ac:dyDescent="0.25">
      <c r="B176" s="794" t="s">
        <v>1533</v>
      </c>
    </row>
    <row r="177" spans="2:2" x14ac:dyDescent="0.25">
      <c r="B177" s="1028" t="s">
        <v>1535</v>
      </c>
    </row>
  </sheetData>
  <sheetProtection algorithmName="SHA-512" hashValue="RF0FRil8SvqAUVdqt1Im+u0BSDopLZdF//9CfmWFvO2Z3sxT/A6SZtt8nXmX1UDonRJEimyD2nlu4rgXcu1vgw==" saltValue="/C4tZ6bT4oejNdL1yPT4rA=="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RowHeight="15" x14ac:dyDescent="0.25"/>
  <cols>
    <col min="1" max="1" width="8.85546875" style="378" bestFit="1" customWidth="1"/>
    <col min="2" max="2" width="32.28515625" style="378" bestFit="1" customWidth="1"/>
    <col min="3" max="3" width="8.85546875" style="378" customWidth="1"/>
    <col min="4" max="4" width="17" style="378" bestFit="1" customWidth="1"/>
    <col min="5" max="5" width="9.140625" style="1405"/>
    <col min="6" max="6" width="8.85546875" style="378" bestFit="1" customWidth="1"/>
    <col min="7" max="7" width="41.140625" style="378" customWidth="1"/>
    <col min="8" max="8" width="9.140625" style="378"/>
    <col min="9" max="9" width="18.28515625" style="378" bestFit="1" customWidth="1"/>
    <col min="10" max="10" width="49.85546875" style="378" bestFit="1" customWidth="1"/>
    <col min="11" max="16384" width="9.140625" style="378"/>
  </cols>
  <sheetData>
    <row r="1" spans="1:10" x14ac:dyDescent="0.25">
      <c r="A1" s="1404" t="s">
        <v>827</v>
      </c>
      <c r="B1" s="1404" t="s">
        <v>828</v>
      </c>
      <c r="C1" s="1404" t="s">
        <v>829</v>
      </c>
      <c r="D1" s="1404" t="s">
        <v>830</v>
      </c>
      <c r="E1" s="1405" t="s">
        <v>831</v>
      </c>
      <c r="F1" s="1406" t="s">
        <v>827</v>
      </c>
      <c r="G1" s="1407" t="s">
        <v>832</v>
      </c>
      <c r="H1" s="378" t="s">
        <v>829</v>
      </c>
      <c r="I1" s="378" t="s">
        <v>830</v>
      </c>
      <c r="J1" s="1331" t="s">
        <v>833</v>
      </c>
    </row>
    <row r="2" spans="1:10" x14ac:dyDescent="0.25">
      <c r="A2" s="1408">
        <v>1.1000000000000001</v>
      </c>
      <c r="B2" s="1409" t="s">
        <v>834</v>
      </c>
      <c r="C2" s="1404" t="s">
        <v>835</v>
      </c>
      <c r="D2" s="1404" t="s">
        <v>28</v>
      </c>
      <c r="E2" s="1405">
        <v>1</v>
      </c>
      <c r="F2" s="1406" t="s">
        <v>693</v>
      </c>
      <c r="G2" s="1410" t="s">
        <v>834</v>
      </c>
      <c r="H2" s="1331" t="s">
        <v>836</v>
      </c>
      <c r="I2" s="1331" t="s">
        <v>28</v>
      </c>
      <c r="J2" s="1411" t="s">
        <v>837</v>
      </c>
    </row>
    <row r="3" spans="1:10" x14ac:dyDescent="0.25">
      <c r="A3" s="1412">
        <v>1.2</v>
      </c>
      <c r="B3" s="1413" t="s">
        <v>838</v>
      </c>
      <c r="C3" s="1404" t="s">
        <v>835</v>
      </c>
      <c r="D3" s="1404" t="s">
        <v>28</v>
      </c>
      <c r="E3" s="1405">
        <v>2</v>
      </c>
      <c r="F3" s="1406" t="s">
        <v>695</v>
      </c>
      <c r="G3" s="1410" t="s">
        <v>839</v>
      </c>
      <c r="H3" s="1331" t="s">
        <v>836</v>
      </c>
      <c r="I3" s="1331" t="s">
        <v>28</v>
      </c>
      <c r="J3" s="1411" t="s">
        <v>840</v>
      </c>
    </row>
    <row r="4" spans="1:10" x14ac:dyDescent="0.25">
      <c r="A4" s="1414">
        <v>2.1</v>
      </c>
      <c r="B4" s="1409" t="s">
        <v>834</v>
      </c>
      <c r="C4" s="1404" t="s">
        <v>835</v>
      </c>
      <c r="D4" s="1404" t="s">
        <v>28</v>
      </c>
      <c r="E4" s="1405">
        <v>3</v>
      </c>
      <c r="F4" s="1406">
        <v>1.2</v>
      </c>
      <c r="G4" s="1410" t="s">
        <v>841</v>
      </c>
      <c r="H4" s="1331" t="s">
        <v>836</v>
      </c>
      <c r="I4" s="1331" t="s">
        <v>28</v>
      </c>
      <c r="J4" s="1411" t="s">
        <v>842</v>
      </c>
    </row>
    <row r="5" spans="1:10" x14ac:dyDescent="0.25">
      <c r="A5" s="1415">
        <v>2.2000000000000002</v>
      </c>
      <c r="B5" s="1416" t="s">
        <v>843</v>
      </c>
      <c r="C5" s="1404" t="s">
        <v>835</v>
      </c>
      <c r="D5" s="1404" t="s">
        <v>28</v>
      </c>
      <c r="E5" s="1405">
        <v>4</v>
      </c>
      <c r="F5" s="1406" t="s">
        <v>698</v>
      </c>
      <c r="G5" s="1410" t="s">
        <v>834</v>
      </c>
      <c r="H5" s="1331" t="s">
        <v>836</v>
      </c>
      <c r="I5" s="1331" t="s">
        <v>28</v>
      </c>
      <c r="J5" s="1411" t="s">
        <v>837</v>
      </c>
    </row>
    <row r="6" spans="1:10" x14ac:dyDescent="0.25">
      <c r="A6" s="1415">
        <v>2.2999999999999998</v>
      </c>
      <c r="B6" s="1416" t="s">
        <v>834</v>
      </c>
      <c r="C6" s="1404" t="s">
        <v>835</v>
      </c>
      <c r="D6" s="1404" t="s">
        <v>28</v>
      </c>
      <c r="E6" s="1405">
        <v>5</v>
      </c>
      <c r="F6" s="1406" t="s">
        <v>700</v>
      </c>
      <c r="G6" s="1417" t="s">
        <v>844</v>
      </c>
      <c r="H6" s="1331" t="s">
        <v>836</v>
      </c>
      <c r="I6" s="1331" t="s">
        <v>28</v>
      </c>
      <c r="J6" s="1411" t="s">
        <v>845</v>
      </c>
    </row>
    <row r="7" spans="1:10" x14ac:dyDescent="0.25">
      <c r="A7" s="1415">
        <v>2.4</v>
      </c>
      <c r="B7" s="1416" t="s">
        <v>846</v>
      </c>
      <c r="C7" s="1404" t="s">
        <v>835</v>
      </c>
      <c r="D7" s="1404" t="s">
        <v>28</v>
      </c>
      <c r="E7" s="1405">
        <v>6</v>
      </c>
      <c r="F7" s="1418">
        <v>1.4</v>
      </c>
      <c r="G7" s="1417" t="s">
        <v>847</v>
      </c>
      <c r="H7" s="1331" t="s">
        <v>836</v>
      </c>
      <c r="I7" s="1331" t="s">
        <v>28</v>
      </c>
      <c r="J7" s="1411" t="s">
        <v>848</v>
      </c>
    </row>
    <row r="8" spans="1:10" x14ac:dyDescent="0.25">
      <c r="A8" s="1415">
        <v>2.5</v>
      </c>
      <c r="B8" s="1416" t="s">
        <v>849</v>
      </c>
      <c r="C8" s="1404" t="s">
        <v>835</v>
      </c>
      <c r="D8" s="1404" t="s">
        <v>28</v>
      </c>
      <c r="E8" s="1405">
        <v>7</v>
      </c>
      <c r="F8" s="1418">
        <v>2.1</v>
      </c>
      <c r="G8" s="1410" t="s">
        <v>834</v>
      </c>
      <c r="H8" s="1331" t="s">
        <v>836</v>
      </c>
      <c r="I8" s="1331" t="s">
        <v>28</v>
      </c>
      <c r="J8" s="1411" t="s">
        <v>837</v>
      </c>
    </row>
    <row r="9" spans="1:10" x14ac:dyDescent="0.25">
      <c r="A9" s="1415">
        <v>2.6</v>
      </c>
      <c r="B9" s="1416" t="s">
        <v>850</v>
      </c>
      <c r="C9" s="1404" t="s">
        <v>835</v>
      </c>
      <c r="D9" s="1404" t="s">
        <v>28</v>
      </c>
      <c r="E9" s="1405">
        <v>8</v>
      </c>
      <c r="F9" s="1418">
        <v>2.2000000000000002</v>
      </c>
      <c r="G9" s="1410" t="s">
        <v>834</v>
      </c>
      <c r="H9" s="1331" t="s">
        <v>836</v>
      </c>
      <c r="I9" s="1331" t="s">
        <v>28</v>
      </c>
      <c r="J9" s="1411" t="s">
        <v>837</v>
      </c>
    </row>
    <row r="10" spans="1:10" x14ac:dyDescent="0.25">
      <c r="A10" s="1419" t="s">
        <v>851</v>
      </c>
      <c r="B10" s="1416" t="s">
        <v>548</v>
      </c>
      <c r="C10" s="1404" t="s">
        <v>835</v>
      </c>
      <c r="D10" s="1404" t="s">
        <v>28</v>
      </c>
      <c r="E10" s="1405">
        <v>9</v>
      </c>
      <c r="F10" s="1418">
        <v>2.2999999999999998</v>
      </c>
      <c r="G10" s="1410" t="s">
        <v>834</v>
      </c>
      <c r="H10" s="1331" t="s">
        <v>836</v>
      </c>
      <c r="I10" s="1331" t="s">
        <v>28</v>
      </c>
      <c r="J10" s="1411" t="s">
        <v>837</v>
      </c>
    </row>
    <row r="11" spans="1:10" x14ac:dyDescent="0.25">
      <c r="A11" s="1415" t="s">
        <v>852</v>
      </c>
      <c r="B11" s="1416" t="s">
        <v>853</v>
      </c>
      <c r="C11" s="1404" t="s">
        <v>835</v>
      </c>
      <c r="D11" s="1404" t="s">
        <v>28</v>
      </c>
      <c r="E11" s="1405">
        <v>10</v>
      </c>
      <c r="F11" s="1418">
        <v>2.4</v>
      </c>
      <c r="G11" s="1410" t="s">
        <v>846</v>
      </c>
      <c r="H11" s="1331" t="s">
        <v>836</v>
      </c>
      <c r="I11" s="1331" t="s">
        <v>28</v>
      </c>
      <c r="J11" s="1411" t="s">
        <v>854</v>
      </c>
    </row>
    <row r="12" spans="1:10" x14ac:dyDescent="0.25">
      <c r="A12" s="1415">
        <v>2.8</v>
      </c>
      <c r="B12" s="1416" t="s">
        <v>855</v>
      </c>
      <c r="C12" s="1404" t="s">
        <v>835</v>
      </c>
      <c r="D12" s="1404" t="s">
        <v>28</v>
      </c>
      <c r="E12" s="1405">
        <v>11</v>
      </c>
      <c r="F12" s="1418">
        <v>2.5</v>
      </c>
      <c r="G12" s="1410" t="s">
        <v>856</v>
      </c>
      <c r="H12" s="1331" t="s">
        <v>836</v>
      </c>
      <c r="I12" s="1331" t="s">
        <v>28</v>
      </c>
      <c r="J12" s="1411" t="s">
        <v>857</v>
      </c>
    </row>
    <row r="13" spans="1:10" x14ac:dyDescent="0.25">
      <c r="A13" s="1415">
        <v>2.9</v>
      </c>
      <c r="B13" s="1416" t="s">
        <v>858</v>
      </c>
      <c r="C13" s="1404" t="s">
        <v>835</v>
      </c>
      <c r="D13" s="1404" t="s">
        <v>28</v>
      </c>
      <c r="E13" s="1405">
        <v>12</v>
      </c>
      <c r="F13" s="1418">
        <v>2.6</v>
      </c>
      <c r="G13" s="1410" t="s">
        <v>834</v>
      </c>
      <c r="H13" s="1331" t="s">
        <v>836</v>
      </c>
      <c r="I13" s="1331" t="s">
        <v>28</v>
      </c>
      <c r="J13" s="1411" t="s">
        <v>837</v>
      </c>
    </row>
    <row r="14" spans="1:10" x14ac:dyDescent="0.25">
      <c r="A14" s="1420" t="s">
        <v>717</v>
      </c>
      <c r="B14" s="1413" t="s">
        <v>850</v>
      </c>
      <c r="C14" s="1404" t="s">
        <v>835</v>
      </c>
      <c r="D14" s="1404" t="s">
        <v>28</v>
      </c>
      <c r="E14" s="1405">
        <v>13</v>
      </c>
      <c r="F14" s="1288" t="s">
        <v>711</v>
      </c>
      <c r="G14" s="1410" t="s">
        <v>834</v>
      </c>
      <c r="H14" s="1331" t="s">
        <v>836</v>
      </c>
      <c r="I14" s="1331" t="s">
        <v>28</v>
      </c>
      <c r="J14" s="1411" t="s">
        <v>837</v>
      </c>
    </row>
    <row r="15" spans="1:10" x14ac:dyDescent="0.25">
      <c r="A15" s="1414" t="s">
        <v>859</v>
      </c>
      <c r="B15" s="1409" t="s">
        <v>834</v>
      </c>
      <c r="C15" s="1404" t="s">
        <v>835</v>
      </c>
      <c r="D15" s="1404" t="s">
        <v>28</v>
      </c>
      <c r="E15" s="1405">
        <v>14</v>
      </c>
      <c r="F15" s="1406" t="s">
        <v>713</v>
      </c>
      <c r="G15" s="1410" t="s">
        <v>860</v>
      </c>
      <c r="H15" s="1331" t="s">
        <v>836</v>
      </c>
      <c r="I15" s="1331" t="s">
        <v>28</v>
      </c>
      <c r="J15" s="1411" t="s">
        <v>861</v>
      </c>
    </row>
    <row r="16" spans="1:10" x14ac:dyDescent="0.25">
      <c r="A16" s="1415" t="s">
        <v>862</v>
      </c>
      <c r="B16" s="1416" t="s">
        <v>834</v>
      </c>
      <c r="C16" s="1404" t="s">
        <v>835</v>
      </c>
      <c r="D16" s="1404" t="s">
        <v>28</v>
      </c>
      <c r="E16" s="1405">
        <v>15</v>
      </c>
      <c r="F16" s="1418">
        <v>2.8</v>
      </c>
      <c r="G16" s="1410" t="s">
        <v>843</v>
      </c>
      <c r="H16" s="1331" t="s">
        <v>836</v>
      </c>
      <c r="I16" s="1331" t="s">
        <v>28</v>
      </c>
      <c r="J16" s="1411" t="s">
        <v>863</v>
      </c>
    </row>
    <row r="17" spans="1:10" x14ac:dyDescent="0.25">
      <c r="A17" s="1415" t="s">
        <v>723</v>
      </c>
      <c r="B17" s="1421" t="s">
        <v>864</v>
      </c>
      <c r="C17" s="1404" t="s">
        <v>835</v>
      </c>
      <c r="D17" s="1404" t="s">
        <v>28</v>
      </c>
      <c r="E17" s="1405">
        <v>16</v>
      </c>
      <c r="F17" s="1418">
        <v>2.9</v>
      </c>
      <c r="G17" s="1410" t="s">
        <v>846</v>
      </c>
      <c r="H17" s="1331" t="s">
        <v>836</v>
      </c>
      <c r="I17" s="1331" t="s">
        <v>28</v>
      </c>
      <c r="J17" s="1411" t="s">
        <v>854</v>
      </c>
    </row>
    <row r="18" spans="1:10" x14ac:dyDescent="0.25">
      <c r="A18" s="1415" t="s">
        <v>724</v>
      </c>
      <c r="B18" s="1416" t="s">
        <v>846</v>
      </c>
      <c r="C18" s="1404" t="s">
        <v>835</v>
      </c>
      <c r="D18" s="1404" t="s">
        <v>28</v>
      </c>
      <c r="E18" s="1405">
        <v>17</v>
      </c>
      <c r="F18" s="1422" t="s">
        <v>717</v>
      </c>
      <c r="G18" s="1410" t="s">
        <v>850</v>
      </c>
      <c r="H18" s="1331" t="s">
        <v>836</v>
      </c>
      <c r="I18" s="1331" t="s">
        <v>28</v>
      </c>
      <c r="J18" s="1411" t="s">
        <v>865</v>
      </c>
    </row>
    <row r="19" spans="1:10" x14ac:dyDescent="0.25">
      <c r="A19" s="1415" t="s">
        <v>725</v>
      </c>
      <c r="B19" s="1416" t="s">
        <v>866</v>
      </c>
      <c r="C19" s="1404" t="s">
        <v>835</v>
      </c>
      <c r="D19" s="1404" t="s">
        <v>28</v>
      </c>
      <c r="E19" s="1405">
        <v>18</v>
      </c>
      <c r="F19" s="1418">
        <v>3.1</v>
      </c>
      <c r="G19" s="1410" t="s">
        <v>834</v>
      </c>
      <c r="H19" s="1331" t="s">
        <v>836</v>
      </c>
      <c r="I19" s="1331" t="s">
        <v>28</v>
      </c>
      <c r="J19" s="1411" t="s">
        <v>837</v>
      </c>
    </row>
    <row r="20" spans="1:10" x14ac:dyDescent="0.25">
      <c r="A20" s="1415" t="s">
        <v>867</v>
      </c>
      <c r="B20" s="1421" t="s">
        <v>868</v>
      </c>
      <c r="C20" s="1423" t="s">
        <v>835</v>
      </c>
      <c r="D20" s="1423" t="s">
        <v>28</v>
      </c>
      <c r="E20" s="1405">
        <v>19</v>
      </c>
      <c r="F20" s="1406">
        <v>3.2</v>
      </c>
      <c r="G20" s="1410" t="s">
        <v>834</v>
      </c>
      <c r="H20" s="1331" t="s">
        <v>836</v>
      </c>
      <c r="I20" s="1331" t="s">
        <v>28</v>
      </c>
      <c r="J20" s="1411" t="s">
        <v>837</v>
      </c>
    </row>
    <row r="21" spans="1:10" x14ac:dyDescent="0.25">
      <c r="A21" s="1415" t="s">
        <v>869</v>
      </c>
      <c r="B21" s="1416" t="s">
        <v>870</v>
      </c>
      <c r="C21" s="1404" t="s">
        <v>835</v>
      </c>
      <c r="D21" s="1404" t="s">
        <v>28</v>
      </c>
      <c r="E21" s="1405">
        <v>20</v>
      </c>
      <c r="F21" s="1406" t="s">
        <v>871</v>
      </c>
      <c r="G21" s="1410" t="s">
        <v>872</v>
      </c>
      <c r="H21" s="1331" t="s">
        <v>836</v>
      </c>
      <c r="I21" s="1331" t="s">
        <v>28</v>
      </c>
      <c r="J21" s="1411" t="s">
        <v>873</v>
      </c>
    </row>
    <row r="22" spans="1:10" x14ac:dyDescent="0.25">
      <c r="A22" s="1415" t="s">
        <v>874</v>
      </c>
      <c r="B22" s="1413" t="s">
        <v>834</v>
      </c>
      <c r="C22" s="1404" t="s">
        <v>835</v>
      </c>
      <c r="D22" s="1404" t="s">
        <v>28</v>
      </c>
      <c r="E22" s="1405">
        <v>21</v>
      </c>
      <c r="F22" s="1406" t="s">
        <v>875</v>
      </c>
      <c r="G22" s="1410" t="s">
        <v>846</v>
      </c>
      <c r="H22" s="1331" t="s">
        <v>836</v>
      </c>
      <c r="I22" s="1331" t="s">
        <v>28</v>
      </c>
      <c r="J22" s="1411" t="s">
        <v>854</v>
      </c>
    </row>
    <row r="23" spans="1:10" x14ac:dyDescent="0.25">
      <c r="A23" s="1424" t="s">
        <v>876</v>
      </c>
      <c r="B23" s="1425" t="s">
        <v>834</v>
      </c>
      <c r="C23" s="1404" t="s">
        <v>835</v>
      </c>
      <c r="D23" s="1404" t="s">
        <v>28</v>
      </c>
      <c r="E23" s="1405">
        <v>22</v>
      </c>
      <c r="F23" s="1406" t="s">
        <v>877</v>
      </c>
      <c r="G23" s="1410" t="s">
        <v>878</v>
      </c>
      <c r="H23" s="1331" t="s">
        <v>836</v>
      </c>
      <c r="I23" s="1331" t="s">
        <v>28</v>
      </c>
      <c r="J23" s="1411" t="s">
        <v>879</v>
      </c>
    </row>
    <row r="24" spans="1:10" x14ac:dyDescent="0.25">
      <c r="A24" s="1426" t="s">
        <v>880</v>
      </c>
      <c r="B24" s="1427" t="s">
        <v>870</v>
      </c>
      <c r="C24" s="1423" t="s">
        <v>835</v>
      </c>
      <c r="D24" s="1404" t="s">
        <v>28</v>
      </c>
      <c r="E24" s="1405">
        <v>23</v>
      </c>
      <c r="F24" s="1428">
        <v>3.4</v>
      </c>
      <c r="G24" s="1417" t="s">
        <v>881</v>
      </c>
      <c r="H24" s="1331" t="s">
        <v>836</v>
      </c>
      <c r="I24" s="1331" t="s">
        <v>28</v>
      </c>
      <c r="J24" s="1411" t="s">
        <v>873</v>
      </c>
    </row>
    <row r="25" spans="1:10" x14ac:dyDescent="0.25">
      <c r="A25" s="1426" t="s">
        <v>882</v>
      </c>
      <c r="B25" s="1429" t="s">
        <v>883</v>
      </c>
      <c r="C25" s="1423" t="s">
        <v>835</v>
      </c>
      <c r="D25" s="1404" t="s">
        <v>28</v>
      </c>
      <c r="E25" s="1405">
        <v>24</v>
      </c>
      <c r="F25" s="1418">
        <v>3.5</v>
      </c>
      <c r="G25" s="1410" t="s">
        <v>884</v>
      </c>
      <c r="H25" s="1331" t="s">
        <v>836</v>
      </c>
      <c r="I25" s="1331" t="s">
        <v>28</v>
      </c>
      <c r="J25" s="1411" t="s">
        <v>885</v>
      </c>
    </row>
    <row r="26" spans="1:10" x14ac:dyDescent="0.25">
      <c r="A26" s="1430" t="s">
        <v>886</v>
      </c>
      <c r="B26" s="1431" t="s">
        <v>834</v>
      </c>
      <c r="C26" s="1423" t="s">
        <v>835</v>
      </c>
      <c r="D26" s="1404" t="s">
        <v>28</v>
      </c>
      <c r="E26" s="1405">
        <v>25</v>
      </c>
      <c r="F26" s="1418">
        <v>3.6</v>
      </c>
      <c r="G26" s="1410" t="s">
        <v>834</v>
      </c>
      <c r="H26" s="1331" t="s">
        <v>836</v>
      </c>
      <c r="I26" s="1331" t="s">
        <v>28</v>
      </c>
      <c r="J26" s="1411" t="s">
        <v>837</v>
      </c>
    </row>
    <row r="27" spans="1:10" x14ac:dyDescent="0.25">
      <c r="A27" s="1432" t="s">
        <v>887</v>
      </c>
      <c r="B27" s="1433" t="s">
        <v>548</v>
      </c>
      <c r="C27" s="1404" t="s">
        <v>835</v>
      </c>
      <c r="D27" s="1404" t="s">
        <v>28</v>
      </c>
      <c r="E27" s="1405">
        <v>26</v>
      </c>
      <c r="F27" s="1406" t="s">
        <v>732</v>
      </c>
      <c r="G27" s="1410" t="s">
        <v>834</v>
      </c>
      <c r="H27" s="1331" t="s">
        <v>836</v>
      </c>
      <c r="I27" s="1331" t="s">
        <v>28</v>
      </c>
      <c r="J27" s="1411" t="s">
        <v>837</v>
      </c>
    </row>
    <row r="28" spans="1:10" x14ac:dyDescent="0.25">
      <c r="A28" s="1434" t="s">
        <v>888</v>
      </c>
      <c r="B28" s="1433" t="s">
        <v>889</v>
      </c>
      <c r="C28" s="1404" t="s">
        <v>835</v>
      </c>
      <c r="D28" s="1404" t="s">
        <v>28</v>
      </c>
      <c r="E28" s="1405">
        <v>27</v>
      </c>
      <c r="F28" s="1406" t="s">
        <v>734</v>
      </c>
      <c r="G28" s="1410" t="s">
        <v>890</v>
      </c>
      <c r="H28" s="1331" t="s">
        <v>836</v>
      </c>
      <c r="I28" s="1331" t="s">
        <v>28</v>
      </c>
      <c r="J28" s="1411" t="s">
        <v>891</v>
      </c>
    </row>
    <row r="29" spans="1:10" x14ac:dyDescent="0.25">
      <c r="A29" s="1432" t="s">
        <v>892</v>
      </c>
      <c r="B29" s="1433" t="s">
        <v>548</v>
      </c>
      <c r="C29" s="1423" t="s">
        <v>835</v>
      </c>
      <c r="D29" s="1404" t="s">
        <v>28</v>
      </c>
      <c r="E29" s="1405">
        <v>28</v>
      </c>
      <c r="F29" s="1418">
        <v>4.2</v>
      </c>
      <c r="G29" s="1410" t="s">
        <v>843</v>
      </c>
      <c r="H29" s="1331" t="s">
        <v>836</v>
      </c>
      <c r="I29" s="1331" t="s">
        <v>28</v>
      </c>
      <c r="J29" s="1411" t="s">
        <v>863</v>
      </c>
    </row>
    <row r="30" spans="1:10" x14ac:dyDescent="0.25">
      <c r="A30" s="1434" t="s">
        <v>893</v>
      </c>
      <c r="B30" s="1433" t="s">
        <v>834</v>
      </c>
      <c r="C30" s="1423" t="s">
        <v>835</v>
      </c>
      <c r="D30" s="1404" t="s">
        <v>28</v>
      </c>
      <c r="E30" s="1405">
        <v>29</v>
      </c>
      <c r="F30" s="1418">
        <v>4.3</v>
      </c>
      <c r="G30" s="1410" t="s">
        <v>894</v>
      </c>
      <c r="H30" s="1331" t="s">
        <v>836</v>
      </c>
      <c r="I30" s="1331" t="s">
        <v>28</v>
      </c>
      <c r="J30" s="1411" t="s">
        <v>895</v>
      </c>
    </row>
    <row r="31" spans="1:10" x14ac:dyDescent="0.25">
      <c r="A31" s="1434" t="s">
        <v>896</v>
      </c>
      <c r="B31" s="1435" t="s">
        <v>897</v>
      </c>
      <c r="C31" s="1423" t="s">
        <v>835</v>
      </c>
      <c r="D31" s="1404" t="s">
        <v>28</v>
      </c>
      <c r="E31" s="1405">
        <v>30</v>
      </c>
      <c r="F31" s="1418">
        <v>4.4000000000000004</v>
      </c>
      <c r="G31" s="1410" t="s">
        <v>898</v>
      </c>
      <c r="H31" s="1331" t="s">
        <v>836</v>
      </c>
      <c r="I31" s="1331" t="s">
        <v>28</v>
      </c>
      <c r="J31" s="1411" t="s">
        <v>899</v>
      </c>
    </row>
    <row r="32" spans="1:10" x14ac:dyDescent="0.25">
      <c r="A32" s="1434" t="s">
        <v>900</v>
      </c>
      <c r="B32" s="1433" t="s">
        <v>850</v>
      </c>
      <c r="C32" s="1404" t="s">
        <v>835</v>
      </c>
      <c r="D32" s="1404" t="s">
        <v>28</v>
      </c>
      <c r="E32" s="1405">
        <v>31</v>
      </c>
      <c r="F32" s="1406" t="s">
        <v>741</v>
      </c>
      <c r="G32" s="1410" t="s">
        <v>834</v>
      </c>
      <c r="H32" s="1331" t="s">
        <v>836</v>
      </c>
      <c r="I32" s="1331" t="s">
        <v>28</v>
      </c>
      <c r="J32" s="1411" t="s">
        <v>837</v>
      </c>
    </row>
    <row r="33" spans="1:10" x14ac:dyDescent="0.25">
      <c r="A33" s="1434" t="s">
        <v>901</v>
      </c>
      <c r="B33" s="1433" t="s">
        <v>834</v>
      </c>
      <c r="C33" s="1404" t="s">
        <v>835</v>
      </c>
      <c r="D33" s="1404" t="s">
        <v>28</v>
      </c>
      <c r="E33" s="1405">
        <v>32</v>
      </c>
      <c r="F33" s="1406" t="s">
        <v>743</v>
      </c>
      <c r="G33" s="1410" t="s">
        <v>548</v>
      </c>
      <c r="H33" s="1331" t="s">
        <v>836</v>
      </c>
      <c r="I33" s="1331" t="s">
        <v>28</v>
      </c>
      <c r="J33" s="1411" t="s">
        <v>548</v>
      </c>
    </row>
    <row r="34" spans="1:10" x14ac:dyDescent="0.25">
      <c r="A34" s="1434" t="s">
        <v>902</v>
      </c>
      <c r="B34" s="1433" t="s">
        <v>834</v>
      </c>
      <c r="C34" s="1404" t="s">
        <v>835</v>
      </c>
      <c r="D34" s="1404" t="s">
        <v>28</v>
      </c>
      <c r="E34" s="1405">
        <v>33</v>
      </c>
      <c r="F34" s="1406" t="s">
        <v>745</v>
      </c>
      <c r="G34" s="1436" t="s">
        <v>903</v>
      </c>
      <c r="H34" s="1331" t="s">
        <v>836</v>
      </c>
      <c r="I34" s="1331" t="s">
        <v>28</v>
      </c>
      <c r="J34" s="1411" t="s">
        <v>904</v>
      </c>
    </row>
    <row r="35" spans="1:10" x14ac:dyDescent="0.25">
      <c r="A35" s="1432" t="s">
        <v>905</v>
      </c>
      <c r="B35" s="1433" t="s">
        <v>548</v>
      </c>
      <c r="C35" s="1404" t="s">
        <v>835</v>
      </c>
      <c r="D35" s="1404" t="s">
        <v>28</v>
      </c>
      <c r="E35" s="1405">
        <v>34</v>
      </c>
      <c r="F35" s="1406" t="s">
        <v>747</v>
      </c>
      <c r="G35" s="1410" t="s">
        <v>548</v>
      </c>
      <c r="H35" s="1331" t="s">
        <v>836</v>
      </c>
      <c r="I35" s="1331" t="s">
        <v>28</v>
      </c>
      <c r="J35" s="1411" t="s">
        <v>548</v>
      </c>
    </row>
    <row r="36" spans="1:10" x14ac:dyDescent="0.25">
      <c r="A36" s="1434" t="s">
        <v>906</v>
      </c>
      <c r="B36" s="1433" t="s">
        <v>907</v>
      </c>
      <c r="C36" s="1423" t="s">
        <v>835</v>
      </c>
      <c r="D36" s="1404" t="s">
        <v>28</v>
      </c>
      <c r="E36" s="1405">
        <v>35</v>
      </c>
      <c r="F36" s="1418">
        <v>5.3</v>
      </c>
      <c r="G36" s="1410" t="s">
        <v>908</v>
      </c>
      <c r="H36" s="1331" t="s">
        <v>836</v>
      </c>
      <c r="I36" s="1331" t="s">
        <v>28</v>
      </c>
      <c r="J36" s="1411" t="s">
        <v>909</v>
      </c>
    </row>
    <row r="37" spans="1:10" x14ac:dyDescent="0.25">
      <c r="A37" s="1434" t="s">
        <v>910</v>
      </c>
      <c r="B37" s="1433" t="s">
        <v>911</v>
      </c>
      <c r="C37" s="1423" t="s">
        <v>835</v>
      </c>
      <c r="D37" s="1404" t="s">
        <v>28</v>
      </c>
      <c r="E37" s="1405">
        <v>36</v>
      </c>
      <c r="F37" s="1418">
        <v>5.4</v>
      </c>
      <c r="G37" s="1417" t="s">
        <v>912</v>
      </c>
      <c r="H37" s="1331" t="s">
        <v>836</v>
      </c>
      <c r="I37" s="1331" t="s">
        <v>28</v>
      </c>
      <c r="J37" s="1411" t="s">
        <v>873</v>
      </c>
    </row>
    <row r="38" spans="1:10" x14ac:dyDescent="0.25">
      <c r="A38" s="1434" t="s">
        <v>913</v>
      </c>
      <c r="B38" s="1433" t="s">
        <v>914</v>
      </c>
      <c r="C38" s="1423" t="s">
        <v>835</v>
      </c>
      <c r="D38" s="1404" t="s">
        <v>28</v>
      </c>
      <c r="E38" s="1405">
        <v>37</v>
      </c>
      <c r="F38" s="1418">
        <v>5.5</v>
      </c>
      <c r="G38" s="1410" t="s">
        <v>850</v>
      </c>
      <c r="H38" s="1331" t="s">
        <v>836</v>
      </c>
      <c r="I38" s="1331" t="s">
        <v>28</v>
      </c>
      <c r="J38" s="1411" t="s">
        <v>865</v>
      </c>
    </row>
    <row r="39" spans="1:10" x14ac:dyDescent="0.25">
      <c r="A39" s="1434" t="s">
        <v>915</v>
      </c>
      <c r="B39" s="1433" t="s">
        <v>834</v>
      </c>
      <c r="C39" s="1423" t="s">
        <v>835</v>
      </c>
      <c r="D39" s="1404" t="s">
        <v>28</v>
      </c>
      <c r="E39" s="1405">
        <v>38</v>
      </c>
      <c r="F39" s="1418">
        <v>5.6</v>
      </c>
      <c r="G39" s="1410" t="s">
        <v>834</v>
      </c>
      <c r="H39" s="1331" t="s">
        <v>836</v>
      </c>
      <c r="I39" s="1331" t="s">
        <v>28</v>
      </c>
      <c r="J39" s="1411" t="s">
        <v>837</v>
      </c>
    </row>
    <row r="40" spans="1:10" x14ac:dyDescent="0.25">
      <c r="A40" s="1434" t="s">
        <v>764</v>
      </c>
      <c r="B40" s="1433" t="s">
        <v>916</v>
      </c>
      <c r="C40" s="1404" t="s">
        <v>835</v>
      </c>
      <c r="D40" s="1404" t="s">
        <v>28</v>
      </c>
      <c r="E40" s="1405">
        <v>39</v>
      </c>
      <c r="F40" s="1406" t="s">
        <v>753</v>
      </c>
      <c r="G40" s="1410" t="s">
        <v>834</v>
      </c>
      <c r="H40" s="1331" t="s">
        <v>836</v>
      </c>
      <c r="I40" s="1331" t="s">
        <v>28</v>
      </c>
      <c r="J40" s="1411" t="s">
        <v>837</v>
      </c>
    </row>
    <row r="41" spans="1:10" x14ac:dyDescent="0.25">
      <c r="A41" s="1434">
        <v>5.1100000000000003</v>
      </c>
      <c r="B41" s="1433" t="s">
        <v>548</v>
      </c>
      <c r="C41" s="1404" t="s">
        <v>835</v>
      </c>
      <c r="D41" s="1404" t="s">
        <v>28</v>
      </c>
      <c r="E41" s="1405">
        <v>40</v>
      </c>
      <c r="F41" s="1406" t="s">
        <v>755</v>
      </c>
      <c r="G41" s="1410" t="s">
        <v>548</v>
      </c>
      <c r="H41" s="1331" t="s">
        <v>836</v>
      </c>
      <c r="I41" s="1331" t="s">
        <v>28</v>
      </c>
      <c r="J41" s="1411" t="s">
        <v>548</v>
      </c>
    </row>
    <row r="42" spans="1:10" x14ac:dyDescent="0.25">
      <c r="A42" s="1434">
        <v>5.12</v>
      </c>
      <c r="B42" s="1433" t="s">
        <v>548</v>
      </c>
      <c r="C42" s="1404" t="s">
        <v>835</v>
      </c>
      <c r="D42" s="1404" t="s">
        <v>28</v>
      </c>
      <c r="E42" s="1405">
        <v>41</v>
      </c>
      <c r="F42" s="1406" t="s">
        <v>757</v>
      </c>
      <c r="G42" s="1410" t="s">
        <v>548</v>
      </c>
      <c r="H42" s="1331" t="s">
        <v>836</v>
      </c>
      <c r="I42" s="1331" t="s">
        <v>28</v>
      </c>
      <c r="J42" s="1411" t="s">
        <v>548</v>
      </c>
    </row>
    <row r="43" spans="1:10" x14ac:dyDescent="0.25">
      <c r="A43" s="1437">
        <v>5.13</v>
      </c>
      <c r="B43" s="1438" t="s">
        <v>548</v>
      </c>
      <c r="C43" s="1404" t="s">
        <v>835</v>
      </c>
      <c r="D43" s="1404" t="s">
        <v>28</v>
      </c>
      <c r="E43" s="1405">
        <v>42</v>
      </c>
      <c r="F43" s="1406" t="s">
        <v>759</v>
      </c>
      <c r="G43" s="1410" t="s">
        <v>911</v>
      </c>
      <c r="H43" s="1331" t="s">
        <v>836</v>
      </c>
      <c r="I43" s="1331" t="s">
        <v>28</v>
      </c>
      <c r="J43" s="1411" t="s">
        <v>917</v>
      </c>
    </row>
    <row r="44" spans="1:10" x14ac:dyDescent="0.25">
      <c r="A44" s="1430" t="s">
        <v>918</v>
      </c>
      <c r="B44" s="1431" t="s">
        <v>834</v>
      </c>
      <c r="C44" s="1404" t="s">
        <v>835</v>
      </c>
      <c r="D44" s="1404" t="s">
        <v>28</v>
      </c>
      <c r="E44" s="1405">
        <v>43</v>
      </c>
      <c r="F44" s="1406" t="s">
        <v>761</v>
      </c>
      <c r="G44" s="1410" t="s">
        <v>548</v>
      </c>
      <c r="H44" s="1331" t="s">
        <v>836</v>
      </c>
      <c r="I44" s="1331" t="s">
        <v>28</v>
      </c>
      <c r="J44" s="1411" t="s">
        <v>548</v>
      </c>
    </row>
    <row r="45" spans="1:10" x14ac:dyDescent="0.25">
      <c r="A45" s="1434" t="s">
        <v>919</v>
      </c>
      <c r="B45" s="1433" t="s">
        <v>834</v>
      </c>
      <c r="C45" s="1423" t="s">
        <v>835</v>
      </c>
      <c r="D45" s="1404" t="s">
        <v>28</v>
      </c>
      <c r="E45" s="1405">
        <v>44</v>
      </c>
      <c r="F45" s="1418">
        <v>5.9</v>
      </c>
      <c r="G45" s="1410" t="s">
        <v>834</v>
      </c>
      <c r="H45" s="1331" t="s">
        <v>836</v>
      </c>
      <c r="I45" s="1331" t="s">
        <v>28</v>
      </c>
      <c r="J45" s="1411" t="s">
        <v>837</v>
      </c>
    </row>
    <row r="46" spans="1:10" x14ac:dyDescent="0.25">
      <c r="A46" s="1434" t="s">
        <v>920</v>
      </c>
      <c r="B46" s="1433" t="s">
        <v>866</v>
      </c>
      <c r="C46" s="1423" t="s">
        <v>835</v>
      </c>
      <c r="D46" s="1404" t="s">
        <v>28</v>
      </c>
      <c r="E46" s="1405">
        <v>45</v>
      </c>
      <c r="F46" s="1422" t="s">
        <v>764</v>
      </c>
      <c r="G46" s="1410" t="s">
        <v>548</v>
      </c>
      <c r="H46" s="1331" t="s">
        <v>836</v>
      </c>
      <c r="I46" s="1331" t="s">
        <v>28</v>
      </c>
      <c r="J46" s="1411" t="s">
        <v>548</v>
      </c>
    </row>
    <row r="47" spans="1:10" x14ac:dyDescent="0.25">
      <c r="A47" s="1434" t="s">
        <v>921</v>
      </c>
      <c r="B47" s="1433" t="s">
        <v>922</v>
      </c>
      <c r="C47" s="1423" t="s">
        <v>835</v>
      </c>
      <c r="D47" s="1404" t="s">
        <v>28</v>
      </c>
      <c r="E47" s="1405">
        <v>46</v>
      </c>
      <c r="F47" s="1418">
        <v>5.1100000000000003</v>
      </c>
      <c r="G47" s="1410" t="s">
        <v>548</v>
      </c>
      <c r="H47" s="1331" t="s">
        <v>836</v>
      </c>
      <c r="I47" s="1331" t="s">
        <v>28</v>
      </c>
      <c r="J47" s="1411" t="s">
        <v>548</v>
      </c>
    </row>
    <row r="48" spans="1:10" x14ac:dyDescent="0.25">
      <c r="A48" s="1434" t="s">
        <v>923</v>
      </c>
      <c r="B48" s="1433" t="s">
        <v>866</v>
      </c>
      <c r="C48" s="1423" t="s">
        <v>835</v>
      </c>
      <c r="D48" s="1404" t="s">
        <v>28</v>
      </c>
      <c r="E48" s="1405">
        <v>47</v>
      </c>
      <c r="F48" s="1418">
        <v>5.12</v>
      </c>
      <c r="G48" s="1410" t="s">
        <v>548</v>
      </c>
      <c r="H48" s="1331" t="s">
        <v>836</v>
      </c>
      <c r="I48" s="1331" t="s">
        <v>28</v>
      </c>
      <c r="J48" s="1411" t="s">
        <v>548</v>
      </c>
    </row>
    <row r="49" spans="1:10" x14ac:dyDescent="0.25">
      <c r="A49" s="1434" t="s">
        <v>924</v>
      </c>
      <c r="B49" s="1433" t="s">
        <v>866</v>
      </c>
      <c r="C49" s="1423" t="s">
        <v>835</v>
      </c>
      <c r="D49" s="1404" t="s">
        <v>28</v>
      </c>
      <c r="E49" s="1405">
        <v>48</v>
      </c>
      <c r="F49" s="1418">
        <v>5.13</v>
      </c>
      <c r="G49" s="1410" t="s">
        <v>548</v>
      </c>
      <c r="H49" s="1331" t="s">
        <v>836</v>
      </c>
      <c r="I49" s="1331" t="s">
        <v>28</v>
      </c>
      <c r="J49" s="1411" t="s">
        <v>548</v>
      </c>
    </row>
    <row r="50" spans="1:10" x14ac:dyDescent="0.25">
      <c r="A50" s="1434" t="s">
        <v>925</v>
      </c>
      <c r="B50" s="1433" t="s">
        <v>846</v>
      </c>
      <c r="C50" s="1423" t="s">
        <v>835</v>
      </c>
      <c r="D50" s="1404" t="s">
        <v>28</v>
      </c>
      <c r="E50" s="1405">
        <v>49</v>
      </c>
      <c r="F50" s="1418">
        <v>6.1</v>
      </c>
      <c r="G50" s="1410" t="s">
        <v>834</v>
      </c>
      <c r="H50" s="1331" t="s">
        <v>836</v>
      </c>
      <c r="I50" s="1331" t="s">
        <v>28</v>
      </c>
      <c r="J50" s="1411" t="s">
        <v>837</v>
      </c>
    </row>
    <row r="51" spans="1:10" x14ac:dyDescent="0.25">
      <c r="A51" s="1434" t="s">
        <v>926</v>
      </c>
      <c r="B51" s="1433" t="s">
        <v>846</v>
      </c>
      <c r="C51" s="1423" t="s">
        <v>835</v>
      </c>
      <c r="D51" s="1404" t="s">
        <v>28</v>
      </c>
      <c r="E51" s="1405">
        <v>50</v>
      </c>
      <c r="F51" s="1418">
        <v>6.2</v>
      </c>
      <c r="G51" s="1410" t="s">
        <v>834</v>
      </c>
      <c r="H51" s="1331" t="s">
        <v>836</v>
      </c>
      <c r="I51" s="1331" t="s">
        <v>28</v>
      </c>
      <c r="J51" s="1411" t="s">
        <v>837</v>
      </c>
    </row>
    <row r="52" spans="1:10" x14ac:dyDescent="0.25">
      <c r="A52" s="1437" t="s">
        <v>927</v>
      </c>
      <c r="B52" s="1438" t="s">
        <v>928</v>
      </c>
      <c r="C52" s="1423" t="s">
        <v>835</v>
      </c>
      <c r="D52" s="1404" t="s">
        <v>28</v>
      </c>
      <c r="E52" s="1405">
        <v>51</v>
      </c>
      <c r="F52" s="1418">
        <v>6.3</v>
      </c>
      <c r="G52" s="1410" t="s">
        <v>878</v>
      </c>
      <c r="H52" s="1331" t="s">
        <v>836</v>
      </c>
      <c r="I52" s="1331" t="s">
        <v>28</v>
      </c>
      <c r="J52" s="1439" t="s">
        <v>879</v>
      </c>
    </row>
    <row r="53" spans="1:10" x14ac:dyDescent="0.25">
      <c r="A53" s="1430" t="s">
        <v>929</v>
      </c>
      <c r="B53" s="1431" t="s">
        <v>834</v>
      </c>
      <c r="C53" s="1423" t="s">
        <v>835</v>
      </c>
      <c r="D53" s="1404" t="s">
        <v>28</v>
      </c>
      <c r="E53" s="1405">
        <v>52</v>
      </c>
      <c r="F53" s="1418">
        <v>6.4</v>
      </c>
      <c r="G53" s="1417" t="s">
        <v>930</v>
      </c>
      <c r="H53" s="1331" t="s">
        <v>836</v>
      </c>
      <c r="I53" s="1331" t="s">
        <v>28</v>
      </c>
      <c r="J53" s="1411" t="s">
        <v>931</v>
      </c>
    </row>
    <row r="54" spans="1:10" x14ac:dyDescent="0.25">
      <c r="A54" s="1434" t="s">
        <v>932</v>
      </c>
      <c r="B54" s="1435" t="s">
        <v>933</v>
      </c>
      <c r="C54" s="1404" t="s">
        <v>835</v>
      </c>
      <c r="D54" s="1404" t="s">
        <v>28</v>
      </c>
      <c r="E54" s="1405">
        <v>53</v>
      </c>
      <c r="F54" s="1406" t="s">
        <v>774</v>
      </c>
      <c r="G54" s="1410" t="s">
        <v>843</v>
      </c>
      <c r="H54" s="1331" t="s">
        <v>836</v>
      </c>
      <c r="I54" s="1331" t="s">
        <v>28</v>
      </c>
      <c r="J54" s="1411" t="s">
        <v>863</v>
      </c>
    </row>
    <row r="55" spans="1:10" x14ac:dyDescent="0.25">
      <c r="A55" s="1434" t="s">
        <v>934</v>
      </c>
      <c r="B55" s="1433" t="s">
        <v>935</v>
      </c>
      <c r="C55" s="1404" t="s">
        <v>835</v>
      </c>
      <c r="D55" s="1404" t="s">
        <v>28</v>
      </c>
      <c r="E55" s="1405">
        <v>54</v>
      </c>
      <c r="F55" s="1406" t="s">
        <v>776</v>
      </c>
      <c r="G55" s="1410" t="s">
        <v>936</v>
      </c>
      <c r="H55" s="1331" t="s">
        <v>836</v>
      </c>
      <c r="I55" s="1331" t="s">
        <v>28</v>
      </c>
      <c r="J55" s="1411" t="s">
        <v>863</v>
      </c>
    </row>
    <row r="56" spans="1:10" x14ac:dyDescent="0.25">
      <c r="A56" s="1434" t="s">
        <v>937</v>
      </c>
      <c r="B56" s="1433" t="s">
        <v>834</v>
      </c>
      <c r="C56" s="1423" t="s">
        <v>835</v>
      </c>
      <c r="D56" s="1404" t="s">
        <v>28</v>
      </c>
      <c r="E56" s="1405">
        <v>55</v>
      </c>
      <c r="F56" s="1418">
        <v>6.6</v>
      </c>
      <c r="G56" s="1410" t="s">
        <v>841</v>
      </c>
      <c r="H56" s="1331" t="s">
        <v>836</v>
      </c>
      <c r="I56" s="1331" t="s">
        <v>28</v>
      </c>
      <c r="J56" s="1439" t="s">
        <v>842</v>
      </c>
    </row>
    <row r="57" spans="1:10" x14ac:dyDescent="0.25">
      <c r="A57" s="1432" t="s">
        <v>938</v>
      </c>
      <c r="B57" s="1433" t="s">
        <v>548</v>
      </c>
      <c r="C57" s="1423" t="s">
        <v>835</v>
      </c>
      <c r="D57" s="1404" t="s">
        <v>28</v>
      </c>
      <c r="E57" s="1405">
        <v>56</v>
      </c>
      <c r="F57" s="1418">
        <v>7.1</v>
      </c>
      <c r="G57" s="1410" t="s">
        <v>834</v>
      </c>
      <c r="H57" s="1331" t="s">
        <v>836</v>
      </c>
      <c r="I57" s="1331" t="s">
        <v>28</v>
      </c>
      <c r="J57" s="1411" t="s">
        <v>837</v>
      </c>
    </row>
    <row r="58" spans="1:10" x14ac:dyDescent="0.25">
      <c r="A58" s="1434" t="s">
        <v>939</v>
      </c>
      <c r="B58" s="1433" t="s">
        <v>834</v>
      </c>
      <c r="C58" s="1404" t="s">
        <v>835</v>
      </c>
      <c r="D58" s="1404" t="s">
        <v>28</v>
      </c>
      <c r="E58" s="1405">
        <v>57</v>
      </c>
      <c r="F58" s="1406" t="s">
        <v>782</v>
      </c>
      <c r="G58" s="1410" t="s">
        <v>940</v>
      </c>
      <c r="H58" s="1331" t="s">
        <v>836</v>
      </c>
      <c r="I58" s="1331" t="s">
        <v>28</v>
      </c>
      <c r="J58" s="1411" t="s">
        <v>873</v>
      </c>
    </row>
    <row r="59" spans="1:10" x14ac:dyDescent="0.25">
      <c r="A59" s="1432" t="s">
        <v>941</v>
      </c>
      <c r="B59" s="1433" t="s">
        <v>548</v>
      </c>
      <c r="C59" s="1404" t="s">
        <v>835</v>
      </c>
      <c r="D59" s="1404" t="s">
        <v>28</v>
      </c>
      <c r="E59" s="1405">
        <v>58</v>
      </c>
      <c r="F59" s="1406" t="s">
        <v>784</v>
      </c>
      <c r="G59" s="1410" t="s">
        <v>942</v>
      </c>
      <c r="H59" s="1331" t="s">
        <v>836</v>
      </c>
      <c r="I59" s="1331" t="s">
        <v>28</v>
      </c>
      <c r="J59" s="1411" t="s">
        <v>943</v>
      </c>
    </row>
    <row r="60" spans="1:10" x14ac:dyDescent="0.25">
      <c r="A60" s="1434">
        <v>7.5</v>
      </c>
      <c r="B60" s="1433" t="s">
        <v>834</v>
      </c>
      <c r="C60" s="1404" t="s">
        <v>835</v>
      </c>
      <c r="D60" s="1404" t="s">
        <v>28</v>
      </c>
      <c r="E60" s="1405">
        <v>59</v>
      </c>
      <c r="F60" s="1406" t="s">
        <v>785</v>
      </c>
      <c r="G60" s="1410" t="s">
        <v>834</v>
      </c>
      <c r="H60" s="1331" t="s">
        <v>836</v>
      </c>
      <c r="I60" s="1331" t="s">
        <v>28</v>
      </c>
      <c r="J60" s="1411" t="s">
        <v>837</v>
      </c>
    </row>
    <row r="61" spans="1:10" x14ac:dyDescent="0.25">
      <c r="A61" s="1434">
        <v>7.6</v>
      </c>
      <c r="B61" s="1433" t="s">
        <v>834</v>
      </c>
      <c r="C61" s="1404" t="s">
        <v>835</v>
      </c>
      <c r="D61" s="1404" t="s">
        <v>28</v>
      </c>
      <c r="E61" s="1405">
        <v>60</v>
      </c>
      <c r="F61" s="1406" t="s">
        <v>787</v>
      </c>
      <c r="G61" s="1410" t="s">
        <v>548</v>
      </c>
      <c r="H61" s="1331" t="s">
        <v>836</v>
      </c>
      <c r="I61" s="1331" t="s">
        <v>28</v>
      </c>
      <c r="J61" s="1411" t="s">
        <v>548</v>
      </c>
    </row>
    <row r="62" spans="1:10" x14ac:dyDescent="0.25">
      <c r="A62" s="1434">
        <v>7.7</v>
      </c>
      <c r="B62" s="1433" t="s">
        <v>834</v>
      </c>
      <c r="C62" s="1404" t="s">
        <v>835</v>
      </c>
      <c r="D62" s="1404" t="s">
        <v>28</v>
      </c>
      <c r="E62" s="1405">
        <v>61</v>
      </c>
      <c r="F62" s="1406" t="s">
        <v>788</v>
      </c>
      <c r="G62" s="1410" t="s">
        <v>834</v>
      </c>
      <c r="H62" s="1331" t="s">
        <v>836</v>
      </c>
      <c r="I62" s="1331" t="s">
        <v>28</v>
      </c>
      <c r="J62" s="1411" t="s">
        <v>837</v>
      </c>
    </row>
    <row r="63" spans="1:10" x14ac:dyDescent="0.25">
      <c r="A63" s="1434">
        <v>7.8</v>
      </c>
      <c r="B63" s="1433" t="s">
        <v>834</v>
      </c>
      <c r="C63" s="1404" t="s">
        <v>835</v>
      </c>
      <c r="D63" s="1404" t="s">
        <v>28</v>
      </c>
      <c r="E63" s="1405">
        <v>62</v>
      </c>
      <c r="F63" s="1406" t="s">
        <v>790</v>
      </c>
      <c r="G63" s="1410" t="s">
        <v>548</v>
      </c>
      <c r="H63" s="1331" t="s">
        <v>836</v>
      </c>
      <c r="I63" s="1331" t="s">
        <v>28</v>
      </c>
      <c r="J63" s="1411" t="s">
        <v>548</v>
      </c>
    </row>
    <row r="64" spans="1:10" x14ac:dyDescent="0.25">
      <c r="A64" s="1440" t="s">
        <v>944</v>
      </c>
      <c r="B64" s="1433" t="s">
        <v>834</v>
      </c>
      <c r="C64" s="1404" t="s">
        <v>835</v>
      </c>
      <c r="D64" s="1404" t="s">
        <v>28</v>
      </c>
      <c r="E64" s="1405">
        <v>63</v>
      </c>
      <c r="F64" s="1418">
        <v>7.5</v>
      </c>
      <c r="G64" s="1410" t="s">
        <v>834</v>
      </c>
      <c r="H64" s="1331" t="s">
        <v>836</v>
      </c>
      <c r="I64" s="1331" t="s">
        <v>28</v>
      </c>
      <c r="J64" s="1411" t="s">
        <v>837</v>
      </c>
    </row>
    <row r="65" spans="1:10" x14ac:dyDescent="0.25">
      <c r="A65" s="1434" t="s">
        <v>945</v>
      </c>
      <c r="B65" s="1433" t="s">
        <v>834</v>
      </c>
      <c r="C65" s="1404" t="s">
        <v>835</v>
      </c>
      <c r="D65" s="1404" t="s">
        <v>28</v>
      </c>
      <c r="E65" s="1405">
        <v>64</v>
      </c>
      <c r="F65" s="1418">
        <v>7.6</v>
      </c>
      <c r="G65" s="1410" t="s">
        <v>834</v>
      </c>
      <c r="H65" s="1331" t="s">
        <v>836</v>
      </c>
      <c r="I65" s="1331" t="s">
        <v>28</v>
      </c>
      <c r="J65" s="1411" t="s">
        <v>837</v>
      </c>
    </row>
    <row r="66" spans="1:10" x14ac:dyDescent="0.25">
      <c r="A66" s="1434" t="s">
        <v>946</v>
      </c>
      <c r="B66" s="1433" t="s">
        <v>834</v>
      </c>
      <c r="C66" s="1404" t="s">
        <v>835</v>
      </c>
      <c r="D66" s="1404" t="s">
        <v>28</v>
      </c>
      <c r="E66" s="1405">
        <v>65</v>
      </c>
      <c r="F66" s="1418">
        <v>7.7</v>
      </c>
      <c r="G66" s="1410" t="s">
        <v>834</v>
      </c>
      <c r="H66" s="1331" t="s">
        <v>836</v>
      </c>
      <c r="I66" s="1331" t="s">
        <v>28</v>
      </c>
      <c r="J66" s="1411" t="s">
        <v>837</v>
      </c>
    </row>
    <row r="67" spans="1:10" x14ac:dyDescent="0.25">
      <c r="A67" s="1434" t="s">
        <v>796</v>
      </c>
      <c r="B67" s="1433" t="s">
        <v>834</v>
      </c>
      <c r="C67" s="1404" t="s">
        <v>835</v>
      </c>
      <c r="D67" s="1404" t="s">
        <v>28</v>
      </c>
      <c r="E67" s="1405">
        <v>66</v>
      </c>
      <c r="F67" s="1418">
        <v>7.8</v>
      </c>
      <c r="G67" s="1410" t="s">
        <v>834</v>
      </c>
      <c r="H67" s="1331" t="s">
        <v>836</v>
      </c>
      <c r="I67" s="1331" t="s">
        <v>28</v>
      </c>
      <c r="J67" s="1411" t="s">
        <v>837</v>
      </c>
    </row>
    <row r="68" spans="1:10" x14ac:dyDescent="0.25">
      <c r="A68" s="1434">
        <v>7.11</v>
      </c>
      <c r="B68" s="1433" t="s">
        <v>834</v>
      </c>
      <c r="C68" s="1404" t="s">
        <v>835</v>
      </c>
      <c r="D68" s="1404" t="s">
        <v>28</v>
      </c>
      <c r="E68" s="1405">
        <v>67</v>
      </c>
      <c r="F68" s="1418">
        <v>7.9</v>
      </c>
      <c r="G68" s="1410" t="s">
        <v>834</v>
      </c>
      <c r="H68" s="1331" t="s">
        <v>836</v>
      </c>
      <c r="I68" s="1331" t="s">
        <v>28</v>
      </c>
      <c r="J68" s="1411" t="s">
        <v>837</v>
      </c>
    </row>
    <row r="69" spans="1:10" x14ac:dyDescent="0.25">
      <c r="A69" s="1434">
        <v>7.12</v>
      </c>
      <c r="B69" s="1433" t="s">
        <v>834</v>
      </c>
      <c r="C69" s="1423" t="s">
        <v>835</v>
      </c>
      <c r="D69" s="1404" t="s">
        <v>28</v>
      </c>
      <c r="E69" s="1405">
        <v>68</v>
      </c>
      <c r="F69" s="1422" t="s">
        <v>796</v>
      </c>
      <c r="G69" s="1410" t="s">
        <v>834</v>
      </c>
      <c r="H69" s="1331" t="s">
        <v>836</v>
      </c>
      <c r="I69" s="1331" t="s">
        <v>28</v>
      </c>
      <c r="J69" s="1411" t="s">
        <v>837</v>
      </c>
    </row>
    <row r="70" spans="1:10" x14ac:dyDescent="0.25">
      <c r="A70" s="1434">
        <v>7.13</v>
      </c>
      <c r="B70" s="1433" t="s">
        <v>947</v>
      </c>
      <c r="C70" s="1423" t="s">
        <v>835</v>
      </c>
      <c r="D70" s="1404" t="s">
        <v>28</v>
      </c>
      <c r="E70" s="1405">
        <v>69</v>
      </c>
      <c r="F70" s="1418">
        <v>7.11</v>
      </c>
      <c r="G70" s="1410" t="s">
        <v>834</v>
      </c>
      <c r="H70" s="1331" t="s">
        <v>836</v>
      </c>
      <c r="I70" s="1331" t="s">
        <v>28</v>
      </c>
      <c r="J70" s="1411" t="s">
        <v>837</v>
      </c>
    </row>
    <row r="71" spans="1:10" x14ac:dyDescent="0.25">
      <c r="A71" s="1434">
        <v>7.14</v>
      </c>
      <c r="B71" s="1433" t="s">
        <v>834</v>
      </c>
      <c r="C71" s="1423" t="s">
        <v>835</v>
      </c>
      <c r="D71" s="1404" t="s">
        <v>28</v>
      </c>
      <c r="E71" s="1405">
        <v>70</v>
      </c>
      <c r="F71" s="1418">
        <v>7.12</v>
      </c>
      <c r="G71" s="1410" t="s">
        <v>834</v>
      </c>
      <c r="H71" s="1331" t="s">
        <v>836</v>
      </c>
      <c r="I71" s="1331" t="s">
        <v>28</v>
      </c>
      <c r="J71" s="1411" t="s">
        <v>837</v>
      </c>
    </row>
    <row r="72" spans="1:10" x14ac:dyDescent="0.25">
      <c r="A72" s="1434">
        <v>7.15</v>
      </c>
      <c r="B72" s="1433" t="s">
        <v>834</v>
      </c>
      <c r="C72" s="1404" t="s">
        <v>835</v>
      </c>
      <c r="D72" s="1404" t="s">
        <v>28</v>
      </c>
      <c r="E72" s="1405">
        <v>71</v>
      </c>
      <c r="F72" s="1406" t="s">
        <v>800</v>
      </c>
      <c r="G72" s="1410" t="s">
        <v>834</v>
      </c>
      <c r="H72" s="1331" t="s">
        <v>836</v>
      </c>
      <c r="I72" s="1331" t="s">
        <v>28</v>
      </c>
      <c r="J72" s="1411" t="s">
        <v>837</v>
      </c>
    </row>
    <row r="73" spans="1:10" x14ac:dyDescent="0.25">
      <c r="A73" s="1434">
        <v>7.16</v>
      </c>
      <c r="B73" s="1433" t="s">
        <v>834</v>
      </c>
      <c r="C73" s="1404" t="s">
        <v>835</v>
      </c>
      <c r="D73" s="1404" t="s">
        <v>28</v>
      </c>
      <c r="E73" s="1405">
        <v>72</v>
      </c>
      <c r="F73" s="1406" t="s">
        <v>802</v>
      </c>
      <c r="G73" s="1410" t="s">
        <v>948</v>
      </c>
      <c r="H73" s="1331" t="s">
        <v>836</v>
      </c>
      <c r="I73" s="1331" t="s">
        <v>28</v>
      </c>
      <c r="J73" s="1411" t="s">
        <v>949</v>
      </c>
    </row>
    <row r="74" spans="1:10" x14ac:dyDescent="0.25">
      <c r="A74" s="1437">
        <v>7.17</v>
      </c>
      <c r="B74" s="1438" t="s">
        <v>898</v>
      </c>
      <c r="C74" s="1423" t="s">
        <v>835</v>
      </c>
      <c r="D74" s="1404" t="s">
        <v>28</v>
      </c>
      <c r="E74" s="1405">
        <v>73</v>
      </c>
      <c r="F74" s="1418">
        <v>7.14</v>
      </c>
      <c r="G74" s="1410" t="s">
        <v>834</v>
      </c>
      <c r="H74" s="1331" t="s">
        <v>836</v>
      </c>
      <c r="I74" s="1331" t="s">
        <v>28</v>
      </c>
      <c r="J74" s="1411" t="s">
        <v>837</v>
      </c>
    </row>
    <row r="75" spans="1:10" x14ac:dyDescent="0.25">
      <c r="A75" s="1430" t="s">
        <v>950</v>
      </c>
      <c r="B75" s="1431" t="s">
        <v>834</v>
      </c>
      <c r="C75" s="1423" t="s">
        <v>835</v>
      </c>
      <c r="D75" s="1404" t="s">
        <v>28</v>
      </c>
      <c r="E75" s="1405">
        <v>74</v>
      </c>
      <c r="F75" s="1418">
        <v>7.15</v>
      </c>
      <c r="G75" s="1410" t="s">
        <v>834</v>
      </c>
      <c r="H75" s="1331" t="s">
        <v>836</v>
      </c>
      <c r="I75" s="1331" t="s">
        <v>28</v>
      </c>
      <c r="J75" s="1411" t="s">
        <v>837</v>
      </c>
    </row>
    <row r="76" spans="1:10" x14ac:dyDescent="0.25">
      <c r="A76" s="1434" t="s">
        <v>951</v>
      </c>
      <c r="B76" s="1433" t="s">
        <v>834</v>
      </c>
      <c r="C76" s="1404" t="s">
        <v>835</v>
      </c>
      <c r="D76" s="1404" t="s">
        <v>28</v>
      </c>
      <c r="E76" s="1405">
        <v>75</v>
      </c>
      <c r="F76" s="1418">
        <v>7.16</v>
      </c>
      <c r="G76" s="1410" t="s">
        <v>834</v>
      </c>
      <c r="H76" s="1331" t="s">
        <v>836</v>
      </c>
      <c r="I76" s="1331" t="s">
        <v>28</v>
      </c>
      <c r="J76" s="1411" t="s">
        <v>837</v>
      </c>
    </row>
    <row r="77" spans="1:10" x14ac:dyDescent="0.25">
      <c r="A77" s="1434" t="s">
        <v>952</v>
      </c>
      <c r="B77" s="1433" t="s">
        <v>834</v>
      </c>
      <c r="C77" s="1404" t="s">
        <v>835</v>
      </c>
      <c r="D77" s="1404" t="s">
        <v>28</v>
      </c>
      <c r="E77" s="1405">
        <v>76</v>
      </c>
      <c r="F77" s="1418">
        <v>7.17</v>
      </c>
      <c r="G77" s="1410" t="s">
        <v>834</v>
      </c>
      <c r="H77" s="1331" t="s">
        <v>836</v>
      </c>
      <c r="I77" s="1331" t="s">
        <v>28</v>
      </c>
      <c r="J77" s="1411" t="s">
        <v>837</v>
      </c>
    </row>
    <row r="78" spans="1:10" x14ac:dyDescent="0.25">
      <c r="A78" s="1441" t="s">
        <v>953</v>
      </c>
      <c r="B78" s="1442" t="s">
        <v>898</v>
      </c>
      <c r="C78" s="1404" t="s">
        <v>835</v>
      </c>
      <c r="D78" s="1404" t="s">
        <v>28</v>
      </c>
      <c r="E78" s="1405">
        <v>77</v>
      </c>
      <c r="F78" s="1406" t="s">
        <v>809</v>
      </c>
      <c r="G78" s="1410" t="s">
        <v>834</v>
      </c>
      <c r="H78" s="1331" t="s">
        <v>836</v>
      </c>
      <c r="I78" s="1331" t="s">
        <v>28</v>
      </c>
      <c r="J78" s="1443" t="s">
        <v>837</v>
      </c>
    </row>
    <row r="79" spans="1:10" s="1105" customFormat="1" ht="15.75" thickBot="1" x14ac:dyDescent="0.3">
      <c r="A79" s="1444" t="s">
        <v>954</v>
      </c>
      <c r="B79" s="1445" t="s">
        <v>843</v>
      </c>
      <c r="C79" s="1445" t="s">
        <v>835</v>
      </c>
      <c r="D79" s="1445" t="s">
        <v>28</v>
      </c>
      <c r="E79" s="1405">
        <v>78</v>
      </c>
      <c r="F79" s="1288" t="s">
        <v>811</v>
      </c>
      <c r="G79" s="1410" t="s">
        <v>898</v>
      </c>
      <c r="H79" s="1331" t="s">
        <v>836</v>
      </c>
      <c r="I79" s="1331" t="s">
        <v>28</v>
      </c>
      <c r="J79" s="1288" t="s">
        <v>899</v>
      </c>
    </row>
    <row r="80" spans="1:10" ht="15.75" thickTop="1" x14ac:dyDescent="0.25">
      <c r="A80" s="1446">
        <v>1.1000000000000001</v>
      </c>
      <c r="B80" s="1447" t="s">
        <v>834</v>
      </c>
      <c r="C80" s="1448" t="s">
        <v>835</v>
      </c>
      <c r="D80" s="1404" t="s">
        <v>955</v>
      </c>
      <c r="E80" s="1405">
        <v>79</v>
      </c>
      <c r="F80" s="1418">
        <v>8.1999999999999993</v>
      </c>
      <c r="G80" s="1417" t="s">
        <v>956</v>
      </c>
      <c r="H80" s="1331" t="s">
        <v>836</v>
      </c>
      <c r="I80" s="1331" t="s">
        <v>28</v>
      </c>
      <c r="J80" s="1449" t="s">
        <v>957</v>
      </c>
    </row>
    <row r="81" spans="1:10" x14ac:dyDescent="0.25">
      <c r="A81" s="1412">
        <v>1.2</v>
      </c>
      <c r="B81" s="1413" t="s">
        <v>838</v>
      </c>
      <c r="C81" s="1450" t="s">
        <v>835</v>
      </c>
      <c r="D81" s="1404" t="s">
        <v>955</v>
      </c>
      <c r="E81" s="1405">
        <v>80</v>
      </c>
      <c r="F81" s="1418">
        <v>8.3000000000000007</v>
      </c>
      <c r="G81" s="1410" t="s">
        <v>834</v>
      </c>
      <c r="H81" s="1331" t="s">
        <v>836</v>
      </c>
      <c r="I81" s="1331" t="s">
        <v>28</v>
      </c>
      <c r="J81" s="1411" t="s">
        <v>837</v>
      </c>
    </row>
    <row r="82" spans="1:10" x14ac:dyDescent="0.25">
      <c r="A82" s="1414">
        <v>2.1</v>
      </c>
      <c r="B82" s="1409" t="s">
        <v>834</v>
      </c>
      <c r="C82" s="1450" t="s">
        <v>835</v>
      </c>
      <c r="D82" s="1404" t="s">
        <v>955</v>
      </c>
      <c r="E82" s="1405">
        <v>81</v>
      </c>
      <c r="F82" s="1418">
        <v>8.4</v>
      </c>
      <c r="G82" s="1410" t="s">
        <v>958</v>
      </c>
      <c r="H82" s="1331" t="s">
        <v>836</v>
      </c>
      <c r="I82" s="1331" t="s">
        <v>28</v>
      </c>
      <c r="J82" s="1411" t="s">
        <v>959</v>
      </c>
    </row>
    <row r="83" spans="1:10" ht="15.75" thickBot="1" x14ac:dyDescent="0.3">
      <c r="A83" s="1415">
        <v>2.2000000000000002</v>
      </c>
      <c r="B83" s="1416" t="s">
        <v>548</v>
      </c>
      <c r="C83" s="1450" t="s">
        <v>835</v>
      </c>
      <c r="D83" s="1404" t="s">
        <v>955</v>
      </c>
      <c r="E83" s="1405">
        <v>82</v>
      </c>
      <c r="F83" s="1451">
        <v>8.5</v>
      </c>
      <c r="G83" s="1410" t="s">
        <v>834</v>
      </c>
      <c r="H83" s="1452" t="s">
        <v>836</v>
      </c>
      <c r="I83" s="1453" t="s">
        <v>28</v>
      </c>
      <c r="J83" s="1454" t="s">
        <v>837</v>
      </c>
    </row>
    <row r="84" spans="1:10" ht="15.75" thickTop="1" x14ac:dyDescent="0.25">
      <c r="A84" s="1415">
        <v>2.2999999999999998</v>
      </c>
      <c r="B84" s="1416" t="s">
        <v>834</v>
      </c>
      <c r="C84" s="1450" t="s">
        <v>835</v>
      </c>
      <c r="D84" s="1404" t="s">
        <v>955</v>
      </c>
      <c r="E84" s="1405">
        <v>83</v>
      </c>
      <c r="F84" s="1406" t="s">
        <v>693</v>
      </c>
      <c r="G84" s="1417" t="s">
        <v>834</v>
      </c>
      <c r="H84" s="728" t="s">
        <v>836</v>
      </c>
      <c r="I84" s="728" t="s">
        <v>960</v>
      </c>
      <c r="J84" s="1449" t="s">
        <v>837</v>
      </c>
    </row>
    <row r="85" spans="1:10" x14ac:dyDescent="0.25">
      <c r="A85" s="1415">
        <v>2.4</v>
      </c>
      <c r="B85" s="1416" t="s">
        <v>846</v>
      </c>
      <c r="C85" s="1450" t="s">
        <v>835</v>
      </c>
      <c r="D85" s="1404" t="s">
        <v>955</v>
      </c>
      <c r="E85" s="1405">
        <v>84</v>
      </c>
      <c r="F85" s="1406" t="s">
        <v>695</v>
      </c>
      <c r="G85" s="1410" t="s">
        <v>839</v>
      </c>
      <c r="H85" s="728" t="s">
        <v>836</v>
      </c>
      <c r="I85" s="728" t="s">
        <v>960</v>
      </c>
      <c r="J85" s="1411" t="s">
        <v>840</v>
      </c>
    </row>
    <row r="86" spans="1:10" x14ac:dyDescent="0.25">
      <c r="A86" s="1415">
        <v>2.5</v>
      </c>
      <c r="B86" s="1416" t="s">
        <v>849</v>
      </c>
      <c r="C86" s="1450" t="s">
        <v>835</v>
      </c>
      <c r="D86" s="1404" t="s">
        <v>955</v>
      </c>
      <c r="E86" s="1405">
        <v>85</v>
      </c>
      <c r="F86" s="1418">
        <v>1.2</v>
      </c>
      <c r="G86" s="1417" t="s">
        <v>961</v>
      </c>
      <c r="H86" s="728" t="s">
        <v>836</v>
      </c>
      <c r="I86" s="728" t="s">
        <v>960</v>
      </c>
      <c r="J86" s="1411" t="s">
        <v>842</v>
      </c>
    </row>
    <row r="87" spans="1:10" x14ac:dyDescent="0.25">
      <c r="A87" s="1415">
        <v>2.6</v>
      </c>
      <c r="B87" s="1416" t="s">
        <v>850</v>
      </c>
      <c r="C87" s="1450" t="s">
        <v>835</v>
      </c>
      <c r="D87" s="1404" t="s">
        <v>955</v>
      </c>
      <c r="E87" s="1405">
        <v>86</v>
      </c>
      <c r="F87" s="1406" t="s">
        <v>698</v>
      </c>
      <c r="G87" s="1417" t="s">
        <v>834</v>
      </c>
      <c r="H87" s="728" t="s">
        <v>836</v>
      </c>
      <c r="I87" s="728" t="s">
        <v>960</v>
      </c>
      <c r="J87" s="1411" t="s">
        <v>837</v>
      </c>
    </row>
    <row r="88" spans="1:10" x14ac:dyDescent="0.25">
      <c r="A88" s="1419" t="s">
        <v>851</v>
      </c>
      <c r="B88" s="1416" t="s">
        <v>548</v>
      </c>
      <c r="C88" s="1450" t="s">
        <v>835</v>
      </c>
      <c r="D88" s="1404" t="s">
        <v>955</v>
      </c>
      <c r="E88" s="1405">
        <v>87</v>
      </c>
      <c r="F88" s="1406" t="s">
        <v>700</v>
      </c>
      <c r="G88" s="1417" t="s">
        <v>844</v>
      </c>
      <c r="H88" s="728" t="s">
        <v>836</v>
      </c>
      <c r="I88" s="728" t="s">
        <v>960</v>
      </c>
      <c r="J88" s="1411" t="s">
        <v>845</v>
      </c>
    </row>
    <row r="89" spans="1:10" x14ac:dyDescent="0.25">
      <c r="A89" s="1415" t="s">
        <v>852</v>
      </c>
      <c r="B89" s="1416" t="s">
        <v>853</v>
      </c>
      <c r="C89" s="1450" t="s">
        <v>835</v>
      </c>
      <c r="D89" s="1404" t="s">
        <v>955</v>
      </c>
      <c r="E89" s="1405">
        <v>88</v>
      </c>
      <c r="F89" s="1418">
        <v>1.4</v>
      </c>
      <c r="G89" s="1417" t="s">
        <v>847</v>
      </c>
      <c r="H89" s="728" t="s">
        <v>836</v>
      </c>
      <c r="I89" s="728" t="s">
        <v>960</v>
      </c>
      <c r="J89" s="1411" t="s">
        <v>848</v>
      </c>
    </row>
    <row r="90" spans="1:10" x14ac:dyDescent="0.25">
      <c r="A90" s="1415">
        <v>2.8</v>
      </c>
      <c r="B90" s="1416" t="s">
        <v>855</v>
      </c>
      <c r="C90" s="1450" t="s">
        <v>835</v>
      </c>
      <c r="D90" s="1404" t="s">
        <v>955</v>
      </c>
      <c r="E90" s="1405">
        <v>89</v>
      </c>
      <c r="F90" s="1418">
        <v>2.1</v>
      </c>
      <c r="G90" s="1417" t="s">
        <v>834</v>
      </c>
      <c r="H90" s="728" t="s">
        <v>836</v>
      </c>
      <c r="I90" s="728" t="s">
        <v>960</v>
      </c>
      <c r="J90" s="1411" t="s">
        <v>837</v>
      </c>
    </row>
    <row r="91" spans="1:10" x14ac:dyDescent="0.25">
      <c r="A91" s="1415">
        <v>2.9</v>
      </c>
      <c r="B91" s="1416" t="s">
        <v>858</v>
      </c>
      <c r="C91" s="1450" t="s">
        <v>835</v>
      </c>
      <c r="D91" s="1404" t="s">
        <v>955</v>
      </c>
      <c r="E91" s="1405">
        <v>90</v>
      </c>
      <c r="F91" s="1418">
        <v>2.2000000000000002</v>
      </c>
      <c r="G91" s="1417" t="s">
        <v>548</v>
      </c>
      <c r="H91" s="728" t="s">
        <v>836</v>
      </c>
      <c r="I91" s="728" t="s">
        <v>960</v>
      </c>
      <c r="J91" s="1411" t="s">
        <v>548</v>
      </c>
    </row>
    <row r="92" spans="1:10" x14ac:dyDescent="0.25">
      <c r="A92" s="1420" t="s">
        <v>717</v>
      </c>
      <c r="B92" s="1413" t="s">
        <v>850</v>
      </c>
      <c r="C92" s="1450" t="s">
        <v>835</v>
      </c>
      <c r="D92" s="1404" t="s">
        <v>955</v>
      </c>
      <c r="E92" s="1405">
        <v>91</v>
      </c>
      <c r="F92" s="1418">
        <v>2.2999999999999998</v>
      </c>
      <c r="G92" s="1417" t="s">
        <v>834</v>
      </c>
      <c r="H92" s="728" t="s">
        <v>836</v>
      </c>
      <c r="I92" s="728" t="s">
        <v>960</v>
      </c>
      <c r="J92" s="1411" t="s">
        <v>837</v>
      </c>
    </row>
    <row r="93" spans="1:10" x14ac:dyDescent="0.25">
      <c r="A93" s="1414" t="s">
        <v>859</v>
      </c>
      <c r="B93" s="1409" t="s">
        <v>834</v>
      </c>
      <c r="C93" s="1450" t="s">
        <v>835</v>
      </c>
      <c r="D93" s="1404" t="s">
        <v>955</v>
      </c>
      <c r="E93" s="1405">
        <v>92</v>
      </c>
      <c r="F93" s="1418">
        <v>2.4</v>
      </c>
      <c r="G93" s="1417" t="s">
        <v>846</v>
      </c>
      <c r="H93" s="728" t="s">
        <v>836</v>
      </c>
      <c r="I93" s="728" t="s">
        <v>960</v>
      </c>
      <c r="J93" s="1411" t="s">
        <v>854</v>
      </c>
    </row>
    <row r="94" spans="1:10" x14ac:dyDescent="0.25">
      <c r="A94" s="1415" t="s">
        <v>862</v>
      </c>
      <c r="B94" s="1416" t="s">
        <v>834</v>
      </c>
      <c r="C94" s="1450" t="s">
        <v>835</v>
      </c>
      <c r="D94" s="1404" t="s">
        <v>955</v>
      </c>
      <c r="E94" s="1405">
        <v>93</v>
      </c>
      <c r="F94" s="1418">
        <v>2.5</v>
      </c>
      <c r="G94" s="1417" t="s">
        <v>962</v>
      </c>
      <c r="H94" s="728" t="s">
        <v>836</v>
      </c>
      <c r="I94" s="728" t="s">
        <v>960</v>
      </c>
      <c r="J94" s="1411" t="s">
        <v>857</v>
      </c>
    </row>
    <row r="95" spans="1:10" x14ac:dyDescent="0.25">
      <c r="A95" s="1415" t="s">
        <v>723</v>
      </c>
      <c r="B95" s="1421" t="s">
        <v>864</v>
      </c>
      <c r="C95" s="1450" t="s">
        <v>835</v>
      </c>
      <c r="D95" s="1404" t="s">
        <v>955</v>
      </c>
      <c r="E95" s="1405">
        <v>94</v>
      </c>
      <c r="F95" s="1418">
        <v>2.6</v>
      </c>
      <c r="G95" s="1417" t="s">
        <v>834</v>
      </c>
      <c r="H95" s="728" t="s">
        <v>836</v>
      </c>
      <c r="I95" s="728" t="s">
        <v>960</v>
      </c>
      <c r="J95" s="1411" t="s">
        <v>837</v>
      </c>
    </row>
    <row r="96" spans="1:10" x14ac:dyDescent="0.25">
      <c r="A96" s="1415" t="s">
        <v>724</v>
      </c>
      <c r="B96" s="1416" t="s">
        <v>846</v>
      </c>
      <c r="C96" s="1450" t="s">
        <v>835</v>
      </c>
      <c r="D96" s="1404" t="s">
        <v>955</v>
      </c>
      <c r="E96" s="1405">
        <v>95</v>
      </c>
      <c r="F96" s="1406" t="s">
        <v>711</v>
      </c>
      <c r="G96" s="1417" t="s">
        <v>834</v>
      </c>
      <c r="H96" s="754" t="s">
        <v>836</v>
      </c>
      <c r="I96" s="728" t="s">
        <v>960</v>
      </c>
      <c r="J96" s="1411" t="s">
        <v>837</v>
      </c>
    </row>
    <row r="97" spans="1:10" x14ac:dyDescent="0.25">
      <c r="A97" s="1415" t="s">
        <v>725</v>
      </c>
      <c r="B97" s="1416" t="s">
        <v>866</v>
      </c>
      <c r="C97" s="1450" t="s">
        <v>835</v>
      </c>
      <c r="D97" s="1404" t="s">
        <v>955</v>
      </c>
      <c r="E97" s="1405">
        <v>96</v>
      </c>
      <c r="F97" s="1406" t="s">
        <v>713</v>
      </c>
      <c r="G97" s="1410" t="s">
        <v>860</v>
      </c>
      <c r="H97" s="754" t="s">
        <v>836</v>
      </c>
      <c r="I97" s="728" t="s">
        <v>960</v>
      </c>
      <c r="J97" s="1411" t="s">
        <v>861</v>
      </c>
    </row>
    <row r="98" spans="1:10" x14ac:dyDescent="0.25">
      <c r="A98" s="1415" t="s">
        <v>867</v>
      </c>
      <c r="B98" s="1421" t="s">
        <v>868</v>
      </c>
      <c r="C98" s="1450" t="s">
        <v>835</v>
      </c>
      <c r="D98" s="1404" t="s">
        <v>955</v>
      </c>
      <c r="E98" s="1405">
        <v>97</v>
      </c>
      <c r="F98" s="1418">
        <v>2.8</v>
      </c>
      <c r="G98" s="1417" t="s">
        <v>963</v>
      </c>
      <c r="H98" s="728" t="s">
        <v>836</v>
      </c>
      <c r="I98" s="728" t="s">
        <v>960</v>
      </c>
      <c r="J98" s="1411" t="s">
        <v>964</v>
      </c>
    </row>
    <row r="99" spans="1:10" x14ac:dyDescent="0.25">
      <c r="A99" s="1415" t="s">
        <v>869</v>
      </c>
      <c r="B99" s="1416" t="s">
        <v>870</v>
      </c>
      <c r="C99" s="1450" t="s">
        <v>835</v>
      </c>
      <c r="D99" s="1404" t="s">
        <v>955</v>
      </c>
      <c r="E99" s="1405">
        <v>98</v>
      </c>
      <c r="F99" s="1418">
        <v>2.9</v>
      </c>
      <c r="G99" s="1417" t="s">
        <v>846</v>
      </c>
      <c r="H99" s="728" t="s">
        <v>836</v>
      </c>
      <c r="I99" s="728" t="s">
        <v>960</v>
      </c>
      <c r="J99" s="1411" t="s">
        <v>854</v>
      </c>
    </row>
    <row r="100" spans="1:10" x14ac:dyDescent="0.25">
      <c r="A100" s="1415" t="s">
        <v>874</v>
      </c>
      <c r="B100" s="1413" t="s">
        <v>834</v>
      </c>
      <c r="C100" s="1450" t="s">
        <v>835</v>
      </c>
      <c r="D100" s="1404" t="s">
        <v>955</v>
      </c>
      <c r="E100" s="1405">
        <v>99</v>
      </c>
      <c r="F100" s="1422" t="s">
        <v>717</v>
      </c>
      <c r="G100" s="1417" t="s">
        <v>850</v>
      </c>
      <c r="H100" s="728" t="s">
        <v>836</v>
      </c>
      <c r="I100" s="728" t="s">
        <v>960</v>
      </c>
      <c r="J100" s="1411" t="s">
        <v>865</v>
      </c>
    </row>
    <row r="101" spans="1:10" x14ac:dyDescent="0.25">
      <c r="A101" s="1424" t="s">
        <v>876</v>
      </c>
      <c r="B101" s="1425" t="s">
        <v>834</v>
      </c>
      <c r="C101" s="1450" t="s">
        <v>835</v>
      </c>
      <c r="D101" s="1404" t="s">
        <v>955</v>
      </c>
      <c r="E101" s="1405">
        <v>100</v>
      </c>
      <c r="F101" s="1418">
        <v>3.1</v>
      </c>
      <c r="G101" s="1417" t="s">
        <v>834</v>
      </c>
      <c r="H101" s="728" t="s">
        <v>836</v>
      </c>
      <c r="I101" s="728" t="s">
        <v>960</v>
      </c>
      <c r="J101" s="1411" t="s">
        <v>837</v>
      </c>
    </row>
    <row r="102" spans="1:10" x14ac:dyDescent="0.25">
      <c r="A102" s="1426" t="s">
        <v>880</v>
      </c>
      <c r="B102" s="1427" t="s">
        <v>870</v>
      </c>
      <c r="C102" s="1450" t="s">
        <v>835</v>
      </c>
      <c r="D102" s="1404" t="s">
        <v>955</v>
      </c>
      <c r="E102" s="1405">
        <v>101</v>
      </c>
      <c r="F102" s="1418">
        <v>3.2</v>
      </c>
      <c r="G102" s="1417" t="s">
        <v>834</v>
      </c>
      <c r="H102" s="728" t="s">
        <v>836</v>
      </c>
      <c r="I102" s="728" t="s">
        <v>960</v>
      </c>
      <c r="J102" s="1411" t="s">
        <v>837</v>
      </c>
    </row>
    <row r="103" spans="1:10" x14ac:dyDescent="0.25">
      <c r="A103" s="1426" t="s">
        <v>882</v>
      </c>
      <c r="B103" s="1429" t="s">
        <v>883</v>
      </c>
      <c r="C103" s="1450" t="s">
        <v>835</v>
      </c>
      <c r="D103" s="1404" t="s">
        <v>955</v>
      </c>
      <c r="E103" s="1405">
        <v>102</v>
      </c>
      <c r="F103" s="1406" t="s">
        <v>871</v>
      </c>
      <c r="G103" s="1417" t="s">
        <v>965</v>
      </c>
      <c r="H103" s="754" t="s">
        <v>836</v>
      </c>
      <c r="I103" s="728" t="s">
        <v>960</v>
      </c>
      <c r="J103" s="1411" t="s">
        <v>873</v>
      </c>
    </row>
    <row r="104" spans="1:10" x14ac:dyDescent="0.25">
      <c r="A104" s="1430" t="s">
        <v>886</v>
      </c>
      <c r="B104" s="1431" t="s">
        <v>548</v>
      </c>
      <c r="C104" s="1450" t="s">
        <v>835</v>
      </c>
      <c r="D104" s="1404" t="s">
        <v>955</v>
      </c>
      <c r="E104" s="1405">
        <v>103</v>
      </c>
      <c r="F104" s="1406" t="s">
        <v>875</v>
      </c>
      <c r="G104" s="1417" t="s">
        <v>846</v>
      </c>
      <c r="H104" s="754" t="s">
        <v>836</v>
      </c>
      <c r="I104" s="728" t="s">
        <v>960</v>
      </c>
      <c r="J104" s="1411" t="s">
        <v>854</v>
      </c>
    </row>
    <row r="105" spans="1:10" x14ac:dyDescent="0.25">
      <c r="A105" s="1432" t="s">
        <v>887</v>
      </c>
      <c r="B105" s="1433" t="s">
        <v>834</v>
      </c>
      <c r="C105" s="1450" t="s">
        <v>835</v>
      </c>
      <c r="D105" s="1404" t="s">
        <v>955</v>
      </c>
      <c r="E105" s="1405">
        <v>104</v>
      </c>
      <c r="F105" s="1406" t="s">
        <v>877</v>
      </c>
      <c r="G105" s="1417" t="s">
        <v>878</v>
      </c>
      <c r="H105" s="754" t="s">
        <v>836</v>
      </c>
      <c r="I105" s="728" t="s">
        <v>960</v>
      </c>
      <c r="J105" s="1411" t="s">
        <v>879</v>
      </c>
    </row>
    <row r="106" spans="1:10" x14ac:dyDescent="0.25">
      <c r="A106" s="1434" t="s">
        <v>888</v>
      </c>
      <c r="B106" s="1433" t="s">
        <v>548</v>
      </c>
      <c r="C106" s="1450" t="s">
        <v>835</v>
      </c>
      <c r="D106" s="1404" t="s">
        <v>955</v>
      </c>
      <c r="E106" s="1405">
        <v>105</v>
      </c>
      <c r="F106" s="1418">
        <v>3.4</v>
      </c>
      <c r="G106" s="1417" t="s">
        <v>881</v>
      </c>
      <c r="H106" s="728" t="s">
        <v>836</v>
      </c>
      <c r="I106" s="728" t="s">
        <v>960</v>
      </c>
      <c r="J106" s="1411" t="s">
        <v>873</v>
      </c>
    </row>
    <row r="107" spans="1:10" x14ac:dyDescent="0.25">
      <c r="A107" s="1432" t="s">
        <v>892</v>
      </c>
      <c r="B107" s="1433" t="s">
        <v>846</v>
      </c>
      <c r="C107" s="1450" t="s">
        <v>835</v>
      </c>
      <c r="D107" s="1404" t="s">
        <v>955</v>
      </c>
      <c r="E107" s="1405">
        <v>106</v>
      </c>
      <c r="F107" s="1418">
        <v>3.5</v>
      </c>
      <c r="G107" s="1410" t="s">
        <v>884</v>
      </c>
      <c r="H107" s="728" t="s">
        <v>836</v>
      </c>
      <c r="I107" s="728" t="s">
        <v>960</v>
      </c>
      <c r="J107" s="1411" t="s">
        <v>885</v>
      </c>
    </row>
    <row r="108" spans="1:10" x14ac:dyDescent="0.25">
      <c r="A108" s="1434" t="s">
        <v>893</v>
      </c>
      <c r="B108" s="1433" t="s">
        <v>834</v>
      </c>
      <c r="C108" s="1450" t="s">
        <v>835</v>
      </c>
      <c r="D108" s="1404" t="s">
        <v>955</v>
      </c>
      <c r="E108" s="1405">
        <v>107</v>
      </c>
      <c r="F108" s="1418">
        <v>3.6</v>
      </c>
      <c r="G108" s="1417" t="s">
        <v>834</v>
      </c>
      <c r="H108" s="728" t="s">
        <v>836</v>
      </c>
      <c r="I108" s="728" t="s">
        <v>960</v>
      </c>
      <c r="J108" s="1411" t="s">
        <v>837</v>
      </c>
    </row>
    <row r="109" spans="1:10" x14ac:dyDescent="0.25">
      <c r="A109" s="1434" t="s">
        <v>896</v>
      </c>
      <c r="B109" s="1435" t="s">
        <v>897</v>
      </c>
      <c r="C109" s="1450" t="s">
        <v>835</v>
      </c>
      <c r="D109" s="1404" t="s">
        <v>955</v>
      </c>
      <c r="E109" s="1405">
        <v>108</v>
      </c>
      <c r="F109" s="1406" t="s">
        <v>732</v>
      </c>
      <c r="G109" s="1417" t="s">
        <v>834</v>
      </c>
      <c r="H109" s="754" t="s">
        <v>836</v>
      </c>
      <c r="I109" s="728" t="s">
        <v>960</v>
      </c>
      <c r="J109" s="1411" t="s">
        <v>837</v>
      </c>
    </row>
    <row r="110" spans="1:10" x14ac:dyDescent="0.25">
      <c r="A110" s="1434" t="s">
        <v>900</v>
      </c>
      <c r="B110" s="1433" t="s">
        <v>850</v>
      </c>
      <c r="C110" s="1450" t="s">
        <v>835</v>
      </c>
      <c r="D110" s="1404" t="s">
        <v>955</v>
      </c>
      <c r="E110" s="1405">
        <v>109</v>
      </c>
      <c r="F110" s="1406" t="s">
        <v>734</v>
      </c>
      <c r="G110" s="1417" t="s">
        <v>966</v>
      </c>
      <c r="H110" s="754" t="s">
        <v>836</v>
      </c>
      <c r="I110" s="728" t="s">
        <v>960</v>
      </c>
      <c r="J110" s="1411" t="s">
        <v>891</v>
      </c>
    </row>
    <row r="111" spans="1:10" x14ac:dyDescent="0.25">
      <c r="A111" s="1434" t="s">
        <v>901</v>
      </c>
      <c r="B111" s="1433" t="s">
        <v>834</v>
      </c>
      <c r="C111" s="1450" t="s">
        <v>835</v>
      </c>
      <c r="D111" s="1404" t="s">
        <v>955</v>
      </c>
      <c r="E111" s="1405">
        <v>110</v>
      </c>
      <c r="F111" s="1418">
        <v>4.2</v>
      </c>
      <c r="G111" s="1417" t="s">
        <v>935</v>
      </c>
      <c r="H111" s="728" t="s">
        <v>836</v>
      </c>
      <c r="I111" s="728" t="s">
        <v>960</v>
      </c>
      <c r="J111" s="1411" t="s">
        <v>909</v>
      </c>
    </row>
    <row r="112" spans="1:10" x14ac:dyDescent="0.25">
      <c r="A112" s="1434" t="s">
        <v>902</v>
      </c>
      <c r="B112" s="1433" t="s">
        <v>548</v>
      </c>
      <c r="C112" s="1450" t="s">
        <v>835</v>
      </c>
      <c r="D112" s="1404" t="s">
        <v>955</v>
      </c>
      <c r="E112" s="1405">
        <v>111</v>
      </c>
      <c r="F112" s="1418">
        <v>4.3</v>
      </c>
      <c r="G112" s="1417" t="s">
        <v>894</v>
      </c>
      <c r="H112" s="728" t="s">
        <v>836</v>
      </c>
      <c r="I112" s="728" t="s">
        <v>960</v>
      </c>
      <c r="J112" s="1411" t="s">
        <v>895</v>
      </c>
    </row>
    <row r="113" spans="1:10" x14ac:dyDescent="0.25">
      <c r="A113" s="1432" t="s">
        <v>905</v>
      </c>
      <c r="B113" s="1433" t="s">
        <v>843</v>
      </c>
      <c r="C113" s="1450" t="s">
        <v>835</v>
      </c>
      <c r="D113" s="1404" t="s">
        <v>955</v>
      </c>
      <c r="E113" s="1405">
        <v>112</v>
      </c>
      <c r="F113" s="1418">
        <v>4.4000000000000004</v>
      </c>
      <c r="G113" s="1417" t="s">
        <v>898</v>
      </c>
      <c r="H113" s="728" t="s">
        <v>836</v>
      </c>
      <c r="I113" s="728" t="s">
        <v>960</v>
      </c>
      <c r="J113" s="1411" t="s">
        <v>899</v>
      </c>
    </row>
    <row r="114" spans="1:10" x14ac:dyDescent="0.25">
      <c r="A114" s="1434" t="s">
        <v>906</v>
      </c>
      <c r="B114" s="1433" t="s">
        <v>907</v>
      </c>
      <c r="C114" s="1450" t="s">
        <v>835</v>
      </c>
      <c r="D114" s="1404" t="s">
        <v>955</v>
      </c>
      <c r="E114" s="1405">
        <v>113</v>
      </c>
      <c r="F114" s="1406" t="s">
        <v>741</v>
      </c>
      <c r="G114" s="1417" t="s">
        <v>548</v>
      </c>
      <c r="H114" s="754" t="s">
        <v>836</v>
      </c>
      <c r="I114" s="728" t="s">
        <v>960</v>
      </c>
      <c r="J114" s="1411" t="s">
        <v>548</v>
      </c>
    </row>
    <row r="115" spans="1:10" x14ac:dyDescent="0.25">
      <c r="A115" s="1434" t="s">
        <v>910</v>
      </c>
      <c r="B115" s="1433" t="s">
        <v>911</v>
      </c>
      <c r="C115" s="1450" t="s">
        <v>835</v>
      </c>
      <c r="D115" s="1404" t="s">
        <v>955</v>
      </c>
      <c r="E115" s="1405">
        <v>114</v>
      </c>
      <c r="F115" s="1406" t="s">
        <v>743</v>
      </c>
      <c r="G115" s="1417" t="s">
        <v>834</v>
      </c>
      <c r="H115" s="754" t="s">
        <v>836</v>
      </c>
      <c r="I115" s="728" t="s">
        <v>960</v>
      </c>
      <c r="J115" s="1411" t="s">
        <v>837</v>
      </c>
    </row>
    <row r="116" spans="1:10" x14ac:dyDescent="0.25">
      <c r="A116" s="1434" t="s">
        <v>913</v>
      </c>
      <c r="B116" s="1433" t="s">
        <v>914</v>
      </c>
      <c r="C116" s="1450" t="s">
        <v>835</v>
      </c>
      <c r="D116" s="1404" t="s">
        <v>955</v>
      </c>
      <c r="E116" s="1405">
        <v>115</v>
      </c>
      <c r="F116" s="1406" t="s">
        <v>745</v>
      </c>
      <c r="G116" s="1436" t="s">
        <v>548</v>
      </c>
      <c r="H116" s="754" t="s">
        <v>836</v>
      </c>
      <c r="I116" s="728" t="s">
        <v>960</v>
      </c>
      <c r="J116" s="1411" t="s">
        <v>548</v>
      </c>
    </row>
    <row r="117" spans="1:10" x14ac:dyDescent="0.25">
      <c r="A117" s="1434" t="s">
        <v>915</v>
      </c>
      <c r="B117" s="1433" t="s">
        <v>834</v>
      </c>
      <c r="C117" s="1450" t="s">
        <v>835</v>
      </c>
      <c r="D117" s="1404" t="s">
        <v>955</v>
      </c>
      <c r="E117" s="1405">
        <v>116</v>
      </c>
      <c r="F117" s="1406" t="s">
        <v>747</v>
      </c>
      <c r="G117" s="1417" t="s">
        <v>846</v>
      </c>
      <c r="H117" s="754" t="s">
        <v>836</v>
      </c>
      <c r="I117" s="728" t="s">
        <v>960</v>
      </c>
      <c r="J117" s="1411" t="s">
        <v>854</v>
      </c>
    </row>
    <row r="118" spans="1:10" x14ac:dyDescent="0.25">
      <c r="A118" s="1434" t="s">
        <v>764</v>
      </c>
      <c r="B118" s="1433" t="s">
        <v>916</v>
      </c>
      <c r="C118" s="1450" t="s">
        <v>835</v>
      </c>
      <c r="D118" s="1404" t="s">
        <v>955</v>
      </c>
      <c r="E118" s="1405">
        <v>117</v>
      </c>
      <c r="F118" s="1418">
        <v>5.3</v>
      </c>
      <c r="G118" s="1410" t="s">
        <v>908</v>
      </c>
      <c r="H118" s="728" t="s">
        <v>836</v>
      </c>
      <c r="I118" s="728" t="s">
        <v>960</v>
      </c>
      <c r="J118" s="1411" t="s">
        <v>909</v>
      </c>
    </row>
    <row r="119" spans="1:10" x14ac:dyDescent="0.25">
      <c r="A119" s="1434">
        <v>5.1100000000000003</v>
      </c>
      <c r="B119" s="1433" t="s">
        <v>967</v>
      </c>
      <c r="C119" s="1450" t="s">
        <v>835</v>
      </c>
      <c r="D119" s="1404" t="s">
        <v>955</v>
      </c>
      <c r="E119" s="1405">
        <v>118</v>
      </c>
      <c r="F119" s="1418">
        <v>5.4</v>
      </c>
      <c r="G119" s="1417" t="s">
        <v>912</v>
      </c>
      <c r="H119" s="728" t="s">
        <v>836</v>
      </c>
      <c r="I119" s="728" t="s">
        <v>960</v>
      </c>
      <c r="J119" s="1411" t="s">
        <v>873</v>
      </c>
    </row>
    <row r="120" spans="1:10" x14ac:dyDescent="0.25">
      <c r="A120" s="1434">
        <v>5.12</v>
      </c>
      <c r="B120" s="1433" t="s">
        <v>858</v>
      </c>
      <c r="C120" s="1450" t="s">
        <v>835</v>
      </c>
      <c r="D120" s="1404" t="s">
        <v>955</v>
      </c>
      <c r="E120" s="1405">
        <v>119</v>
      </c>
      <c r="F120" s="1418">
        <v>5.5</v>
      </c>
      <c r="G120" s="1410" t="s">
        <v>850</v>
      </c>
      <c r="H120" s="728" t="s">
        <v>836</v>
      </c>
      <c r="I120" s="728" t="s">
        <v>960</v>
      </c>
      <c r="J120" s="1411" t="s">
        <v>865</v>
      </c>
    </row>
    <row r="121" spans="1:10" x14ac:dyDescent="0.25">
      <c r="A121" s="1437">
        <v>5.13</v>
      </c>
      <c r="B121" s="1438" t="s">
        <v>968</v>
      </c>
      <c r="C121" s="1450" t="s">
        <v>835</v>
      </c>
      <c r="D121" s="1404" t="s">
        <v>955</v>
      </c>
      <c r="E121" s="1405">
        <v>120</v>
      </c>
      <c r="F121" s="1418">
        <v>5.6</v>
      </c>
      <c r="G121" s="1417" t="s">
        <v>834</v>
      </c>
      <c r="H121" s="728" t="s">
        <v>836</v>
      </c>
      <c r="I121" s="728" t="s">
        <v>960</v>
      </c>
      <c r="J121" s="1411" t="s">
        <v>837</v>
      </c>
    </row>
    <row r="122" spans="1:10" x14ac:dyDescent="0.25">
      <c r="A122" s="1430" t="s">
        <v>918</v>
      </c>
      <c r="B122" s="1431" t="s">
        <v>834</v>
      </c>
      <c r="C122" s="1450" t="s">
        <v>835</v>
      </c>
      <c r="D122" s="1404" t="s">
        <v>955</v>
      </c>
      <c r="E122" s="1405">
        <v>121</v>
      </c>
      <c r="F122" s="1406" t="s">
        <v>753</v>
      </c>
      <c r="G122" s="1417" t="s">
        <v>548</v>
      </c>
      <c r="H122" s="754" t="s">
        <v>836</v>
      </c>
      <c r="I122" s="728" t="s">
        <v>960</v>
      </c>
      <c r="J122" s="1411" t="s">
        <v>548</v>
      </c>
    </row>
    <row r="123" spans="1:10" x14ac:dyDescent="0.25">
      <c r="A123" s="1434" t="s">
        <v>919</v>
      </c>
      <c r="B123" s="1433" t="s">
        <v>834</v>
      </c>
      <c r="C123" s="1450" t="s">
        <v>835</v>
      </c>
      <c r="D123" s="1404" t="s">
        <v>955</v>
      </c>
      <c r="E123" s="1405">
        <v>122</v>
      </c>
      <c r="F123" s="1406" t="s">
        <v>755</v>
      </c>
      <c r="G123" s="1417" t="s">
        <v>969</v>
      </c>
      <c r="H123" s="754" t="s">
        <v>836</v>
      </c>
      <c r="I123" s="728" t="s">
        <v>960</v>
      </c>
      <c r="J123" s="1411" t="s">
        <v>863</v>
      </c>
    </row>
    <row r="124" spans="1:10" x14ac:dyDescent="0.25">
      <c r="A124" s="1434" t="s">
        <v>920</v>
      </c>
      <c r="B124" s="1433" t="s">
        <v>866</v>
      </c>
      <c r="C124" s="1450" t="s">
        <v>835</v>
      </c>
      <c r="D124" s="1404" t="s">
        <v>955</v>
      </c>
      <c r="E124" s="1405">
        <v>123</v>
      </c>
      <c r="F124" s="1406" t="s">
        <v>757</v>
      </c>
      <c r="G124" s="1417" t="s">
        <v>970</v>
      </c>
      <c r="H124" s="754" t="s">
        <v>836</v>
      </c>
      <c r="I124" s="728" t="s">
        <v>960</v>
      </c>
      <c r="J124" s="1455" t="s">
        <v>971</v>
      </c>
    </row>
    <row r="125" spans="1:10" x14ac:dyDescent="0.25">
      <c r="A125" s="1434" t="s">
        <v>921</v>
      </c>
      <c r="B125" s="1433" t="s">
        <v>922</v>
      </c>
      <c r="C125" s="1450" t="s">
        <v>835</v>
      </c>
      <c r="D125" s="1404" t="s">
        <v>955</v>
      </c>
      <c r="E125" s="1405">
        <v>124</v>
      </c>
      <c r="F125" s="1406" t="s">
        <v>759</v>
      </c>
      <c r="G125" s="1417" t="s">
        <v>911</v>
      </c>
      <c r="H125" s="754" t="s">
        <v>836</v>
      </c>
      <c r="I125" s="728" t="s">
        <v>960</v>
      </c>
      <c r="J125" s="1411" t="s">
        <v>917</v>
      </c>
    </row>
    <row r="126" spans="1:10" x14ac:dyDescent="0.25">
      <c r="A126" s="1434" t="s">
        <v>923</v>
      </c>
      <c r="B126" s="1433" t="s">
        <v>866</v>
      </c>
      <c r="C126" s="1450" t="s">
        <v>835</v>
      </c>
      <c r="D126" s="1404" t="s">
        <v>955</v>
      </c>
      <c r="E126" s="1405">
        <v>125</v>
      </c>
      <c r="F126" s="1406" t="s">
        <v>761</v>
      </c>
      <c r="G126" s="1417" t="s">
        <v>972</v>
      </c>
      <c r="H126" s="754" t="s">
        <v>836</v>
      </c>
      <c r="I126" s="728" t="s">
        <v>960</v>
      </c>
      <c r="J126" s="1439" t="s">
        <v>973</v>
      </c>
    </row>
    <row r="127" spans="1:10" x14ac:dyDescent="0.25">
      <c r="A127" s="1434" t="s">
        <v>924</v>
      </c>
      <c r="B127" s="1433" t="s">
        <v>866</v>
      </c>
      <c r="C127" s="1450" t="s">
        <v>835</v>
      </c>
      <c r="D127" s="1404" t="s">
        <v>955</v>
      </c>
      <c r="E127" s="1405">
        <v>126</v>
      </c>
      <c r="F127" s="1418">
        <v>5.9</v>
      </c>
      <c r="G127" s="1417" t="s">
        <v>834</v>
      </c>
      <c r="H127" s="728" t="s">
        <v>836</v>
      </c>
      <c r="I127" s="728" t="s">
        <v>960</v>
      </c>
      <c r="J127" s="1411" t="s">
        <v>837</v>
      </c>
    </row>
    <row r="128" spans="1:10" x14ac:dyDescent="0.25">
      <c r="A128" s="1434" t="s">
        <v>925</v>
      </c>
      <c r="B128" s="1433" t="s">
        <v>846</v>
      </c>
      <c r="C128" s="1450" t="s">
        <v>835</v>
      </c>
      <c r="D128" s="1404" t="s">
        <v>955</v>
      </c>
      <c r="E128" s="1405">
        <v>127</v>
      </c>
      <c r="F128" s="1422" t="s">
        <v>764</v>
      </c>
      <c r="G128" s="1417" t="s">
        <v>974</v>
      </c>
      <c r="H128" s="728" t="s">
        <v>836</v>
      </c>
      <c r="I128" s="728" t="s">
        <v>960</v>
      </c>
      <c r="J128" s="1411" t="s">
        <v>975</v>
      </c>
    </row>
    <row r="129" spans="1:13" x14ac:dyDescent="0.25">
      <c r="A129" s="1434" t="s">
        <v>926</v>
      </c>
      <c r="B129" s="1433" t="s">
        <v>846</v>
      </c>
      <c r="C129" s="1450" t="s">
        <v>835</v>
      </c>
      <c r="D129" s="1404" t="s">
        <v>955</v>
      </c>
      <c r="E129" s="1405">
        <v>128</v>
      </c>
      <c r="F129" s="1418">
        <v>5.1100000000000003</v>
      </c>
      <c r="G129" s="1417" t="s">
        <v>976</v>
      </c>
      <c r="H129" s="728" t="s">
        <v>836</v>
      </c>
      <c r="I129" s="728" t="s">
        <v>960</v>
      </c>
      <c r="J129" s="1411" t="s">
        <v>977</v>
      </c>
    </row>
    <row r="130" spans="1:13" x14ac:dyDescent="0.25">
      <c r="A130" s="1437" t="s">
        <v>927</v>
      </c>
      <c r="B130" s="1438" t="s">
        <v>928</v>
      </c>
      <c r="C130" s="1450" t="s">
        <v>835</v>
      </c>
      <c r="D130" s="1404" t="s">
        <v>955</v>
      </c>
      <c r="E130" s="1405">
        <v>129</v>
      </c>
      <c r="F130" s="1418">
        <v>5.12</v>
      </c>
      <c r="G130" s="1417" t="s">
        <v>858</v>
      </c>
      <c r="H130" s="728" t="s">
        <v>836</v>
      </c>
      <c r="I130" s="728" t="s">
        <v>960</v>
      </c>
      <c r="J130" s="1411">
        <v>10</v>
      </c>
    </row>
    <row r="131" spans="1:13" x14ac:dyDescent="0.25">
      <c r="A131" s="1430" t="s">
        <v>929</v>
      </c>
      <c r="B131" s="1431" t="s">
        <v>834</v>
      </c>
      <c r="C131" s="1450" t="s">
        <v>835</v>
      </c>
      <c r="D131" s="1404" t="s">
        <v>955</v>
      </c>
      <c r="E131" s="1405">
        <v>130</v>
      </c>
      <c r="F131" s="1418">
        <v>5.13</v>
      </c>
      <c r="G131" s="1417" t="s">
        <v>978</v>
      </c>
      <c r="H131" s="728" t="s">
        <v>836</v>
      </c>
      <c r="I131" s="728" t="s">
        <v>960</v>
      </c>
      <c r="J131" s="1411" t="s">
        <v>979</v>
      </c>
    </row>
    <row r="132" spans="1:13" x14ac:dyDescent="0.25">
      <c r="A132" s="1434" t="s">
        <v>932</v>
      </c>
      <c r="B132" s="1435" t="s">
        <v>933</v>
      </c>
      <c r="C132" s="1450" t="s">
        <v>835</v>
      </c>
      <c r="D132" s="1404" t="s">
        <v>955</v>
      </c>
      <c r="E132" s="1405">
        <v>131</v>
      </c>
      <c r="F132" s="1418">
        <v>6.1</v>
      </c>
      <c r="G132" s="1417" t="s">
        <v>834</v>
      </c>
      <c r="H132" s="728" t="s">
        <v>836</v>
      </c>
      <c r="I132" s="728" t="s">
        <v>960</v>
      </c>
      <c r="J132" s="1411" t="s">
        <v>837</v>
      </c>
    </row>
    <row r="133" spans="1:13" x14ac:dyDescent="0.25">
      <c r="A133" s="1434" t="s">
        <v>934</v>
      </c>
      <c r="B133" s="1433" t="s">
        <v>935</v>
      </c>
      <c r="C133" s="1450" t="s">
        <v>835</v>
      </c>
      <c r="D133" s="1404" t="s">
        <v>955</v>
      </c>
      <c r="E133" s="1405">
        <v>132</v>
      </c>
      <c r="F133" s="1418">
        <v>6.2</v>
      </c>
      <c r="G133" s="1417" t="s">
        <v>834</v>
      </c>
      <c r="H133" s="728" t="s">
        <v>836</v>
      </c>
      <c r="I133" s="728" t="s">
        <v>960</v>
      </c>
      <c r="J133" s="1411" t="s">
        <v>837</v>
      </c>
    </row>
    <row r="134" spans="1:13" x14ac:dyDescent="0.25">
      <c r="A134" s="1434" t="s">
        <v>937</v>
      </c>
      <c r="B134" s="1433" t="s">
        <v>548</v>
      </c>
      <c r="C134" s="1450" t="s">
        <v>835</v>
      </c>
      <c r="D134" s="1404" t="s">
        <v>955</v>
      </c>
      <c r="E134" s="1405">
        <v>133</v>
      </c>
      <c r="F134" s="1418">
        <v>6.3</v>
      </c>
      <c r="G134" s="1417" t="s">
        <v>878</v>
      </c>
      <c r="H134" s="728" t="s">
        <v>836</v>
      </c>
      <c r="I134" s="728" t="s">
        <v>960</v>
      </c>
      <c r="J134" s="1439" t="s">
        <v>879</v>
      </c>
    </row>
    <row r="135" spans="1:13" x14ac:dyDescent="0.25">
      <c r="A135" s="1432" t="s">
        <v>938</v>
      </c>
      <c r="B135" s="1433" t="s">
        <v>846</v>
      </c>
      <c r="C135" s="1450" t="s">
        <v>835</v>
      </c>
      <c r="D135" s="1404" t="s">
        <v>955</v>
      </c>
      <c r="E135" s="1405">
        <v>134</v>
      </c>
      <c r="F135" s="1418">
        <v>6.4</v>
      </c>
      <c r="G135" s="1417" t="s">
        <v>930</v>
      </c>
      <c r="H135" s="728" t="s">
        <v>836</v>
      </c>
      <c r="I135" s="728" t="s">
        <v>960</v>
      </c>
      <c r="J135" s="1411" t="s">
        <v>931</v>
      </c>
    </row>
    <row r="136" spans="1:13" x14ac:dyDescent="0.25">
      <c r="A136" s="1434" t="s">
        <v>939</v>
      </c>
      <c r="B136" s="1433" t="s">
        <v>548</v>
      </c>
      <c r="C136" s="1450" t="s">
        <v>835</v>
      </c>
      <c r="D136" s="1404" t="s">
        <v>955</v>
      </c>
      <c r="E136" s="1405">
        <v>135</v>
      </c>
      <c r="F136" s="1406" t="s">
        <v>774</v>
      </c>
      <c r="G136" s="1417" t="s">
        <v>843</v>
      </c>
      <c r="H136" s="754" t="s">
        <v>836</v>
      </c>
      <c r="I136" s="728" t="s">
        <v>960</v>
      </c>
      <c r="J136" s="1411" t="s">
        <v>863</v>
      </c>
    </row>
    <row r="137" spans="1:13" x14ac:dyDescent="0.25">
      <c r="A137" s="1432" t="s">
        <v>941</v>
      </c>
      <c r="B137" s="1433" t="s">
        <v>850</v>
      </c>
      <c r="C137" s="1450" t="s">
        <v>835</v>
      </c>
      <c r="D137" s="1404" t="s">
        <v>955</v>
      </c>
      <c r="E137" s="1405">
        <v>136</v>
      </c>
      <c r="F137" s="1406" t="s">
        <v>776</v>
      </c>
      <c r="G137" s="1410" t="s">
        <v>936</v>
      </c>
      <c r="H137" s="754" t="s">
        <v>836</v>
      </c>
      <c r="I137" s="728" t="s">
        <v>960</v>
      </c>
      <c r="J137" s="1411" t="s">
        <v>863</v>
      </c>
    </row>
    <row r="138" spans="1:13" x14ac:dyDescent="0.25">
      <c r="A138" s="1434">
        <v>7.5</v>
      </c>
      <c r="B138" s="1433" t="s">
        <v>834</v>
      </c>
      <c r="C138" s="1450" t="s">
        <v>835</v>
      </c>
      <c r="D138" s="1404" t="s">
        <v>955</v>
      </c>
      <c r="E138" s="1405">
        <v>137</v>
      </c>
      <c r="F138" s="1418">
        <v>6.6</v>
      </c>
      <c r="G138" s="1417" t="s">
        <v>841</v>
      </c>
      <c r="H138" s="728" t="s">
        <v>836</v>
      </c>
      <c r="I138" s="728" t="s">
        <v>960</v>
      </c>
      <c r="J138" s="1439" t="s">
        <v>842</v>
      </c>
    </row>
    <row r="139" spans="1:13" x14ac:dyDescent="0.25">
      <c r="A139" s="1434">
        <v>7.6</v>
      </c>
      <c r="B139" s="1433" t="s">
        <v>834</v>
      </c>
      <c r="C139" s="1450" t="s">
        <v>835</v>
      </c>
      <c r="D139" s="1404" t="s">
        <v>955</v>
      </c>
      <c r="E139" s="1405">
        <v>138</v>
      </c>
      <c r="F139" s="1418">
        <v>7.1</v>
      </c>
      <c r="G139" s="1417" t="s">
        <v>834</v>
      </c>
      <c r="H139" s="728" t="s">
        <v>836</v>
      </c>
      <c r="I139" s="728" t="s">
        <v>960</v>
      </c>
      <c r="J139" s="1411" t="s">
        <v>837</v>
      </c>
    </row>
    <row r="140" spans="1:13" x14ac:dyDescent="0.25">
      <c r="A140" s="1434">
        <v>7.7</v>
      </c>
      <c r="B140" s="1433" t="s">
        <v>834</v>
      </c>
      <c r="C140" s="1450" t="s">
        <v>835</v>
      </c>
      <c r="D140" s="1404" t="s">
        <v>955</v>
      </c>
      <c r="E140" s="1405">
        <v>139</v>
      </c>
      <c r="F140" s="1406" t="s">
        <v>782</v>
      </c>
      <c r="G140" s="1410" t="s">
        <v>940</v>
      </c>
      <c r="H140" s="754" t="s">
        <v>836</v>
      </c>
      <c r="I140" s="728" t="s">
        <v>960</v>
      </c>
      <c r="J140" s="1411" t="s">
        <v>873</v>
      </c>
    </row>
    <row r="141" spans="1:13" x14ac:dyDescent="0.25">
      <c r="A141" s="1434">
        <v>7.8</v>
      </c>
      <c r="B141" s="1433" t="s">
        <v>834</v>
      </c>
      <c r="C141" s="1450" t="s">
        <v>835</v>
      </c>
      <c r="D141" s="1404" t="s">
        <v>955</v>
      </c>
      <c r="E141" s="1405">
        <v>140</v>
      </c>
      <c r="F141" s="1406" t="s">
        <v>784</v>
      </c>
      <c r="G141" s="1410" t="s">
        <v>942</v>
      </c>
      <c r="H141" s="754" t="s">
        <v>836</v>
      </c>
      <c r="I141" s="728" t="s">
        <v>960</v>
      </c>
      <c r="J141" s="1411" t="s">
        <v>943</v>
      </c>
      <c r="M141" s="378">
        <f>240/20</f>
        <v>12</v>
      </c>
    </row>
    <row r="142" spans="1:13" x14ac:dyDescent="0.25">
      <c r="A142" s="1440" t="s">
        <v>944</v>
      </c>
      <c r="B142" s="1433" t="s">
        <v>548</v>
      </c>
      <c r="C142" s="1450" t="s">
        <v>835</v>
      </c>
      <c r="D142" s="1404" t="s">
        <v>955</v>
      </c>
      <c r="E142" s="1405">
        <v>141</v>
      </c>
      <c r="F142" s="1406" t="s">
        <v>785</v>
      </c>
      <c r="G142" s="1410" t="s">
        <v>834</v>
      </c>
      <c r="H142" s="754" t="s">
        <v>836</v>
      </c>
      <c r="I142" s="728" t="s">
        <v>960</v>
      </c>
      <c r="J142" s="1411" t="s">
        <v>837</v>
      </c>
    </row>
    <row r="143" spans="1:13" x14ac:dyDescent="0.25">
      <c r="A143" s="1434" t="s">
        <v>945</v>
      </c>
      <c r="B143" s="1433" t="s">
        <v>834</v>
      </c>
      <c r="C143" s="1450" t="s">
        <v>835</v>
      </c>
      <c r="D143" s="1404" t="s">
        <v>955</v>
      </c>
      <c r="E143" s="1405">
        <v>142</v>
      </c>
      <c r="F143" s="1406" t="s">
        <v>787</v>
      </c>
      <c r="G143" s="1417" t="s">
        <v>548</v>
      </c>
      <c r="H143" s="754" t="s">
        <v>836</v>
      </c>
      <c r="I143" s="728" t="s">
        <v>960</v>
      </c>
      <c r="J143" s="1411" t="s">
        <v>548</v>
      </c>
    </row>
    <row r="144" spans="1:13" x14ac:dyDescent="0.25">
      <c r="A144" s="1434" t="s">
        <v>946</v>
      </c>
      <c r="B144" s="1433" t="s">
        <v>834</v>
      </c>
      <c r="C144" s="1450" t="s">
        <v>835</v>
      </c>
      <c r="D144" s="1404" t="s">
        <v>955</v>
      </c>
      <c r="E144" s="1405">
        <v>143</v>
      </c>
      <c r="F144" s="1406" t="s">
        <v>788</v>
      </c>
      <c r="G144" s="1417" t="s">
        <v>548</v>
      </c>
      <c r="H144" s="754" t="s">
        <v>836</v>
      </c>
      <c r="I144" s="728" t="s">
        <v>960</v>
      </c>
      <c r="J144" s="1411" t="s">
        <v>548</v>
      </c>
    </row>
    <row r="145" spans="1:10" x14ac:dyDescent="0.25">
      <c r="A145" s="1434" t="s">
        <v>796</v>
      </c>
      <c r="B145" s="1433" t="s">
        <v>834</v>
      </c>
      <c r="C145" s="1450" t="s">
        <v>835</v>
      </c>
      <c r="D145" s="1404" t="s">
        <v>955</v>
      </c>
      <c r="E145" s="1405">
        <v>144</v>
      </c>
      <c r="F145" s="1406" t="s">
        <v>790</v>
      </c>
      <c r="G145" s="1417" t="s">
        <v>850</v>
      </c>
      <c r="H145" s="754" t="s">
        <v>836</v>
      </c>
      <c r="I145" s="728" t="s">
        <v>960</v>
      </c>
      <c r="J145" s="1411" t="s">
        <v>865</v>
      </c>
    </row>
    <row r="146" spans="1:10" x14ac:dyDescent="0.25">
      <c r="A146" s="1434">
        <v>7.11</v>
      </c>
      <c r="B146" s="1433" t="s">
        <v>834</v>
      </c>
      <c r="C146" s="1450" t="s">
        <v>835</v>
      </c>
      <c r="D146" s="1404" t="s">
        <v>955</v>
      </c>
      <c r="E146" s="1405">
        <v>145</v>
      </c>
      <c r="F146" s="1418">
        <v>7.5</v>
      </c>
      <c r="G146" s="1417" t="s">
        <v>834</v>
      </c>
      <c r="H146" s="728" t="s">
        <v>836</v>
      </c>
      <c r="I146" s="728" t="s">
        <v>960</v>
      </c>
      <c r="J146" s="1411" t="s">
        <v>837</v>
      </c>
    </row>
    <row r="147" spans="1:10" x14ac:dyDescent="0.25">
      <c r="A147" s="1434">
        <v>7.12</v>
      </c>
      <c r="B147" s="1433" t="s">
        <v>834</v>
      </c>
      <c r="C147" s="1450" t="s">
        <v>835</v>
      </c>
      <c r="D147" s="1404" t="s">
        <v>955</v>
      </c>
      <c r="E147" s="1405">
        <v>146</v>
      </c>
      <c r="F147" s="1418">
        <v>7.6</v>
      </c>
      <c r="G147" s="1417" t="s">
        <v>834</v>
      </c>
      <c r="H147" s="728" t="s">
        <v>836</v>
      </c>
      <c r="I147" s="728" t="s">
        <v>960</v>
      </c>
      <c r="J147" s="1411" t="s">
        <v>837</v>
      </c>
    </row>
    <row r="148" spans="1:10" x14ac:dyDescent="0.25">
      <c r="A148" s="1434">
        <v>7.13</v>
      </c>
      <c r="B148" s="1433" t="s">
        <v>548</v>
      </c>
      <c r="C148" s="1450" t="s">
        <v>835</v>
      </c>
      <c r="D148" s="1404" t="s">
        <v>955</v>
      </c>
      <c r="E148" s="1405">
        <v>147</v>
      </c>
      <c r="F148" s="1418">
        <v>7.7</v>
      </c>
      <c r="G148" s="1417" t="s">
        <v>834</v>
      </c>
      <c r="H148" s="728" t="s">
        <v>836</v>
      </c>
      <c r="I148" s="728" t="s">
        <v>960</v>
      </c>
      <c r="J148" s="1411" t="s">
        <v>837</v>
      </c>
    </row>
    <row r="149" spans="1:10" x14ac:dyDescent="0.25">
      <c r="A149" s="1434">
        <v>7.14</v>
      </c>
      <c r="B149" s="1433" t="s">
        <v>834</v>
      </c>
      <c r="C149" s="1450" t="s">
        <v>835</v>
      </c>
      <c r="D149" s="1404" t="s">
        <v>955</v>
      </c>
      <c r="E149" s="1405">
        <v>148</v>
      </c>
      <c r="F149" s="1418">
        <v>7.8</v>
      </c>
      <c r="G149" s="1417" t="s">
        <v>834</v>
      </c>
      <c r="H149" s="728" t="s">
        <v>836</v>
      </c>
      <c r="I149" s="728" t="s">
        <v>960</v>
      </c>
      <c r="J149" s="1411" t="s">
        <v>837</v>
      </c>
    </row>
    <row r="150" spans="1:10" x14ac:dyDescent="0.25">
      <c r="A150" s="1434">
        <v>7.15</v>
      </c>
      <c r="B150" s="1433" t="s">
        <v>834</v>
      </c>
      <c r="C150" s="1450" t="s">
        <v>835</v>
      </c>
      <c r="D150" s="1404" t="s">
        <v>955</v>
      </c>
      <c r="E150" s="1405">
        <v>149</v>
      </c>
      <c r="F150" s="1418">
        <v>7.9</v>
      </c>
      <c r="G150" s="1417" t="s">
        <v>834</v>
      </c>
      <c r="H150" s="728" t="s">
        <v>836</v>
      </c>
      <c r="I150" s="728" t="s">
        <v>960</v>
      </c>
      <c r="J150" s="1411" t="s">
        <v>837</v>
      </c>
    </row>
    <row r="151" spans="1:10" x14ac:dyDescent="0.25">
      <c r="A151" s="1434">
        <v>7.16</v>
      </c>
      <c r="B151" s="1433" t="s">
        <v>834</v>
      </c>
      <c r="C151" s="1450" t="s">
        <v>835</v>
      </c>
      <c r="D151" s="1404" t="s">
        <v>955</v>
      </c>
      <c r="E151" s="1405">
        <v>150</v>
      </c>
      <c r="F151" s="1422" t="s">
        <v>796</v>
      </c>
      <c r="G151" s="1417" t="s">
        <v>980</v>
      </c>
      <c r="H151" s="728" t="s">
        <v>836</v>
      </c>
      <c r="I151" s="728" t="s">
        <v>960</v>
      </c>
      <c r="J151" s="1411" t="s">
        <v>873</v>
      </c>
    </row>
    <row r="152" spans="1:10" x14ac:dyDescent="0.25">
      <c r="A152" s="1437">
        <v>7.17</v>
      </c>
      <c r="B152" s="1438" t="s">
        <v>898</v>
      </c>
      <c r="C152" s="1450" t="s">
        <v>835</v>
      </c>
      <c r="D152" s="1404" t="s">
        <v>955</v>
      </c>
      <c r="E152" s="1405">
        <v>151</v>
      </c>
      <c r="F152" s="1418">
        <v>7.11</v>
      </c>
      <c r="G152" s="1417" t="s">
        <v>834</v>
      </c>
      <c r="H152" s="728" t="s">
        <v>836</v>
      </c>
      <c r="I152" s="728" t="s">
        <v>960</v>
      </c>
      <c r="J152" s="1411" t="s">
        <v>837</v>
      </c>
    </row>
    <row r="153" spans="1:10" x14ac:dyDescent="0.25">
      <c r="A153" s="1430" t="s">
        <v>950</v>
      </c>
      <c r="B153" s="1431" t="s">
        <v>834</v>
      </c>
      <c r="C153" s="1450" t="s">
        <v>835</v>
      </c>
      <c r="D153" s="1404" t="s">
        <v>955</v>
      </c>
      <c r="E153" s="1405">
        <v>152</v>
      </c>
      <c r="F153" s="1418">
        <v>7.12</v>
      </c>
      <c r="G153" s="1417" t="s">
        <v>834</v>
      </c>
      <c r="H153" s="728" t="s">
        <v>836</v>
      </c>
      <c r="I153" s="728" t="s">
        <v>960</v>
      </c>
      <c r="J153" s="1411" t="s">
        <v>837</v>
      </c>
    </row>
    <row r="154" spans="1:10" x14ac:dyDescent="0.25">
      <c r="A154" s="1434" t="s">
        <v>951</v>
      </c>
      <c r="B154" s="1433" t="s">
        <v>834</v>
      </c>
      <c r="C154" s="1450" t="s">
        <v>835</v>
      </c>
      <c r="D154" s="1404" t="s">
        <v>955</v>
      </c>
      <c r="E154" s="1405">
        <v>153</v>
      </c>
      <c r="F154" s="1406" t="s">
        <v>800</v>
      </c>
      <c r="G154" s="1417" t="s">
        <v>548</v>
      </c>
      <c r="H154" s="754" t="s">
        <v>836</v>
      </c>
      <c r="I154" s="728" t="s">
        <v>960</v>
      </c>
      <c r="J154" s="1411" t="s">
        <v>548</v>
      </c>
    </row>
    <row r="155" spans="1:10" x14ac:dyDescent="0.25">
      <c r="A155" s="1434" t="s">
        <v>952</v>
      </c>
      <c r="B155" s="1433" t="s">
        <v>834</v>
      </c>
      <c r="C155" s="1450" t="s">
        <v>835</v>
      </c>
      <c r="D155" s="1404" t="s">
        <v>955</v>
      </c>
      <c r="E155" s="1405">
        <v>154</v>
      </c>
      <c r="F155" s="1406" t="s">
        <v>802</v>
      </c>
      <c r="G155" s="1417" t="s">
        <v>981</v>
      </c>
      <c r="H155" s="754" t="s">
        <v>836</v>
      </c>
      <c r="I155" s="728" t="s">
        <v>960</v>
      </c>
      <c r="J155" s="1411" t="s">
        <v>982</v>
      </c>
    </row>
    <row r="156" spans="1:10" x14ac:dyDescent="0.25">
      <c r="A156" s="1434" t="s">
        <v>953</v>
      </c>
      <c r="B156" s="1433" t="s">
        <v>898</v>
      </c>
      <c r="C156" s="1450" t="s">
        <v>835</v>
      </c>
      <c r="D156" s="1404" t="s">
        <v>955</v>
      </c>
      <c r="E156" s="1405">
        <v>155</v>
      </c>
      <c r="F156" s="1418">
        <v>7.14</v>
      </c>
      <c r="G156" s="1417" t="s">
        <v>834</v>
      </c>
      <c r="H156" s="728" t="s">
        <v>836</v>
      </c>
      <c r="I156" s="728" t="s">
        <v>960</v>
      </c>
      <c r="J156" s="1411" t="s">
        <v>837</v>
      </c>
    </row>
    <row r="157" spans="1:10" s="1105" customFormat="1" x14ac:dyDescent="0.25">
      <c r="A157" s="1456" t="s">
        <v>954</v>
      </c>
      <c r="B157" s="1423" t="s">
        <v>843</v>
      </c>
      <c r="C157" s="1423" t="s">
        <v>835</v>
      </c>
      <c r="D157" s="1423" t="s">
        <v>955</v>
      </c>
      <c r="E157" s="1405">
        <v>156</v>
      </c>
      <c r="F157" s="1428">
        <v>7.15</v>
      </c>
      <c r="G157" s="1417" t="s">
        <v>834</v>
      </c>
      <c r="H157" s="728" t="s">
        <v>836</v>
      </c>
      <c r="I157" s="728" t="s">
        <v>960</v>
      </c>
      <c r="J157" s="1443" t="s">
        <v>837</v>
      </c>
    </row>
    <row r="158" spans="1:10" s="1105" customFormat="1" x14ac:dyDescent="0.25">
      <c r="A158" s="1414">
        <v>1.1000000000000001</v>
      </c>
      <c r="B158" s="1457" t="s">
        <v>834</v>
      </c>
      <c r="C158" s="1458" t="s">
        <v>835</v>
      </c>
      <c r="D158" s="1423" t="s">
        <v>983</v>
      </c>
      <c r="E158" s="1405">
        <v>157</v>
      </c>
      <c r="F158" s="1428">
        <v>7.16</v>
      </c>
      <c r="G158" s="1417" t="s">
        <v>834</v>
      </c>
      <c r="H158" s="728" t="s">
        <v>836</v>
      </c>
      <c r="I158" s="728" t="s">
        <v>960</v>
      </c>
      <c r="J158" s="1459" t="s">
        <v>837</v>
      </c>
    </row>
    <row r="159" spans="1:10" x14ac:dyDescent="0.25">
      <c r="A159" s="1460">
        <v>1.2</v>
      </c>
      <c r="B159" s="1461" t="s">
        <v>838</v>
      </c>
      <c r="C159" s="1448" t="s">
        <v>835</v>
      </c>
      <c r="D159" s="1404" t="s">
        <v>983</v>
      </c>
      <c r="E159" s="1405">
        <v>158</v>
      </c>
      <c r="F159" s="1428">
        <v>7.17</v>
      </c>
      <c r="G159" s="1417" t="s">
        <v>834</v>
      </c>
      <c r="H159" s="754" t="s">
        <v>836</v>
      </c>
      <c r="I159" s="728" t="s">
        <v>960</v>
      </c>
      <c r="J159" s="1449" t="s">
        <v>837</v>
      </c>
    </row>
    <row r="160" spans="1:10" x14ac:dyDescent="0.25">
      <c r="A160" s="1414">
        <v>2.1</v>
      </c>
      <c r="B160" s="1409" t="s">
        <v>834</v>
      </c>
      <c r="C160" s="1450" t="s">
        <v>835</v>
      </c>
      <c r="D160" s="1404" t="s">
        <v>983</v>
      </c>
      <c r="E160" s="1405">
        <v>159</v>
      </c>
      <c r="F160" s="1406" t="s">
        <v>809</v>
      </c>
      <c r="G160" s="1417" t="s">
        <v>834</v>
      </c>
      <c r="H160" s="754" t="s">
        <v>836</v>
      </c>
      <c r="I160" s="728" t="s">
        <v>960</v>
      </c>
      <c r="J160" s="1411" t="s">
        <v>837</v>
      </c>
    </row>
    <row r="161" spans="1:10" x14ac:dyDescent="0.25">
      <c r="A161" s="1415">
        <v>2.2000000000000002</v>
      </c>
      <c r="B161" s="1416" t="s">
        <v>548</v>
      </c>
      <c r="C161" s="1450" t="s">
        <v>835</v>
      </c>
      <c r="D161" s="1404" t="s">
        <v>983</v>
      </c>
      <c r="E161" s="1405">
        <v>160</v>
      </c>
      <c r="F161" s="1406" t="s">
        <v>811</v>
      </c>
      <c r="G161" s="1410" t="s">
        <v>898</v>
      </c>
      <c r="H161" s="754" t="s">
        <v>836</v>
      </c>
      <c r="I161" s="728" t="s">
        <v>960</v>
      </c>
      <c r="J161" s="1411" t="s">
        <v>899</v>
      </c>
    </row>
    <row r="162" spans="1:10" x14ac:dyDescent="0.25">
      <c r="A162" s="1415">
        <v>2.2999999999999998</v>
      </c>
      <c r="B162" s="1416" t="s">
        <v>834</v>
      </c>
      <c r="C162" s="1450" t="s">
        <v>835</v>
      </c>
      <c r="D162" s="1404" t="s">
        <v>983</v>
      </c>
      <c r="E162" s="1405">
        <v>161</v>
      </c>
      <c r="F162" s="1418">
        <v>8.1999999999999993</v>
      </c>
      <c r="G162" s="1417" t="s">
        <v>956</v>
      </c>
      <c r="H162" s="728" t="s">
        <v>836</v>
      </c>
      <c r="I162" s="728" t="s">
        <v>960</v>
      </c>
      <c r="J162" s="1411" t="s">
        <v>957</v>
      </c>
    </row>
    <row r="163" spans="1:10" x14ac:dyDescent="0.25">
      <c r="A163" s="1415">
        <v>2.4</v>
      </c>
      <c r="B163" s="1416" t="s">
        <v>846</v>
      </c>
      <c r="C163" s="1450" t="s">
        <v>835</v>
      </c>
      <c r="D163" s="1404" t="s">
        <v>983</v>
      </c>
      <c r="E163" s="1405">
        <v>162</v>
      </c>
      <c r="F163" s="1418">
        <v>8.3000000000000007</v>
      </c>
      <c r="G163" s="1417" t="s">
        <v>834</v>
      </c>
      <c r="H163" s="728" t="s">
        <v>836</v>
      </c>
      <c r="I163" s="728" t="s">
        <v>960</v>
      </c>
      <c r="J163" s="1411" t="s">
        <v>837</v>
      </c>
    </row>
    <row r="164" spans="1:10" x14ac:dyDescent="0.25">
      <c r="A164" s="1415">
        <v>2.5</v>
      </c>
      <c r="B164" s="1416" t="s">
        <v>849</v>
      </c>
      <c r="C164" s="1450" t="s">
        <v>835</v>
      </c>
      <c r="D164" s="1404" t="s">
        <v>983</v>
      </c>
      <c r="E164" s="1405">
        <v>163</v>
      </c>
      <c r="F164" s="1418">
        <v>8.4</v>
      </c>
      <c r="G164" s="1417" t="s">
        <v>958</v>
      </c>
      <c r="H164" s="728" t="s">
        <v>836</v>
      </c>
      <c r="I164" s="728" t="s">
        <v>960</v>
      </c>
      <c r="J164" s="1411" t="s">
        <v>959</v>
      </c>
    </row>
    <row r="165" spans="1:10" ht="15.75" thickBot="1" x14ac:dyDescent="0.3">
      <c r="A165" s="1415">
        <v>2.6</v>
      </c>
      <c r="B165" s="1416" t="s">
        <v>850</v>
      </c>
      <c r="C165" s="1450" t="s">
        <v>835</v>
      </c>
      <c r="D165" s="1404" t="s">
        <v>983</v>
      </c>
      <c r="E165" s="1405">
        <v>164</v>
      </c>
      <c r="F165" s="1451">
        <v>8.5</v>
      </c>
      <c r="G165" s="1462" t="s">
        <v>834</v>
      </c>
      <c r="H165" s="1463" t="s">
        <v>836</v>
      </c>
      <c r="I165" s="728" t="s">
        <v>960</v>
      </c>
      <c r="J165" s="1454" t="s">
        <v>837</v>
      </c>
    </row>
    <row r="166" spans="1:10" ht="15.75" thickTop="1" x14ac:dyDescent="0.25">
      <c r="A166" s="1419" t="s">
        <v>851</v>
      </c>
      <c r="B166" s="1416" t="s">
        <v>548</v>
      </c>
      <c r="C166" s="1450" t="s">
        <v>835</v>
      </c>
      <c r="D166" s="1404" t="s">
        <v>983</v>
      </c>
      <c r="E166" s="1405">
        <v>165</v>
      </c>
      <c r="F166" s="1406" t="s">
        <v>693</v>
      </c>
      <c r="G166" s="1464" t="s">
        <v>834</v>
      </c>
      <c r="H166" s="728" t="s">
        <v>836</v>
      </c>
      <c r="I166" s="728" t="s">
        <v>984</v>
      </c>
      <c r="J166" s="1449" t="s">
        <v>837</v>
      </c>
    </row>
    <row r="167" spans="1:10" x14ac:dyDescent="0.25">
      <c r="A167" s="1415" t="s">
        <v>852</v>
      </c>
      <c r="B167" s="1416" t="s">
        <v>853</v>
      </c>
      <c r="C167" s="1450" t="s">
        <v>835</v>
      </c>
      <c r="D167" s="1404" t="s">
        <v>983</v>
      </c>
      <c r="E167" s="1405">
        <v>166</v>
      </c>
      <c r="F167" s="1406" t="s">
        <v>695</v>
      </c>
      <c r="G167" s="1410" t="s">
        <v>839</v>
      </c>
      <c r="H167" s="728" t="s">
        <v>836</v>
      </c>
      <c r="I167" s="728" t="s">
        <v>984</v>
      </c>
      <c r="J167" s="1411" t="s">
        <v>840</v>
      </c>
    </row>
    <row r="168" spans="1:10" x14ac:dyDescent="0.25">
      <c r="A168" s="1415">
        <v>2.8</v>
      </c>
      <c r="B168" s="1416" t="s">
        <v>855</v>
      </c>
      <c r="C168" s="1450" t="s">
        <v>835</v>
      </c>
      <c r="D168" s="1404" t="s">
        <v>983</v>
      </c>
      <c r="E168" s="1405">
        <v>167</v>
      </c>
      <c r="F168" s="1418">
        <v>1.2</v>
      </c>
      <c r="G168" s="1417" t="s">
        <v>961</v>
      </c>
      <c r="H168" s="728" t="s">
        <v>836</v>
      </c>
      <c r="I168" s="728" t="s">
        <v>984</v>
      </c>
      <c r="J168" s="1411" t="s">
        <v>842</v>
      </c>
    </row>
    <row r="169" spans="1:10" x14ac:dyDescent="0.25">
      <c r="A169" s="1415">
        <v>2.9</v>
      </c>
      <c r="B169" s="1416" t="s">
        <v>858</v>
      </c>
      <c r="C169" s="1450" t="s">
        <v>835</v>
      </c>
      <c r="D169" s="1404" t="s">
        <v>983</v>
      </c>
      <c r="E169" s="1405">
        <v>168</v>
      </c>
      <c r="F169" s="1406" t="s">
        <v>698</v>
      </c>
      <c r="G169" s="1417" t="s">
        <v>834</v>
      </c>
      <c r="H169" s="728" t="s">
        <v>836</v>
      </c>
      <c r="I169" s="728" t="s">
        <v>984</v>
      </c>
      <c r="J169" s="1411" t="s">
        <v>837</v>
      </c>
    </row>
    <row r="170" spans="1:10" x14ac:dyDescent="0.25">
      <c r="A170" s="1420" t="s">
        <v>717</v>
      </c>
      <c r="B170" s="1413" t="s">
        <v>850</v>
      </c>
      <c r="C170" s="1450" t="s">
        <v>835</v>
      </c>
      <c r="D170" s="1404" t="s">
        <v>983</v>
      </c>
      <c r="E170" s="1405">
        <v>169</v>
      </c>
      <c r="F170" s="1406" t="s">
        <v>700</v>
      </c>
      <c r="G170" s="1417" t="s">
        <v>844</v>
      </c>
      <c r="H170" s="728" t="s">
        <v>836</v>
      </c>
      <c r="I170" s="728" t="s">
        <v>984</v>
      </c>
      <c r="J170" s="1411" t="s">
        <v>845</v>
      </c>
    </row>
    <row r="171" spans="1:10" x14ac:dyDescent="0.25">
      <c r="A171" s="1414" t="s">
        <v>859</v>
      </c>
      <c r="B171" s="1409" t="s">
        <v>834</v>
      </c>
      <c r="C171" s="1450" t="s">
        <v>835</v>
      </c>
      <c r="D171" s="1404" t="s">
        <v>983</v>
      </c>
      <c r="E171" s="1405">
        <v>170</v>
      </c>
      <c r="F171" s="1418">
        <v>1.4</v>
      </c>
      <c r="G171" s="1417" t="s">
        <v>847</v>
      </c>
      <c r="H171" s="728" t="s">
        <v>836</v>
      </c>
      <c r="I171" s="728" t="s">
        <v>984</v>
      </c>
      <c r="J171" s="1411" t="s">
        <v>848</v>
      </c>
    </row>
    <row r="172" spans="1:10" x14ac:dyDescent="0.25">
      <c r="A172" s="1415" t="s">
        <v>862</v>
      </c>
      <c r="B172" s="1416" t="s">
        <v>834</v>
      </c>
      <c r="C172" s="1450" t="s">
        <v>835</v>
      </c>
      <c r="D172" s="1404" t="s">
        <v>983</v>
      </c>
      <c r="E172" s="1405">
        <v>171</v>
      </c>
      <c r="F172" s="1418">
        <v>2.1</v>
      </c>
      <c r="G172" s="1417" t="s">
        <v>834</v>
      </c>
      <c r="H172" s="728" t="s">
        <v>836</v>
      </c>
      <c r="I172" s="728" t="s">
        <v>984</v>
      </c>
      <c r="J172" s="1411" t="s">
        <v>837</v>
      </c>
    </row>
    <row r="173" spans="1:10" x14ac:dyDescent="0.25">
      <c r="A173" s="1415" t="s">
        <v>723</v>
      </c>
      <c r="B173" s="1421" t="s">
        <v>864</v>
      </c>
      <c r="C173" s="1450" t="s">
        <v>835</v>
      </c>
      <c r="D173" s="1404" t="s">
        <v>983</v>
      </c>
      <c r="E173" s="1405">
        <v>172</v>
      </c>
      <c r="F173" s="1418">
        <v>2.2000000000000002</v>
      </c>
      <c r="G173" s="1417" t="s">
        <v>548</v>
      </c>
      <c r="H173" s="728" t="s">
        <v>836</v>
      </c>
      <c r="I173" s="728" t="s">
        <v>984</v>
      </c>
      <c r="J173" s="1411" t="s">
        <v>548</v>
      </c>
    </row>
    <row r="174" spans="1:10" x14ac:dyDescent="0.25">
      <c r="A174" s="1415" t="s">
        <v>724</v>
      </c>
      <c r="B174" s="1416" t="s">
        <v>846</v>
      </c>
      <c r="C174" s="1450" t="s">
        <v>835</v>
      </c>
      <c r="D174" s="1404" t="s">
        <v>983</v>
      </c>
      <c r="E174" s="1405">
        <v>173</v>
      </c>
      <c r="F174" s="1418">
        <v>2.2999999999999998</v>
      </c>
      <c r="G174" s="1417" t="s">
        <v>834</v>
      </c>
      <c r="H174" s="728" t="s">
        <v>836</v>
      </c>
      <c r="I174" s="728" t="s">
        <v>984</v>
      </c>
      <c r="J174" s="1411" t="s">
        <v>837</v>
      </c>
    </row>
    <row r="175" spans="1:10" x14ac:dyDescent="0.25">
      <c r="A175" s="1415" t="s">
        <v>725</v>
      </c>
      <c r="B175" s="1416" t="s">
        <v>866</v>
      </c>
      <c r="C175" s="1450" t="s">
        <v>835</v>
      </c>
      <c r="D175" s="1404" t="s">
        <v>983</v>
      </c>
      <c r="E175" s="1405">
        <v>174</v>
      </c>
      <c r="F175" s="1418">
        <v>2.4</v>
      </c>
      <c r="G175" s="1410" t="s">
        <v>846</v>
      </c>
      <c r="H175" s="728" t="s">
        <v>836</v>
      </c>
      <c r="I175" s="728" t="s">
        <v>984</v>
      </c>
      <c r="J175" s="1411" t="s">
        <v>854</v>
      </c>
    </row>
    <row r="176" spans="1:10" x14ac:dyDescent="0.25">
      <c r="A176" s="1415" t="s">
        <v>867</v>
      </c>
      <c r="B176" s="1421" t="s">
        <v>868</v>
      </c>
      <c r="C176" s="1450" t="s">
        <v>835</v>
      </c>
      <c r="D176" s="1404" t="s">
        <v>983</v>
      </c>
      <c r="E176" s="1405">
        <v>175</v>
      </c>
      <c r="F176" s="1418">
        <v>2.5</v>
      </c>
      <c r="G176" s="1410" t="s">
        <v>856</v>
      </c>
      <c r="H176" s="728" t="s">
        <v>836</v>
      </c>
      <c r="I176" s="728" t="s">
        <v>984</v>
      </c>
      <c r="J176" s="1411" t="s">
        <v>857</v>
      </c>
    </row>
    <row r="177" spans="1:10" x14ac:dyDescent="0.25">
      <c r="A177" s="1415" t="s">
        <v>869</v>
      </c>
      <c r="B177" s="1416" t="s">
        <v>870</v>
      </c>
      <c r="C177" s="1450" t="s">
        <v>835</v>
      </c>
      <c r="D177" s="1404" t="s">
        <v>983</v>
      </c>
      <c r="E177" s="1405">
        <v>176</v>
      </c>
      <c r="F177" s="1418">
        <v>2.6</v>
      </c>
      <c r="G177" s="1417" t="s">
        <v>834</v>
      </c>
      <c r="H177" s="728" t="s">
        <v>836</v>
      </c>
      <c r="I177" s="728" t="s">
        <v>984</v>
      </c>
      <c r="J177" s="1411" t="s">
        <v>837</v>
      </c>
    </row>
    <row r="178" spans="1:10" x14ac:dyDescent="0.25">
      <c r="A178" s="1415" t="s">
        <v>874</v>
      </c>
      <c r="B178" s="1413" t="s">
        <v>834</v>
      </c>
      <c r="C178" s="1450" t="s">
        <v>835</v>
      </c>
      <c r="D178" s="1404" t="s">
        <v>983</v>
      </c>
      <c r="E178" s="1405">
        <v>177</v>
      </c>
      <c r="F178" s="1406" t="s">
        <v>711</v>
      </c>
      <c r="G178" s="1410" t="s">
        <v>834</v>
      </c>
      <c r="H178" s="754" t="s">
        <v>836</v>
      </c>
      <c r="I178" s="728" t="s">
        <v>984</v>
      </c>
      <c r="J178" s="1411" t="s">
        <v>837</v>
      </c>
    </row>
    <row r="179" spans="1:10" x14ac:dyDescent="0.25">
      <c r="A179" s="1424" t="s">
        <v>876</v>
      </c>
      <c r="B179" s="1425" t="s">
        <v>834</v>
      </c>
      <c r="C179" s="1450" t="s">
        <v>835</v>
      </c>
      <c r="D179" s="1404" t="s">
        <v>983</v>
      </c>
      <c r="E179" s="1405">
        <v>178</v>
      </c>
      <c r="F179" s="1406" t="s">
        <v>713</v>
      </c>
      <c r="G179" s="1410" t="s">
        <v>860</v>
      </c>
      <c r="H179" s="754" t="s">
        <v>836</v>
      </c>
      <c r="I179" s="728" t="s">
        <v>984</v>
      </c>
      <c r="J179" s="1411" t="s">
        <v>861</v>
      </c>
    </row>
    <row r="180" spans="1:10" x14ac:dyDescent="0.25">
      <c r="A180" s="1426" t="s">
        <v>880</v>
      </c>
      <c r="B180" s="1427" t="s">
        <v>870</v>
      </c>
      <c r="C180" s="1450" t="s">
        <v>835</v>
      </c>
      <c r="D180" s="1404" t="s">
        <v>983</v>
      </c>
      <c r="E180" s="1405">
        <v>179</v>
      </c>
      <c r="F180" s="1418">
        <v>2.8</v>
      </c>
      <c r="G180" s="1417" t="s">
        <v>963</v>
      </c>
      <c r="H180" s="728" t="s">
        <v>836</v>
      </c>
      <c r="I180" s="728" t="s">
        <v>984</v>
      </c>
      <c r="J180" s="1411" t="s">
        <v>964</v>
      </c>
    </row>
    <row r="181" spans="1:10" x14ac:dyDescent="0.25">
      <c r="A181" s="1426" t="s">
        <v>882</v>
      </c>
      <c r="B181" s="1429" t="s">
        <v>883</v>
      </c>
      <c r="C181" s="1450" t="s">
        <v>835</v>
      </c>
      <c r="D181" s="1404" t="s">
        <v>983</v>
      </c>
      <c r="E181" s="1405">
        <v>180</v>
      </c>
      <c r="F181" s="1418">
        <v>2.9</v>
      </c>
      <c r="G181" s="1417" t="s">
        <v>846</v>
      </c>
      <c r="H181" s="728" t="s">
        <v>836</v>
      </c>
      <c r="I181" s="728" t="s">
        <v>984</v>
      </c>
      <c r="J181" s="1411" t="s">
        <v>854</v>
      </c>
    </row>
    <row r="182" spans="1:10" x14ac:dyDescent="0.25">
      <c r="A182" s="1430" t="s">
        <v>886</v>
      </c>
      <c r="B182" s="1431" t="s">
        <v>548</v>
      </c>
      <c r="C182" s="1450" t="s">
        <v>835</v>
      </c>
      <c r="D182" s="1404" t="s">
        <v>983</v>
      </c>
      <c r="E182" s="1405">
        <v>181</v>
      </c>
      <c r="F182" s="1422" t="s">
        <v>717</v>
      </c>
      <c r="G182" s="1410" t="s">
        <v>850</v>
      </c>
      <c r="H182" s="728" t="s">
        <v>836</v>
      </c>
      <c r="I182" s="728" t="s">
        <v>984</v>
      </c>
      <c r="J182" s="1411" t="s">
        <v>865</v>
      </c>
    </row>
    <row r="183" spans="1:10" x14ac:dyDescent="0.25">
      <c r="A183" s="1432" t="s">
        <v>887</v>
      </c>
      <c r="B183" s="1433" t="s">
        <v>834</v>
      </c>
      <c r="C183" s="1450" t="s">
        <v>835</v>
      </c>
      <c r="D183" s="1404" t="s">
        <v>983</v>
      </c>
      <c r="E183" s="1405">
        <v>182</v>
      </c>
      <c r="F183" s="1418">
        <v>3.1</v>
      </c>
      <c r="G183" s="1417" t="s">
        <v>834</v>
      </c>
      <c r="H183" s="728" t="s">
        <v>836</v>
      </c>
      <c r="I183" s="728" t="s">
        <v>984</v>
      </c>
      <c r="J183" s="1411" t="s">
        <v>837</v>
      </c>
    </row>
    <row r="184" spans="1:10" x14ac:dyDescent="0.25">
      <c r="A184" s="1434" t="s">
        <v>888</v>
      </c>
      <c r="B184" s="1433" t="s">
        <v>548</v>
      </c>
      <c r="C184" s="1450" t="s">
        <v>835</v>
      </c>
      <c r="D184" s="1404" t="s">
        <v>983</v>
      </c>
      <c r="E184" s="1405">
        <v>183</v>
      </c>
      <c r="F184" s="1418">
        <v>3.2</v>
      </c>
      <c r="G184" s="1417" t="s">
        <v>834</v>
      </c>
      <c r="H184" s="728" t="s">
        <v>836</v>
      </c>
      <c r="I184" s="728" t="s">
        <v>984</v>
      </c>
      <c r="J184" s="1411" t="s">
        <v>837</v>
      </c>
    </row>
    <row r="185" spans="1:10" x14ac:dyDescent="0.25">
      <c r="A185" s="1432" t="s">
        <v>892</v>
      </c>
      <c r="B185" s="1433" t="s">
        <v>846</v>
      </c>
      <c r="C185" s="1450" t="s">
        <v>835</v>
      </c>
      <c r="D185" s="1404" t="s">
        <v>983</v>
      </c>
      <c r="E185" s="1405">
        <v>184</v>
      </c>
      <c r="F185" s="1406" t="s">
        <v>871</v>
      </c>
      <c r="G185" s="1410" t="s">
        <v>872</v>
      </c>
      <c r="H185" s="754" t="s">
        <v>836</v>
      </c>
      <c r="I185" s="728" t="s">
        <v>984</v>
      </c>
      <c r="J185" s="1411" t="s">
        <v>873</v>
      </c>
    </row>
    <row r="186" spans="1:10" x14ac:dyDescent="0.25">
      <c r="A186" s="1434" t="s">
        <v>893</v>
      </c>
      <c r="B186" s="1433" t="s">
        <v>834</v>
      </c>
      <c r="C186" s="1450" t="s">
        <v>835</v>
      </c>
      <c r="D186" s="1404" t="s">
        <v>983</v>
      </c>
      <c r="E186" s="1405">
        <v>185</v>
      </c>
      <c r="F186" s="1406" t="s">
        <v>875</v>
      </c>
      <c r="G186" s="1410" t="s">
        <v>846</v>
      </c>
      <c r="H186" s="754" t="s">
        <v>836</v>
      </c>
      <c r="I186" s="728" t="s">
        <v>984</v>
      </c>
      <c r="J186" s="1411" t="s">
        <v>854</v>
      </c>
    </row>
    <row r="187" spans="1:10" x14ac:dyDescent="0.25">
      <c r="A187" s="1434" t="s">
        <v>896</v>
      </c>
      <c r="B187" s="1435" t="s">
        <v>897</v>
      </c>
      <c r="C187" s="1450" t="s">
        <v>835</v>
      </c>
      <c r="D187" s="1404" t="s">
        <v>983</v>
      </c>
      <c r="E187" s="1405">
        <v>186</v>
      </c>
      <c r="F187" s="1406" t="s">
        <v>877</v>
      </c>
      <c r="G187" s="1417" t="s">
        <v>878</v>
      </c>
      <c r="H187" s="754" t="s">
        <v>836</v>
      </c>
      <c r="I187" s="728" t="s">
        <v>984</v>
      </c>
      <c r="J187" s="1411" t="s">
        <v>879</v>
      </c>
    </row>
    <row r="188" spans="1:10" x14ac:dyDescent="0.25">
      <c r="A188" s="1434" t="s">
        <v>900</v>
      </c>
      <c r="B188" s="1433" t="s">
        <v>850</v>
      </c>
      <c r="C188" s="1450" t="s">
        <v>835</v>
      </c>
      <c r="D188" s="1404" t="s">
        <v>983</v>
      </c>
      <c r="E188" s="1405">
        <v>187</v>
      </c>
      <c r="F188" s="1418">
        <v>3.4</v>
      </c>
      <c r="G188" s="1417" t="s">
        <v>881</v>
      </c>
      <c r="H188" s="728" t="s">
        <v>836</v>
      </c>
      <c r="I188" s="728" t="s">
        <v>984</v>
      </c>
      <c r="J188" s="1411" t="s">
        <v>873</v>
      </c>
    </row>
    <row r="189" spans="1:10" x14ac:dyDescent="0.25">
      <c r="A189" s="1434" t="s">
        <v>901</v>
      </c>
      <c r="B189" s="1433" t="s">
        <v>834</v>
      </c>
      <c r="C189" s="1450" t="s">
        <v>835</v>
      </c>
      <c r="D189" s="1404" t="s">
        <v>983</v>
      </c>
      <c r="E189" s="1405">
        <v>188</v>
      </c>
      <c r="F189" s="1418">
        <v>3.5</v>
      </c>
      <c r="G189" s="1410" t="s">
        <v>884</v>
      </c>
      <c r="H189" s="728" t="s">
        <v>836</v>
      </c>
      <c r="I189" s="728" t="s">
        <v>984</v>
      </c>
      <c r="J189" s="1411" t="s">
        <v>885</v>
      </c>
    </row>
    <row r="190" spans="1:10" x14ac:dyDescent="0.25">
      <c r="A190" s="1434" t="s">
        <v>902</v>
      </c>
      <c r="B190" s="1433" t="s">
        <v>548</v>
      </c>
      <c r="C190" s="1450" t="s">
        <v>835</v>
      </c>
      <c r="D190" s="1404" t="s">
        <v>983</v>
      </c>
      <c r="E190" s="1405">
        <v>189</v>
      </c>
      <c r="F190" s="1418">
        <v>3.6</v>
      </c>
      <c r="G190" s="1417" t="s">
        <v>834</v>
      </c>
      <c r="H190" s="728" t="s">
        <v>836</v>
      </c>
      <c r="I190" s="728" t="s">
        <v>984</v>
      </c>
      <c r="J190" s="1411" t="s">
        <v>837</v>
      </c>
    </row>
    <row r="191" spans="1:10" x14ac:dyDescent="0.25">
      <c r="A191" s="1432" t="s">
        <v>905</v>
      </c>
      <c r="B191" s="1433" t="s">
        <v>843</v>
      </c>
      <c r="C191" s="1450" t="s">
        <v>835</v>
      </c>
      <c r="D191" s="1404" t="s">
        <v>983</v>
      </c>
      <c r="E191" s="1405">
        <v>190</v>
      </c>
      <c r="F191" s="1406" t="s">
        <v>732</v>
      </c>
      <c r="G191" s="1417" t="s">
        <v>834</v>
      </c>
      <c r="H191" s="754" t="s">
        <v>836</v>
      </c>
      <c r="I191" s="728" t="s">
        <v>984</v>
      </c>
      <c r="J191" s="1411" t="s">
        <v>837</v>
      </c>
    </row>
    <row r="192" spans="1:10" x14ac:dyDescent="0.25">
      <c r="A192" s="1434" t="s">
        <v>906</v>
      </c>
      <c r="B192" s="1433" t="s">
        <v>907</v>
      </c>
      <c r="C192" s="1450" t="s">
        <v>835</v>
      </c>
      <c r="D192" s="1404" t="s">
        <v>983</v>
      </c>
      <c r="E192" s="1405">
        <v>191</v>
      </c>
      <c r="F192" s="1406" t="s">
        <v>734</v>
      </c>
      <c r="G192" s="1417" t="s">
        <v>966</v>
      </c>
      <c r="H192" s="754" t="s">
        <v>836</v>
      </c>
      <c r="I192" s="728" t="s">
        <v>984</v>
      </c>
      <c r="J192" s="1411" t="s">
        <v>891</v>
      </c>
    </row>
    <row r="193" spans="1:10" x14ac:dyDescent="0.25">
      <c r="A193" s="1434" t="s">
        <v>910</v>
      </c>
      <c r="B193" s="1433" t="s">
        <v>911</v>
      </c>
      <c r="C193" s="1450" t="s">
        <v>835</v>
      </c>
      <c r="D193" s="1404" t="s">
        <v>983</v>
      </c>
      <c r="E193" s="1405">
        <v>192</v>
      </c>
      <c r="F193" s="1418">
        <v>4.2</v>
      </c>
      <c r="G193" s="1417" t="s">
        <v>935</v>
      </c>
      <c r="H193" s="728" t="s">
        <v>836</v>
      </c>
      <c r="I193" s="728" t="s">
        <v>984</v>
      </c>
      <c r="J193" s="1411" t="s">
        <v>909</v>
      </c>
    </row>
    <row r="194" spans="1:10" x14ac:dyDescent="0.25">
      <c r="A194" s="1434" t="s">
        <v>913</v>
      </c>
      <c r="B194" s="1433" t="s">
        <v>914</v>
      </c>
      <c r="C194" s="1450" t="s">
        <v>835</v>
      </c>
      <c r="D194" s="1404" t="s">
        <v>983</v>
      </c>
      <c r="E194" s="1405">
        <v>193</v>
      </c>
      <c r="F194" s="1418">
        <v>4.3</v>
      </c>
      <c r="G194" s="1410" t="s">
        <v>894</v>
      </c>
      <c r="H194" s="728" t="s">
        <v>836</v>
      </c>
      <c r="I194" s="728" t="s">
        <v>984</v>
      </c>
      <c r="J194" s="1411" t="s">
        <v>895</v>
      </c>
    </row>
    <row r="195" spans="1:10" x14ac:dyDescent="0.25">
      <c r="A195" s="1434" t="s">
        <v>915</v>
      </c>
      <c r="B195" s="1433" t="s">
        <v>834</v>
      </c>
      <c r="C195" s="1450" t="s">
        <v>835</v>
      </c>
      <c r="D195" s="1404" t="s">
        <v>983</v>
      </c>
      <c r="E195" s="1405">
        <v>194</v>
      </c>
      <c r="F195" s="1418">
        <v>4.4000000000000004</v>
      </c>
      <c r="G195" s="1410" t="s">
        <v>898</v>
      </c>
      <c r="H195" s="728" t="s">
        <v>836</v>
      </c>
      <c r="I195" s="728" t="s">
        <v>984</v>
      </c>
      <c r="J195" s="1411" t="s">
        <v>899</v>
      </c>
    </row>
    <row r="196" spans="1:10" x14ac:dyDescent="0.25">
      <c r="A196" s="1434" t="s">
        <v>764</v>
      </c>
      <c r="B196" s="1433" t="s">
        <v>916</v>
      </c>
      <c r="C196" s="1450" t="s">
        <v>835</v>
      </c>
      <c r="D196" s="1404" t="s">
        <v>983</v>
      </c>
      <c r="E196" s="1405">
        <v>195</v>
      </c>
      <c r="F196" s="1406" t="s">
        <v>741</v>
      </c>
      <c r="G196" s="1417" t="s">
        <v>548</v>
      </c>
      <c r="H196" s="754" t="s">
        <v>836</v>
      </c>
      <c r="I196" s="728" t="s">
        <v>984</v>
      </c>
      <c r="J196" s="1411" t="s">
        <v>548</v>
      </c>
    </row>
    <row r="197" spans="1:10" x14ac:dyDescent="0.25">
      <c r="A197" s="1434">
        <v>5.1100000000000003</v>
      </c>
      <c r="B197" s="1433" t="s">
        <v>967</v>
      </c>
      <c r="C197" s="1450" t="s">
        <v>835</v>
      </c>
      <c r="D197" s="1404" t="s">
        <v>983</v>
      </c>
      <c r="E197" s="1405">
        <v>196</v>
      </c>
      <c r="F197" s="1406" t="s">
        <v>743</v>
      </c>
      <c r="G197" s="1417" t="s">
        <v>834</v>
      </c>
      <c r="H197" s="754" t="s">
        <v>836</v>
      </c>
      <c r="I197" s="728" t="s">
        <v>984</v>
      </c>
      <c r="J197" s="1411" t="s">
        <v>837</v>
      </c>
    </row>
    <row r="198" spans="1:10" x14ac:dyDescent="0.25">
      <c r="A198" s="1434">
        <v>5.12</v>
      </c>
      <c r="B198" s="1433" t="s">
        <v>858</v>
      </c>
      <c r="C198" s="1450" t="s">
        <v>835</v>
      </c>
      <c r="D198" s="1404" t="s">
        <v>983</v>
      </c>
      <c r="E198" s="1405">
        <v>197</v>
      </c>
      <c r="F198" s="1406" t="s">
        <v>745</v>
      </c>
      <c r="G198" s="1436" t="s">
        <v>548</v>
      </c>
      <c r="H198" s="754" t="s">
        <v>836</v>
      </c>
      <c r="I198" s="728" t="s">
        <v>984</v>
      </c>
      <c r="J198" s="1411" t="s">
        <v>548</v>
      </c>
    </row>
    <row r="199" spans="1:10" x14ac:dyDescent="0.25">
      <c r="A199" s="1437">
        <v>5.13</v>
      </c>
      <c r="B199" s="1438" t="s">
        <v>968</v>
      </c>
      <c r="C199" s="1450" t="s">
        <v>835</v>
      </c>
      <c r="D199" s="1404" t="s">
        <v>983</v>
      </c>
      <c r="E199" s="1405">
        <v>198</v>
      </c>
      <c r="F199" s="1406" t="s">
        <v>747</v>
      </c>
      <c r="G199" s="1417" t="s">
        <v>846</v>
      </c>
      <c r="H199" s="754" t="s">
        <v>836</v>
      </c>
      <c r="I199" s="728" t="s">
        <v>984</v>
      </c>
      <c r="J199" s="1411" t="s">
        <v>854</v>
      </c>
    </row>
    <row r="200" spans="1:10" x14ac:dyDescent="0.25">
      <c r="A200" s="1430" t="s">
        <v>918</v>
      </c>
      <c r="B200" s="1431" t="s">
        <v>834</v>
      </c>
      <c r="C200" s="1450" t="s">
        <v>835</v>
      </c>
      <c r="D200" s="1404" t="s">
        <v>983</v>
      </c>
      <c r="E200" s="1405">
        <v>199</v>
      </c>
      <c r="F200" s="1418">
        <v>5.3</v>
      </c>
      <c r="G200" s="1410" t="s">
        <v>908</v>
      </c>
      <c r="H200" s="728" t="s">
        <v>836</v>
      </c>
      <c r="I200" s="728" t="s">
        <v>984</v>
      </c>
      <c r="J200" s="1411" t="s">
        <v>909</v>
      </c>
    </row>
    <row r="201" spans="1:10" x14ac:dyDescent="0.25">
      <c r="A201" s="1434" t="s">
        <v>919</v>
      </c>
      <c r="B201" s="1433" t="s">
        <v>834</v>
      </c>
      <c r="C201" s="1450" t="s">
        <v>835</v>
      </c>
      <c r="D201" s="1404" t="s">
        <v>983</v>
      </c>
      <c r="E201" s="1405">
        <v>200</v>
      </c>
      <c r="F201" s="1418">
        <v>5.4</v>
      </c>
      <c r="G201" s="1417" t="s">
        <v>912</v>
      </c>
      <c r="H201" s="728" t="s">
        <v>836</v>
      </c>
      <c r="I201" s="728" t="s">
        <v>984</v>
      </c>
      <c r="J201" s="1411" t="s">
        <v>873</v>
      </c>
    </row>
    <row r="202" spans="1:10" x14ac:dyDescent="0.25">
      <c r="A202" s="1434" t="s">
        <v>920</v>
      </c>
      <c r="B202" s="1433" t="s">
        <v>866</v>
      </c>
      <c r="C202" s="1450" t="s">
        <v>835</v>
      </c>
      <c r="D202" s="1404" t="s">
        <v>983</v>
      </c>
      <c r="E202" s="1405">
        <v>201</v>
      </c>
      <c r="F202" s="1418">
        <v>5.5</v>
      </c>
      <c r="G202" s="1410" t="s">
        <v>850</v>
      </c>
      <c r="H202" s="728" t="s">
        <v>836</v>
      </c>
      <c r="I202" s="728" t="s">
        <v>984</v>
      </c>
      <c r="J202" s="1411" t="s">
        <v>865</v>
      </c>
    </row>
    <row r="203" spans="1:10" x14ac:dyDescent="0.25">
      <c r="A203" s="1434" t="s">
        <v>921</v>
      </c>
      <c r="B203" s="1433" t="s">
        <v>922</v>
      </c>
      <c r="C203" s="1450" t="s">
        <v>835</v>
      </c>
      <c r="D203" s="1404" t="s">
        <v>983</v>
      </c>
      <c r="E203" s="1405">
        <v>202</v>
      </c>
      <c r="F203" s="1418">
        <v>5.6</v>
      </c>
      <c r="G203" s="1417" t="s">
        <v>834</v>
      </c>
      <c r="H203" s="728" t="s">
        <v>836</v>
      </c>
      <c r="I203" s="728" t="s">
        <v>984</v>
      </c>
      <c r="J203" s="1411" t="s">
        <v>837</v>
      </c>
    </row>
    <row r="204" spans="1:10" x14ac:dyDescent="0.25">
      <c r="A204" s="1434" t="s">
        <v>923</v>
      </c>
      <c r="B204" s="1433" t="s">
        <v>866</v>
      </c>
      <c r="C204" s="1450" t="s">
        <v>835</v>
      </c>
      <c r="D204" s="1404" t="s">
        <v>983</v>
      </c>
      <c r="E204" s="1405">
        <v>203</v>
      </c>
      <c r="F204" s="1406" t="s">
        <v>753</v>
      </c>
      <c r="G204" s="1417" t="s">
        <v>548</v>
      </c>
      <c r="H204" s="754" t="s">
        <v>836</v>
      </c>
      <c r="I204" s="728" t="s">
        <v>984</v>
      </c>
      <c r="J204" s="1411" t="s">
        <v>548</v>
      </c>
    </row>
    <row r="205" spans="1:10" x14ac:dyDescent="0.25">
      <c r="A205" s="1434" t="s">
        <v>924</v>
      </c>
      <c r="B205" s="1433" t="s">
        <v>866</v>
      </c>
      <c r="C205" s="1450" t="s">
        <v>835</v>
      </c>
      <c r="D205" s="1404" t="s">
        <v>983</v>
      </c>
      <c r="E205" s="1405">
        <v>204</v>
      </c>
      <c r="F205" s="1406" t="s">
        <v>755</v>
      </c>
      <c r="G205" s="1417" t="s">
        <v>843</v>
      </c>
      <c r="H205" s="754" t="s">
        <v>836</v>
      </c>
      <c r="I205" s="728" t="s">
        <v>984</v>
      </c>
      <c r="J205" s="1411" t="s">
        <v>863</v>
      </c>
    </row>
    <row r="206" spans="1:10" x14ac:dyDescent="0.25">
      <c r="A206" s="1434" t="s">
        <v>925</v>
      </c>
      <c r="B206" s="1433" t="s">
        <v>846</v>
      </c>
      <c r="C206" s="1450" t="s">
        <v>835</v>
      </c>
      <c r="D206" s="1404" t="s">
        <v>983</v>
      </c>
      <c r="E206" s="1405">
        <v>205</v>
      </c>
      <c r="F206" s="1406" t="s">
        <v>757</v>
      </c>
      <c r="G206" s="1417" t="s">
        <v>970</v>
      </c>
      <c r="H206" s="754" t="s">
        <v>836</v>
      </c>
      <c r="I206" s="728" t="s">
        <v>984</v>
      </c>
      <c r="J206" s="1455" t="s">
        <v>971</v>
      </c>
    </row>
    <row r="207" spans="1:10" x14ac:dyDescent="0.25">
      <c r="A207" s="1434" t="s">
        <v>926</v>
      </c>
      <c r="B207" s="1433" t="s">
        <v>846</v>
      </c>
      <c r="C207" s="1450" t="s">
        <v>835</v>
      </c>
      <c r="D207" s="1404" t="s">
        <v>983</v>
      </c>
      <c r="E207" s="1405">
        <v>206</v>
      </c>
      <c r="F207" s="1406" t="s">
        <v>759</v>
      </c>
      <c r="G207" s="1410" t="s">
        <v>911</v>
      </c>
      <c r="H207" s="754" t="s">
        <v>836</v>
      </c>
      <c r="I207" s="728" t="s">
        <v>984</v>
      </c>
      <c r="J207" s="1411" t="s">
        <v>917</v>
      </c>
    </row>
    <row r="208" spans="1:10" x14ac:dyDescent="0.25">
      <c r="A208" s="1437" t="s">
        <v>927</v>
      </c>
      <c r="B208" s="1438" t="s">
        <v>928</v>
      </c>
      <c r="C208" s="1450" t="s">
        <v>835</v>
      </c>
      <c r="D208" s="1404" t="s">
        <v>983</v>
      </c>
      <c r="E208" s="1405">
        <v>207</v>
      </c>
      <c r="F208" s="1406" t="s">
        <v>761</v>
      </c>
      <c r="G208" s="1417" t="s">
        <v>972</v>
      </c>
      <c r="H208" s="754" t="s">
        <v>836</v>
      </c>
      <c r="I208" s="728" t="s">
        <v>984</v>
      </c>
      <c r="J208" s="1439" t="s">
        <v>973</v>
      </c>
    </row>
    <row r="209" spans="1:10" x14ac:dyDescent="0.25">
      <c r="A209" s="1430" t="s">
        <v>929</v>
      </c>
      <c r="B209" s="1431" t="s">
        <v>834</v>
      </c>
      <c r="C209" s="1450" t="s">
        <v>835</v>
      </c>
      <c r="D209" s="1404" t="s">
        <v>983</v>
      </c>
      <c r="E209" s="1405">
        <v>208</v>
      </c>
      <c r="F209" s="1418">
        <v>5.9</v>
      </c>
      <c r="G209" s="1417" t="s">
        <v>834</v>
      </c>
      <c r="H209" s="728" t="s">
        <v>836</v>
      </c>
      <c r="I209" s="728" t="s">
        <v>984</v>
      </c>
      <c r="J209" s="1411" t="s">
        <v>837</v>
      </c>
    </row>
    <row r="210" spans="1:10" x14ac:dyDescent="0.25">
      <c r="A210" s="1434" t="s">
        <v>932</v>
      </c>
      <c r="B210" s="1435" t="s">
        <v>933</v>
      </c>
      <c r="C210" s="1450" t="s">
        <v>835</v>
      </c>
      <c r="D210" s="1404" t="s">
        <v>983</v>
      </c>
      <c r="E210" s="1405">
        <v>209</v>
      </c>
      <c r="F210" s="1422" t="s">
        <v>764</v>
      </c>
      <c r="G210" s="1417" t="s">
        <v>985</v>
      </c>
      <c r="H210" s="728" t="s">
        <v>836</v>
      </c>
      <c r="I210" s="728" t="s">
        <v>984</v>
      </c>
      <c r="J210" s="1411" t="s">
        <v>975</v>
      </c>
    </row>
    <row r="211" spans="1:10" x14ac:dyDescent="0.25">
      <c r="A211" s="1434" t="s">
        <v>934</v>
      </c>
      <c r="B211" s="1433" t="s">
        <v>935</v>
      </c>
      <c r="C211" s="1450" t="s">
        <v>835</v>
      </c>
      <c r="D211" s="1404" t="s">
        <v>983</v>
      </c>
      <c r="E211" s="1405">
        <v>210</v>
      </c>
      <c r="F211" s="1418">
        <v>5.1100000000000003</v>
      </c>
      <c r="G211" s="1417" t="s">
        <v>967</v>
      </c>
      <c r="H211" s="728" t="s">
        <v>836</v>
      </c>
      <c r="I211" s="728" t="s">
        <v>984</v>
      </c>
      <c r="J211" s="1411" t="s">
        <v>977</v>
      </c>
    </row>
    <row r="212" spans="1:10" x14ac:dyDescent="0.25">
      <c r="A212" s="1434" t="s">
        <v>937</v>
      </c>
      <c r="B212" s="1433" t="s">
        <v>834</v>
      </c>
      <c r="C212" s="1450" t="s">
        <v>835</v>
      </c>
      <c r="D212" s="1404" t="s">
        <v>983</v>
      </c>
      <c r="E212" s="1405">
        <v>211</v>
      </c>
      <c r="F212" s="1418">
        <v>5.12</v>
      </c>
      <c r="G212" s="1417" t="s">
        <v>858</v>
      </c>
      <c r="H212" s="728" t="s">
        <v>836</v>
      </c>
      <c r="I212" s="728" t="s">
        <v>984</v>
      </c>
      <c r="J212" s="1411">
        <v>10</v>
      </c>
    </row>
    <row r="213" spans="1:10" x14ac:dyDescent="0.25">
      <c r="A213" s="1432" t="s">
        <v>938</v>
      </c>
      <c r="B213" s="1433" t="s">
        <v>548</v>
      </c>
      <c r="C213" s="1450" t="s">
        <v>835</v>
      </c>
      <c r="D213" s="1404" t="s">
        <v>983</v>
      </c>
      <c r="E213" s="1405">
        <v>212</v>
      </c>
      <c r="F213" s="1418">
        <v>5.13</v>
      </c>
      <c r="G213" s="1417" t="s">
        <v>986</v>
      </c>
      <c r="H213" s="728" t="s">
        <v>836</v>
      </c>
      <c r="I213" s="728" t="s">
        <v>984</v>
      </c>
      <c r="J213" s="1411" t="s">
        <v>979</v>
      </c>
    </row>
    <row r="214" spans="1:10" x14ac:dyDescent="0.25">
      <c r="A214" s="1434" t="s">
        <v>939</v>
      </c>
      <c r="B214" s="1433" t="s">
        <v>548</v>
      </c>
      <c r="C214" s="1450" t="s">
        <v>835</v>
      </c>
      <c r="D214" s="1404" t="s">
        <v>983</v>
      </c>
      <c r="E214" s="1405">
        <v>213</v>
      </c>
      <c r="F214" s="1418">
        <v>6.1</v>
      </c>
      <c r="G214" s="1417" t="s">
        <v>834</v>
      </c>
      <c r="H214" s="728" t="s">
        <v>836</v>
      </c>
      <c r="I214" s="728" t="s">
        <v>984</v>
      </c>
      <c r="J214" s="1411" t="s">
        <v>837</v>
      </c>
    </row>
    <row r="215" spans="1:10" x14ac:dyDescent="0.25">
      <c r="A215" s="1432" t="s">
        <v>941</v>
      </c>
      <c r="B215" s="1433" t="s">
        <v>850</v>
      </c>
      <c r="C215" s="1450" t="s">
        <v>835</v>
      </c>
      <c r="D215" s="1404" t="s">
        <v>983</v>
      </c>
      <c r="E215" s="1405">
        <v>214</v>
      </c>
      <c r="F215" s="1418">
        <v>6.2</v>
      </c>
      <c r="G215" s="1417" t="s">
        <v>834</v>
      </c>
      <c r="H215" s="728" t="s">
        <v>836</v>
      </c>
      <c r="I215" s="728" t="s">
        <v>984</v>
      </c>
      <c r="J215" s="1411" t="s">
        <v>837</v>
      </c>
    </row>
    <row r="216" spans="1:10" x14ac:dyDescent="0.25">
      <c r="A216" s="1434">
        <v>7.5</v>
      </c>
      <c r="B216" s="1433" t="s">
        <v>834</v>
      </c>
      <c r="C216" s="1450" t="s">
        <v>835</v>
      </c>
      <c r="D216" s="1404" t="s">
        <v>983</v>
      </c>
      <c r="E216" s="1405">
        <v>215</v>
      </c>
      <c r="F216" s="1418">
        <v>6.3</v>
      </c>
      <c r="G216" s="1417" t="s">
        <v>878</v>
      </c>
      <c r="H216" s="728" t="s">
        <v>836</v>
      </c>
      <c r="I216" s="728" t="s">
        <v>984</v>
      </c>
      <c r="J216" s="1439" t="s">
        <v>879</v>
      </c>
    </row>
    <row r="217" spans="1:10" x14ac:dyDescent="0.25">
      <c r="A217" s="1434">
        <v>7.6</v>
      </c>
      <c r="B217" s="1433" t="s">
        <v>834</v>
      </c>
      <c r="C217" s="1450" t="s">
        <v>835</v>
      </c>
      <c r="D217" s="1404" t="s">
        <v>983</v>
      </c>
      <c r="E217" s="1405">
        <v>216</v>
      </c>
      <c r="F217" s="1418">
        <v>6.4</v>
      </c>
      <c r="G217" s="1417" t="s">
        <v>930</v>
      </c>
      <c r="H217" s="728" t="s">
        <v>836</v>
      </c>
      <c r="I217" s="728" t="s">
        <v>984</v>
      </c>
      <c r="J217" s="1411" t="s">
        <v>931</v>
      </c>
    </row>
    <row r="218" spans="1:10" x14ac:dyDescent="0.25">
      <c r="A218" s="1434">
        <v>7.7</v>
      </c>
      <c r="B218" s="1433" t="s">
        <v>834</v>
      </c>
      <c r="C218" s="1450" t="s">
        <v>835</v>
      </c>
      <c r="D218" s="1404" t="s">
        <v>983</v>
      </c>
      <c r="E218" s="1405">
        <v>217</v>
      </c>
      <c r="F218" s="1406" t="s">
        <v>774</v>
      </c>
      <c r="G218" s="1410" t="s">
        <v>843</v>
      </c>
      <c r="H218" s="754" t="s">
        <v>836</v>
      </c>
      <c r="I218" s="728" t="s">
        <v>984</v>
      </c>
      <c r="J218" s="1411" t="s">
        <v>863</v>
      </c>
    </row>
    <row r="219" spans="1:10" x14ac:dyDescent="0.25">
      <c r="A219" s="1434">
        <v>7.8</v>
      </c>
      <c r="B219" s="1433" t="s">
        <v>834</v>
      </c>
      <c r="C219" s="1450" t="s">
        <v>835</v>
      </c>
      <c r="D219" s="1404" t="s">
        <v>983</v>
      </c>
      <c r="E219" s="1405">
        <v>218</v>
      </c>
      <c r="F219" s="1406" t="s">
        <v>776</v>
      </c>
      <c r="G219" s="1410" t="s">
        <v>936</v>
      </c>
      <c r="H219" s="754" t="s">
        <v>836</v>
      </c>
      <c r="I219" s="728" t="s">
        <v>984</v>
      </c>
      <c r="J219" s="1411" t="s">
        <v>863</v>
      </c>
    </row>
    <row r="220" spans="1:10" x14ac:dyDescent="0.25">
      <c r="A220" s="1440" t="s">
        <v>944</v>
      </c>
      <c r="B220" s="1433" t="s">
        <v>548</v>
      </c>
      <c r="C220" s="1450" t="s">
        <v>835</v>
      </c>
      <c r="D220" s="1404" t="s">
        <v>983</v>
      </c>
      <c r="E220" s="1405">
        <v>219</v>
      </c>
      <c r="F220" s="1418">
        <v>6.6</v>
      </c>
      <c r="G220" s="1417" t="s">
        <v>841</v>
      </c>
      <c r="H220" s="728" t="s">
        <v>836</v>
      </c>
      <c r="I220" s="728" t="s">
        <v>984</v>
      </c>
      <c r="J220" s="1439" t="s">
        <v>842</v>
      </c>
    </row>
    <row r="221" spans="1:10" x14ac:dyDescent="0.25">
      <c r="A221" s="1434" t="s">
        <v>945</v>
      </c>
      <c r="B221" s="1433" t="s">
        <v>834</v>
      </c>
      <c r="C221" s="1450" t="s">
        <v>835</v>
      </c>
      <c r="D221" s="1404" t="s">
        <v>983</v>
      </c>
      <c r="E221" s="1405">
        <v>220</v>
      </c>
      <c r="F221" s="1418">
        <v>7.1</v>
      </c>
      <c r="G221" s="1417" t="s">
        <v>834</v>
      </c>
      <c r="H221" s="728" t="s">
        <v>836</v>
      </c>
      <c r="I221" s="728" t="s">
        <v>984</v>
      </c>
      <c r="J221" s="1411" t="s">
        <v>837</v>
      </c>
    </row>
    <row r="222" spans="1:10" x14ac:dyDescent="0.25">
      <c r="A222" s="1434" t="s">
        <v>946</v>
      </c>
      <c r="B222" s="1433" t="s">
        <v>834</v>
      </c>
      <c r="C222" s="1450" t="s">
        <v>835</v>
      </c>
      <c r="D222" s="1404" t="s">
        <v>983</v>
      </c>
      <c r="E222" s="1405">
        <v>221</v>
      </c>
      <c r="F222" s="1406" t="s">
        <v>782</v>
      </c>
      <c r="G222" s="1410" t="s">
        <v>940</v>
      </c>
      <c r="H222" s="754" t="s">
        <v>836</v>
      </c>
      <c r="I222" s="728" t="s">
        <v>984</v>
      </c>
      <c r="J222" s="1411" t="s">
        <v>873</v>
      </c>
    </row>
    <row r="223" spans="1:10" x14ac:dyDescent="0.25">
      <c r="A223" s="1434" t="s">
        <v>796</v>
      </c>
      <c r="B223" s="1433" t="s">
        <v>834</v>
      </c>
      <c r="C223" s="1450" t="s">
        <v>835</v>
      </c>
      <c r="D223" s="1404" t="s">
        <v>983</v>
      </c>
      <c r="E223" s="1405">
        <v>222</v>
      </c>
      <c r="F223" s="1406" t="s">
        <v>784</v>
      </c>
      <c r="G223" s="1410" t="s">
        <v>942</v>
      </c>
      <c r="H223" s="754" t="s">
        <v>836</v>
      </c>
      <c r="I223" s="728" t="s">
        <v>984</v>
      </c>
      <c r="J223" s="1411" t="s">
        <v>943</v>
      </c>
    </row>
    <row r="224" spans="1:10" x14ac:dyDescent="0.25">
      <c r="A224" s="1434">
        <v>7.11</v>
      </c>
      <c r="B224" s="1433" t="s">
        <v>834</v>
      </c>
      <c r="C224" s="1450" t="s">
        <v>835</v>
      </c>
      <c r="D224" s="1404" t="s">
        <v>983</v>
      </c>
      <c r="E224" s="1405">
        <v>223</v>
      </c>
      <c r="F224" s="1406" t="s">
        <v>785</v>
      </c>
      <c r="G224" s="1417" t="s">
        <v>548</v>
      </c>
      <c r="H224" s="754" t="s">
        <v>836</v>
      </c>
      <c r="I224" s="728" t="s">
        <v>984</v>
      </c>
      <c r="J224" s="1411" t="s">
        <v>548</v>
      </c>
    </row>
    <row r="225" spans="1:10" x14ac:dyDescent="0.25">
      <c r="A225" s="1434">
        <v>7.12</v>
      </c>
      <c r="B225" s="1433" t="s">
        <v>834</v>
      </c>
      <c r="C225" s="1450" t="s">
        <v>835</v>
      </c>
      <c r="D225" s="1404" t="s">
        <v>983</v>
      </c>
      <c r="E225" s="1405">
        <v>224</v>
      </c>
      <c r="F225" s="1406" t="s">
        <v>787</v>
      </c>
      <c r="G225" s="1417" t="s">
        <v>850</v>
      </c>
      <c r="H225" s="754" t="s">
        <v>836</v>
      </c>
      <c r="I225" s="728" t="s">
        <v>984</v>
      </c>
      <c r="J225" s="1411" t="s">
        <v>865</v>
      </c>
    </row>
    <row r="226" spans="1:10" x14ac:dyDescent="0.25">
      <c r="A226" s="1434">
        <v>7.13</v>
      </c>
      <c r="B226" s="1433" t="s">
        <v>947</v>
      </c>
      <c r="C226" s="1450" t="s">
        <v>835</v>
      </c>
      <c r="D226" s="1404" t="s">
        <v>983</v>
      </c>
      <c r="E226" s="1405">
        <v>225</v>
      </c>
      <c r="F226" s="1406" t="s">
        <v>788</v>
      </c>
      <c r="G226" s="1417" t="s">
        <v>548</v>
      </c>
      <c r="H226" s="754" t="s">
        <v>836</v>
      </c>
      <c r="I226" s="728" t="s">
        <v>984</v>
      </c>
      <c r="J226" s="1411" t="s">
        <v>548</v>
      </c>
    </row>
    <row r="227" spans="1:10" x14ac:dyDescent="0.25">
      <c r="A227" s="1434">
        <v>7.14</v>
      </c>
      <c r="B227" s="1433" t="s">
        <v>834</v>
      </c>
      <c r="C227" s="1450" t="s">
        <v>835</v>
      </c>
      <c r="D227" s="1404" t="s">
        <v>983</v>
      </c>
      <c r="E227" s="1405">
        <v>226</v>
      </c>
      <c r="F227" s="1406" t="s">
        <v>790</v>
      </c>
      <c r="G227" s="1417" t="s">
        <v>850</v>
      </c>
      <c r="H227" s="754" t="s">
        <v>836</v>
      </c>
      <c r="I227" s="728" t="s">
        <v>984</v>
      </c>
      <c r="J227" s="1411" t="s">
        <v>865</v>
      </c>
    </row>
    <row r="228" spans="1:10" x14ac:dyDescent="0.25">
      <c r="A228" s="1434">
        <v>7.15</v>
      </c>
      <c r="B228" s="1433" t="s">
        <v>834</v>
      </c>
      <c r="C228" s="1450" t="s">
        <v>835</v>
      </c>
      <c r="D228" s="1404" t="s">
        <v>983</v>
      </c>
      <c r="E228" s="1405">
        <v>227</v>
      </c>
      <c r="F228" s="1418">
        <v>7.5</v>
      </c>
      <c r="G228" s="1417" t="s">
        <v>834</v>
      </c>
      <c r="H228" s="728" t="s">
        <v>836</v>
      </c>
      <c r="I228" s="728" t="s">
        <v>984</v>
      </c>
      <c r="J228" s="1411" t="s">
        <v>837</v>
      </c>
    </row>
    <row r="229" spans="1:10" x14ac:dyDescent="0.25">
      <c r="A229" s="1434">
        <v>7.16</v>
      </c>
      <c r="B229" s="1433" t="s">
        <v>834</v>
      </c>
      <c r="C229" s="1450" t="s">
        <v>835</v>
      </c>
      <c r="D229" s="1404" t="s">
        <v>983</v>
      </c>
      <c r="E229" s="1405">
        <v>228</v>
      </c>
      <c r="F229" s="1418">
        <v>7.6</v>
      </c>
      <c r="G229" s="1417" t="s">
        <v>834</v>
      </c>
      <c r="H229" s="728" t="s">
        <v>836</v>
      </c>
      <c r="I229" s="728" t="s">
        <v>984</v>
      </c>
      <c r="J229" s="1411" t="s">
        <v>837</v>
      </c>
    </row>
    <row r="230" spans="1:10" x14ac:dyDescent="0.25">
      <c r="A230" s="1437">
        <v>7.17</v>
      </c>
      <c r="B230" s="1438" t="s">
        <v>898</v>
      </c>
      <c r="C230" s="1450" t="s">
        <v>835</v>
      </c>
      <c r="D230" s="1404" t="s">
        <v>983</v>
      </c>
      <c r="E230" s="1405">
        <v>229</v>
      </c>
      <c r="F230" s="1418">
        <v>7.7</v>
      </c>
      <c r="G230" s="1417" t="s">
        <v>834</v>
      </c>
      <c r="H230" s="728" t="s">
        <v>836</v>
      </c>
      <c r="I230" s="728" t="s">
        <v>984</v>
      </c>
      <c r="J230" s="1411" t="s">
        <v>837</v>
      </c>
    </row>
    <row r="231" spans="1:10" x14ac:dyDescent="0.25">
      <c r="A231" s="1430" t="s">
        <v>950</v>
      </c>
      <c r="B231" s="1431" t="s">
        <v>834</v>
      </c>
      <c r="C231" s="1450" t="s">
        <v>835</v>
      </c>
      <c r="D231" s="1404" t="s">
        <v>983</v>
      </c>
      <c r="E231" s="1405">
        <v>230</v>
      </c>
      <c r="F231" s="1418">
        <v>7.8</v>
      </c>
      <c r="G231" s="1417" t="s">
        <v>834</v>
      </c>
      <c r="H231" s="728" t="s">
        <v>836</v>
      </c>
      <c r="I231" s="728" t="s">
        <v>984</v>
      </c>
      <c r="J231" s="1411" t="s">
        <v>837</v>
      </c>
    </row>
    <row r="232" spans="1:10" x14ac:dyDescent="0.25">
      <c r="A232" s="1434" t="s">
        <v>951</v>
      </c>
      <c r="B232" s="1433" t="s">
        <v>834</v>
      </c>
      <c r="C232" s="1450" t="s">
        <v>835</v>
      </c>
      <c r="D232" s="1404" t="s">
        <v>983</v>
      </c>
      <c r="E232" s="1405">
        <v>231</v>
      </c>
      <c r="F232" s="1418">
        <v>7.9</v>
      </c>
      <c r="G232" s="1417" t="s">
        <v>834</v>
      </c>
      <c r="H232" s="728" t="s">
        <v>836</v>
      </c>
      <c r="I232" s="728" t="s">
        <v>984</v>
      </c>
      <c r="J232" s="1411" t="s">
        <v>837</v>
      </c>
    </row>
    <row r="233" spans="1:10" x14ac:dyDescent="0.25">
      <c r="A233" s="1434" t="s">
        <v>952</v>
      </c>
      <c r="B233" s="1433" t="s">
        <v>834</v>
      </c>
      <c r="C233" s="1450" t="s">
        <v>835</v>
      </c>
      <c r="D233" s="1404" t="s">
        <v>983</v>
      </c>
      <c r="E233" s="1405">
        <v>232</v>
      </c>
      <c r="F233" s="1422" t="s">
        <v>796</v>
      </c>
      <c r="G233" s="1417" t="s">
        <v>980</v>
      </c>
      <c r="H233" s="728" t="s">
        <v>836</v>
      </c>
      <c r="I233" s="728" t="s">
        <v>984</v>
      </c>
      <c r="J233" s="1411" t="s">
        <v>873</v>
      </c>
    </row>
    <row r="234" spans="1:10" x14ac:dyDescent="0.25">
      <c r="A234" s="1434" t="s">
        <v>953</v>
      </c>
      <c r="B234" s="1433" t="s">
        <v>898</v>
      </c>
      <c r="C234" s="1450" t="s">
        <v>835</v>
      </c>
      <c r="D234" s="1404" t="s">
        <v>983</v>
      </c>
      <c r="E234" s="1405">
        <v>233</v>
      </c>
      <c r="F234" s="1418">
        <v>7.11</v>
      </c>
      <c r="G234" s="1417" t="s">
        <v>834</v>
      </c>
      <c r="H234" s="728" t="s">
        <v>836</v>
      </c>
      <c r="I234" s="728" t="s">
        <v>984</v>
      </c>
      <c r="J234" s="1411" t="s">
        <v>837</v>
      </c>
    </row>
    <row r="235" spans="1:10" s="1105" customFormat="1" x14ac:dyDescent="0.25">
      <c r="A235" s="1441" t="s">
        <v>954</v>
      </c>
      <c r="B235" s="1442" t="s">
        <v>843</v>
      </c>
      <c r="C235" s="1465" t="s">
        <v>835</v>
      </c>
      <c r="D235" s="1423" t="s">
        <v>983</v>
      </c>
      <c r="E235" s="1405">
        <v>234</v>
      </c>
      <c r="F235" s="1428">
        <v>7.12</v>
      </c>
      <c r="G235" s="1466" t="s">
        <v>834</v>
      </c>
      <c r="H235" s="728" t="s">
        <v>836</v>
      </c>
      <c r="I235" s="728" t="s">
        <v>984</v>
      </c>
      <c r="J235" s="1443" t="s">
        <v>837</v>
      </c>
    </row>
    <row r="236" spans="1:10" x14ac:dyDescent="0.25">
      <c r="A236" s="1446">
        <v>1.1000000000000001</v>
      </c>
      <c r="B236" s="1447" t="s">
        <v>834</v>
      </c>
      <c r="C236" s="1467" t="s">
        <v>836</v>
      </c>
      <c r="D236" s="1404" t="s">
        <v>28</v>
      </c>
      <c r="E236" s="1405">
        <v>235</v>
      </c>
      <c r="F236" s="1406" t="s">
        <v>800</v>
      </c>
      <c r="G236" s="1464" t="s">
        <v>548</v>
      </c>
      <c r="H236" s="754" t="s">
        <v>836</v>
      </c>
      <c r="I236" s="728" t="s">
        <v>984</v>
      </c>
      <c r="J236" s="1449" t="s">
        <v>548</v>
      </c>
    </row>
    <row r="237" spans="1:10" x14ac:dyDescent="0.25">
      <c r="A237" s="1412">
        <v>1.2</v>
      </c>
      <c r="B237" s="1413" t="s">
        <v>838</v>
      </c>
      <c r="C237" s="1467" t="s">
        <v>836</v>
      </c>
      <c r="D237" s="1404" t="s">
        <v>28</v>
      </c>
      <c r="E237" s="1405">
        <v>236</v>
      </c>
      <c r="F237" s="1406" t="s">
        <v>802</v>
      </c>
      <c r="G237" s="1417" t="s">
        <v>981</v>
      </c>
      <c r="H237" s="754" t="s">
        <v>836</v>
      </c>
      <c r="I237" s="728" t="s">
        <v>984</v>
      </c>
      <c r="J237" s="1411" t="s">
        <v>548</v>
      </c>
    </row>
    <row r="238" spans="1:10" x14ac:dyDescent="0.25">
      <c r="A238" s="1414">
        <v>2.1</v>
      </c>
      <c r="B238" s="1409" t="s">
        <v>834</v>
      </c>
      <c r="C238" s="1467" t="s">
        <v>836</v>
      </c>
      <c r="D238" s="1404" t="s">
        <v>28</v>
      </c>
      <c r="E238" s="1405">
        <v>237</v>
      </c>
      <c r="F238" s="1418">
        <v>7.14</v>
      </c>
      <c r="G238" s="1417" t="s">
        <v>834</v>
      </c>
      <c r="H238" s="728" t="s">
        <v>836</v>
      </c>
      <c r="I238" s="728" t="s">
        <v>984</v>
      </c>
      <c r="J238" s="1411" t="s">
        <v>837</v>
      </c>
    </row>
    <row r="239" spans="1:10" x14ac:dyDescent="0.25">
      <c r="A239" s="1415">
        <v>2.2000000000000002</v>
      </c>
      <c r="B239" s="1416" t="s">
        <v>834</v>
      </c>
      <c r="C239" s="1467" t="s">
        <v>836</v>
      </c>
      <c r="D239" s="1404" t="s">
        <v>28</v>
      </c>
      <c r="E239" s="1405">
        <v>238</v>
      </c>
      <c r="F239" s="1418">
        <v>7.15</v>
      </c>
      <c r="G239" s="1417" t="s">
        <v>834</v>
      </c>
      <c r="H239" s="728" t="s">
        <v>836</v>
      </c>
      <c r="I239" s="728" t="s">
        <v>984</v>
      </c>
      <c r="J239" s="1411" t="s">
        <v>837</v>
      </c>
    </row>
    <row r="240" spans="1:10" x14ac:dyDescent="0.25">
      <c r="A240" s="1415">
        <v>2.2999999999999998</v>
      </c>
      <c r="B240" s="1416" t="s">
        <v>834</v>
      </c>
      <c r="C240" s="1467" t="s">
        <v>836</v>
      </c>
      <c r="D240" s="1404" t="s">
        <v>28</v>
      </c>
      <c r="E240" s="1405">
        <v>239</v>
      </c>
      <c r="F240" s="1418">
        <v>7.16</v>
      </c>
      <c r="G240" s="1417" t="s">
        <v>834</v>
      </c>
      <c r="H240" s="728" t="s">
        <v>836</v>
      </c>
      <c r="I240" s="728" t="s">
        <v>984</v>
      </c>
      <c r="J240" s="1411" t="s">
        <v>837</v>
      </c>
    </row>
    <row r="241" spans="1:10" x14ac:dyDescent="0.25">
      <c r="A241" s="1415">
        <v>2.4</v>
      </c>
      <c r="B241" s="1416" t="s">
        <v>846</v>
      </c>
      <c r="C241" s="1467" t="s">
        <v>836</v>
      </c>
      <c r="D241" s="1404" t="s">
        <v>28</v>
      </c>
      <c r="E241" s="1405">
        <v>240</v>
      </c>
      <c r="F241" s="1418">
        <v>7.17</v>
      </c>
      <c r="G241" s="1417" t="s">
        <v>834</v>
      </c>
      <c r="H241" s="728" t="s">
        <v>836</v>
      </c>
      <c r="I241" s="728" t="s">
        <v>984</v>
      </c>
      <c r="J241" s="1411" t="s">
        <v>837</v>
      </c>
    </row>
    <row r="242" spans="1:10" x14ac:dyDescent="0.25">
      <c r="A242" s="1415">
        <v>2.5</v>
      </c>
      <c r="B242" s="1416" t="s">
        <v>849</v>
      </c>
      <c r="C242" s="1467" t="s">
        <v>836</v>
      </c>
      <c r="D242" s="1404" t="s">
        <v>28</v>
      </c>
      <c r="E242" s="1405">
        <v>241</v>
      </c>
      <c r="F242" s="1406" t="s">
        <v>809</v>
      </c>
      <c r="G242" s="1417" t="s">
        <v>834</v>
      </c>
      <c r="H242" s="754" t="s">
        <v>836</v>
      </c>
      <c r="I242" s="728" t="s">
        <v>984</v>
      </c>
      <c r="J242" s="1411" t="s">
        <v>837</v>
      </c>
    </row>
    <row r="243" spans="1:10" x14ac:dyDescent="0.25">
      <c r="A243" s="1415">
        <v>2.6</v>
      </c>
      <c r="B243" s="1416" t="s">
        <v>850</v>
      </c>
      <c r="C243" s="1467" t="s">
        <v>836</v>
      </c>
      <c r="D243" s="1404" t="s">
        <v>28</v>
      </c>
      <c r="E243" s="1405">
        <v>242</v>
      </c>
      <c r="F243" s="1406" t="s">
        <v>811</v>
      </c>
      <c r="G243" s="1410" t="s">
        <v>898</v>
      </c>
      <c r="H243" s="754" t="s">
        <v>836</v>
      </c>
      <c r="I243" s="728" t="s">
        <v>984</v>
      </c>
      <c r="J243" s="1411" t="s">
        <v>899</v>
      </c>
    </row>
    <row r="244" spans="1:10" x14ac:dyDescent="0.25">
      <c r="A244" s="1419" t="s">
        <v>851</v>
      </c>
      <c r="B244" s="1416" t="s">
        <v>834</v>
      </c>
      <c r="C244" s="1467" t="s">
        <v>836</v>
      </c>
      <c r="D244" s="1404" t="s">
        <v>28</v>
      </c>
      <c r="E244" s="1405">
        <v>243</v>
      </c>
      <c r="F244" s="1418">
        <v>8.1999999999999993</v>
      </c>
      <c r="G244" s="1417" t="s">
        <v>956</v>
      </c>
      <c r="H244" s="728" t="s">
        <v>836</v>
      </c>
      <c r="I244" s="728" t="s">
        <v>984</v>
      </c>
      <c r="J244" s="1411" t="s">
        <v>957</v>
      </c>
    </row>
    <row r="245" spans="1:10" x14ac:dyDescent="0.25">
      <c r="A245" s="1415" t="s">
        <v>852</v>
      </c>
      <c r="B245" s="1416" t="s">
        <v>987</v>
      </c>
      <c r="C245" s="1467" t="s">
        <v>836</v>
      </c>
      <c r="D245" s="1404" t="s">
        <v>28</v>
      </c>
      <c r="E245" s="1405">
        <v>244</v>
      </c>
      <c r="F245" s="1418">
        <v>8.3000000000000007</v>
      </c>
      <c r="G245" s="1417" t="s">
        <v>834</v>
      </c>
      <c r="H245" s="728" t="s">
        <v>836</v>
      </c>
      <c r="I245" s="728" t="s">
        <v>984</v>
      </c>
      <c r="J245" s="1411" t="s">
        <v>837</v>
      </c>
    </row>
    <row r="246" spans="1:10" x14ac:dyDescent="0.25">
      <c r="A246" s="1415">
        <v>2.8</v>
      </c>
      <c r="B246" s="1416" t="s">
        <v>855</v>
      </c>
      <c r="C246" s="1467" t="s">
        <v>836</v>
      </c>
      <c r="D246" s="1404" t="s">
        <v>28</v>
      </c>
      <c r="E246" s="1405">
        <v>245</v>
      </c>
      <c r="F246" s="1418">
        <v>8.4</v>
      </c>
      <c r="G246" s="1417" t="s">
        <v>958</v>
      </c>
      <c r="H246" s="728" t="s">
        <v>836</v>
      </c>
      <c r="I246" s="728" t="s">
        <v>984</v>
      </c>
      <c r="J246" s="1411" t="s">
        <v>959</v>
      </c>
    </row>
    <row r="247" spans="1:10" ht="15.75" thickBot="1" x14ac:dyDescent="0.3">
      <c r="A247" s="1415">
        <v>2.9</v>
      </c>
      <c r="B247" s="1416" t="s">
        <v>858</v>
      </c>
      <c r="C247" s="1467" t="s">
        <v>836</v>
      </c>
      <c r="D247" s="1404" t="s">
        <v>28</v>
      </c>
      <c r="E247" s="1405">
        <v>246</v>
      </c>
      <c r="F247" s="1451">
        <v>8.5</v>
      </c>
      <c r="G247" s="1462" t="s">
        <v>834</v>
      </c>
      <c r="H247" s="1463" t="s">
        <v>836</v>
      </c>
      <c r="I247" s="728" t="s">
        <v>984</v>
      </c>
      <c r="J247" s="1454" t="s">
        <v>837</v>
      </c>
    </row>
    <row r="248" spans="1:10" ht="15.75" thickTop="1" x14ac:dyDescent="0.25">
      <c r="A248" s="1420" t="s">
        <v>717</v>
      </c>
      <c r="B248" s="1413" t="s">
        <v>850</v>
      </c>
      <c r="C248" s="1467" t="s">
        <v>836</v>
      </c>
      <c r="D248" s="1404" t="s">
        <v>28</v>
      </c>
      <c r="E248" s="1405">
        <v>247</v>
      </c>
      <c r="F248" s="1406" t="s">
        <v>693</v>
      </c>
      <c r="G248" s="1417" t="s">
        <v>834</v>
      </c>
      <c r="H248" s="378" t="s">
        <v>835</v>
      </c>
      <c r="I248" s="728" t="s">
        <v>28</v>
      </c>
      <c r="J248" s="1411" t="s">
        <v>837</v>
      </c>
    </row>
    <row r="249" spans="1:10" x14ac:dyDescent="0.25">
      <c r="A249" s="1414" t="s">
        <v>859</v>
      </c>
      <c r="B249" s="1409" t="s">
        <v>834</v>
      </c>
      <c r="C249" s="1467" t="s">
        <v>836</v>
      </c>
      <c r="D249" s="1404" t="s">
        <v>28</v>
      </c>
      <c r="E249" s="1405">
        <v>248</v>
      </c>
      <c r="F249" s="1406" t="s">
        <v>695</v>
      </c>
      <c r="G249" s="1410" t="s">
        <v>839</v>
      </c>
      <c r="H249" s="378" t="s">
        <v>835</v>
      </c>
      <c r="I249" s="728" t="s">
        <v>28</v>
      </c>
      <c r="J249" s="1411" t="s">
        <v>840</v>
      </c>
    </row>
    <row r="250" spans="1:10" x14ac:dyDescent="0.25">
      <c r="A250" s="1415" t="s">
        <v>862</v>
      </c>
      <c r="B250" s="1416" t="s">
        <v>834</v>
      </c>
      <c r="C250" s="1467" t="s">
        <v>836</v>
      </c>
      <c r="D250" s="1404" t="s">
        <v>28</v>
      </c>
      <c r="E250" s="1405">
        <v>249</v>
      </c>
      <c r="F250" s="1418">
        <v>1.2</v>
      </c>
      <c r="G250" s="1417" t="s">
        <v>961</v>
      </c>
      <c r="H250" s="378" t="s">
        <v>835</v>
      </c>
      <c r="I250" s="728" t="s">
        <v>28</v>
      </c>
      <c r="J250" s="1411" t="s">
        <v>842</v>
      </c>
    </row>
    <row r="251" spans="1:10" x14ac:dyDescent="0.25">
      <c r="A251" s="1415" t="s">
        <v>723</v>
      </c>
      <c r="B251" s="1421" t="s">
        <v>864</v>
      </c>
      <c r="C251" s="1467" t="s">
        <v>836</v>
      </c>
      <c r="D251" s="1404" t="s">
        <v>28</v>
      </c>
      <c r="E251" s="1405">
        <v>250</v>
      </c>
      <c r="F251" s="1406" t="s">
        <v>698</v>
      </c>
      <c r="G251" s="1417" t="s">
        <v>834</v>
      </c>
      <c r="H251" s="378" t="s">
        <v>835</v>
      </c>
      <c r="I251" s="728" t="s">
        <v>28</v>
      </c>
      <c r="J251" s="1411" t="s">
        <v>837</v>
      </c>
    </row>
    <row r="252" spans="1:10" x14ac:dyDescent="0.25">
      <c r="A252" s="1415" t="s">
        <v>724</v>
      </c>
      <c r="B252" s="1416" t="s">
        <v>846</v>
      </c>
      <c r="C252" s="1467" t="s">
        <v>836</v>
      </c>
      <c r="D252" s="1404" t="s">
        <v>28</v>
      </c>
      <c r="E252" s="1405">
        <v>251</v>
      </c>
      <c r="F252" s="1406" t="s">
        <v>700</v>
      </c>
      <c r="G252" s="1417" t="s">
        <v>844</v>
      </c>
      <c r="H252" s="378" t="s">
        <v>835</v>
      </c>
      <c r="I252" s="728" t="s">
        <v>28</v>
      </c>
      <c r="J252" s="1411" t="s">
        <v>845</v>
      </c>
    </row>
    <row r="253" spans="1:10" x14ac:dyDescent="0.25">
      <c r="A253" s="1415" t="s">
        <v>725</v>
      </c>
      <c r="B253" s="1416" t="s">
        <v>866</v>
      </c>
      <c r="C253" s="1467" t="s">
        <v>836</v>
      </c>
      <c r="D253" s="1404" t="s">
        <v>28</v>
      </c>
      <c r="E253" s="1405">
        <v>252</v>
      </c>
      <c r="F253" s="1418">
        <v>1.4</v>
      </c>
      <c r="G253" s="1417" t="s">
        <v>847</v>
      </c>
      <c r="H253" s="378" t="s">
        <v>835</v>
      </c>
      <c r="I253" s="728" t="s">
        <v>28</v>
      </c>
      <c r="J253" s="1411" t="s">
        <v>848</v>
      </c>
    </row>
    <row r="254" spans="1:10" x14ac:dyDescent="0.25">
      <c r="A254" s="1415" t="s">
        <v>867</v>
      </c>
      <c r="B254" s="1421" t="s">
        <v>868</v>
      </c>
      <c r="C254" s="1467" t="s">
        <v>836</v>
      </c>
      <c r="D254" s="1404" t="s">
        <v>28</v>
      </c>
      <c r="E254" s="1405">
        <v>253</v>
      </c>
      <c r="F254" s="1418">
        <v>2.1</v>
      </c>
      <c r="G254" s="1417" t="s">
        <v>834</v>
      </c>
      <c r="H254" s="378" t="s">
        <v>835</v>
      </c>
      <c r="I254" s="728" t="s">
        <v>28</v>
      </c>
      <c r="J254" s="1411" t="s">
        <v>837</v>
      </c>
    </row>
    <row r="255" spans="1:10" x14ac:dyDescent="0.25">
      <c r="A255" s="1415" t="s">
        <v>869</v>
      </c>
      <c r="B255" s="1416" t="s">
        <v>870</v>
      </c>
      <c r="C255" s="1467" t="s">
        <v>836</v>
      </c>
      <c r="D255" s="1404" t="s">
        <v>28</v>
      </c>
      <c r="E255" s="1405">
        <v>254</v>
      </c>
      <c r="F255" s="1418">
        <v>2.2000000000000002</v>
      </c>
      <c r="G255" s="1417" t="s">
        <v>843</v>
      </c>
      <c r="H255" s="378" t="s">
        <v>835</v>
      </c>
      <c r="I255" s="728" t="s">
        <v>28</v>
      </c>
      <c r="J255" s="1411">
        <v>2</v>
      </c>
    </row>
    <row r="256" spans="1:10" x14ac:dyDescent="0.25">
      <c r="A256" s="1415" t="s">
        <v>874</v>
      </c>
      <c r="B256" s="1413" t="s">
        <v>834</v>
      </c>
      <c r="C256" s="1467" t="s">
        <v>836</v>
      </c>
      <c r="D256" s="1404" t="s">
        <v>28</v>
      </c>
      <c r="E256" s="1405">
        <v>255</v>
      </c>
      <c r="F256" s="1418">
        <v>2.2999999999999998</v>
      </c>
      <c r="G256" s="1417" t="s">
        <v>834</v>
      </c>
      <c r="H256" s="378" t="s">
        <v>835</v>
      </c>
      <c r="I256" s="728" t="s">
        <v>28</v>
      </c>
      <c r="J256" s="1411" t="s">
        <v>837</v>
      </c>
    </row>
    <row r="257" spans="1:10" x14ac:dyDescent="0.25">
      <c r="A257" s="1424" t="s">
        <v>876</v>
      </c>
      <c r="B257" s="1425" t="s">
        <v>834</v>
      </c>
      <c r="C257" s="1467" t="s">
        <v>836</v>
      </c>
      <c r="D257" s="1404" t="s">
        <v>28</v>
      </c>
      <c r="E257" s="1405">
        <v>256</v>
      </c>
      <c r="F257" s="1418">
        <v>2.4</v>
      </c>
      <c r="G257" s="1410" t="s">
        <v>846</v>
      </c>
      <c r="H257" s="378" t="s">
        <v>835</v>
      </c>
      <c r="I257" s="728" t="s">
        <v>28</v>
      </c>
      <c r="J257" s="1411" t="s">
        <v>854</v>
      </c>
    </row>
    <row r="258" spans="1:10" x14ac:dyDescent="0.25">
      <c r="A258" s="1426" t="s">
        <v>880</v>
      </c>
      <c r="B258" s="1427" t="s">
        <v>870</v>
      </c>
      <c r="C258" s="1467" t="s">
        <v>836</v>
      </c>
      <c r="D258" s="1404" t="s">
        <v>28</v>
      </c>
      <c r="E258" s="1405">
        <v>257</v>
      </c>
      <c r="F258" s="1418">
        <v>2.5</v>
      </c>
      <c r="G258" s="1410" t="s">
        <v>856</v>
      </c>
      <c r="H258" s="378" t="s">
        <v>835</v>
      </c>
      <c r="I258" s="728" t="s">
        <v>28</v>
      </c>
      <c r="J258" s="1411" t="s">
        <v>857</v>
      </c>
    </row>
    <row r="259" spans="1:10" x14ac:dyDescent="0.25">
      <c r="A259" s="1426" t="s">
        <v>882</v>
      </c>
      <c r="B259" s="1429" t="s">
        <v>883</v>
      </c>
      <c r="C259" s="1467" t="s">
        <v>836</v>
      </c>
      <c r="D259" s="1404" t="s">
        <v>28</v>
      </c>
      <c r="E259" s="1405">
        <v>258</v>
      </c>
      <c r="F259" s="1418">
        <v>2.6</v>
      </c>
      <c r="G259" s="1417" t="s">
        <v>834</v>
      </c>
      <c r="H259" s="378" t="s">
        <v>835</v>
      </c>
      <c r="I259" s="728" t="s">
        <v>28</v>
      </c>
      <c r="J259" s="1411" t="s">
        <v>837</v>
      </c>
    </row>
    <row r="260" spans="1:10" x14ac:dyDescent="0.25">
      <c r="A260" s="1430" t="s">
        <v>886</v>
      </c>
      <c r="B260" s="1431" t="s">
        <v>834</v>
      </c>
      <c r="C260" s="1467" t="s">
        <v>836</v>
      </c>
      <c r="D260" s="1404" t="s">
        <v>28</v>
      </c>
      <c r="E260" s="1405">
        <v>259</v>
      </c>
      <c r="F260" s="1406" t="s">
        <v>711</v>
      </c>
      <c r="G260" s="1417" t="s">
        <v>548</v>
      </c>
      <c r="H260" s="378" t="s">
        <v>835</v>
      </c>
      <c r="I260" s="728" t="s">
        <v>28</v>
      </c>
      <c r="J260" s="1411" t="s">
        <v>548</v>
      </c>
    </row>
    <row r="261" spans="1:10" x14ac:dyDescent="0.25">
      <c r="A261" s="1432" t="s">
        <v>887</v>
      </c>
      <c r="B261" s="1433" t="s">
        <v>548</v>
      </c>
      <c r="C261" s="1467" t="s">
        <v>836</v>
      </c>
      <c r="D261" s="1404" t="s">
        <v>28</v>
      </c>
      <c r="E261" s="1405">
        <v>260</v>
      </c>
      <c r="F261" s="1406" t="s">
        <v>713</v>
      </c>
      <c r="G261" s="1417" t="s">
        <v>988</v>
      </c>
      <c r="H261" s="1105" t="s">
        <v>835</v>
      </c>
      <c r="I261" s="728" t="s">
        <v>28</v>
      </c>
      <c r="J261" s="1411" t="s">
        <v>989</v>
      </c>
    </row>
    <row r="262" spans="1:10" x14ac:dyDescent="0.25">
      <c r="A262" s="1434" t="s">
        <v>888</v>
      </c>
      <c r="B262" s="1433" t="s">
        <v>889</v>
      </c>
      <c r="C262" s="1467" t="s">
        <v>836</v>
      </c>
      <c r="D262" s="1404" t="s">
        <v>28</v>
      </c>
      <c r="E262" s="1405">
        <v>261</v>
      </c>
      <c r="F262" s="1418">
        <v>2.8</v>
      </c>
      <c r="G262" s="1417" t="s">
        <v>963</v>
      </c>
      <c r="H262" s="378" t="s">
        <v>835</v>
      </c>
      <c r="I262" s="728" t="s">
        <v>28</v>
      </c>
      <c r="J262" s="1411" t="s">
        <v>964</v>
      </c>
    </row>
    <row r="263" spans="1:10" x14ac:dyDescent="0.25">
      <c r="A263" s="1432" t="s">
        <v>892</v>
      </c>
      <c r="B263" s="1433" t="s">
        <v>548</v>
      </c>
      <c r="C263" s="1467" t="s">
        <v>836</v>
      </c>
      <c r="D263" s="1404" t="s">
        <v>28</v>
      </c>
      <c r="E263" s="1405">
        <v>262</v>
      </c>
      <c r="F263" s="1418">
        <v>2.9</v>
      </c>
      <c r="G263" s="1417" t="s">
        <v>846</v>
      </c>
      <c r="H263" s="378" t="s">
        <v>835</v>
      </c>
      <c r="I263" s="728" t="s">
        <v>28</v>
      </c>
      <c r="J263" s="1411" t="s">
        <v>854</v>
      </c>
    </row>
    <row r="264" spans="1:10" x14ac:dyDescent="0.25">
      <c r="A264" s="1434" t="s">
        <v>893</v>
      </c>
      <c r="B264" s="1433" t="s">
        <v>834</v>
      </c>
      <c r="C264" s="1467" t="s">
        <v>836</v>
      </c>
      <c r="D264" s="1404" t="s">
        <v>28</v>
      </c>
      <c r="E264" s="1405">
        <v>263</v>
      </c>
      <c r="F264" s="1422" t="s">
        <v>717</v>
      </c>
      <c r="G264" s="1417" t="s">
        <v>850</v>
      </c>
      <c r="H264" s="378" t="s">
        <v>835</v>
      </c>
      <c r="I264" s="728" t="s">
        <v>28</v>
      </c>
      <c r="J264" s="1411" t="s">
        <v>865</v>
      </c>
    </row>
    <row r="265" spans="1:10" x14ac:dyDescent="0.25">
      <c r="A265" s="1434" t="s">
        <v>896</v>
      </c>
      <c r="B265" s="1435" t="s">
        <v>897</v>
      </c>
      <c r="C265" s="1467" t="s">
        <v>836</v>
      </c>
      <c r="D265" s="1404" t="s">
        <v>28</v>
      </c>
      <c r="E265" s="1405">
        <v>264</v>
      </c>
      <c r="F265" s="1418">
        <v>3.1</v>
      </c>
      <c r="G265" s="1417" t="s">
        <v>834</v>
      </c>
      <c r="H265" s="378" t="s">
        <v>835</v>
      </c>
      <c r="I265" s="728" t="s">
        <v>28</v>
      </c>
      <c r="J265" s="1411" t="s">
        <v>837</v>
      </c>
    </row>
    <row r="266" spans="1:10" x14ac:dyDescent="0.25">
      <c r="A266" s="1434" t="s">
        <v>900</v>
      </c>
      <c r="B266" s="1433" t="s">
        <v>850</v>
      </c>
      <c r="C266" s="1467" t="s">
        <v>836</v>
      </c>
      <c r="D266" s="1404" t="s">
        <v>28</v>
      </c>
      <c r="E266" s="1405">
        <v>265</v>
      </c>
      <c r="F266" s="1418">
        <v>3.2</v>
      </c>
      <c r="G266" s="1417" t="s">
        <v>834</v>
      </c>
      <c r="H266" s="378" t="s">
        <v>835</v>
      </c>
      <c r="I266" s="728" t="s">
        <v>28</v>
      </c>
      <c r="J266" s="1411" t="s">
        <v>837</v>
      </c>
    </row>
    <row r="267" spans="1:10" x14ac:dyDescent="0.25">
      <c r="A267" s="1434" t="s">
        <v>901</v>
      </c>
      <c r="B267" s="1433" t="s">
        <v>834</v>
      </c>
      <c r="C267" s="1467" t="s">
        <v>836</v>
      </c>
      <c r="D267" s="1404" t="s">
        <v>28</v>
      </c>
      <c r="E267" s="1405">
        <v>266</v>
      </c>
      <c r="F267" s="1406" t="s">
        <v>871</v>
      </c>
      <c r="G267" s="1410" t="s">
        <v>872</v>
      </c>
      <c r="H267" s="1105" t="s">
        <v>835</v>
      </c>
      <c r="I267" s="728" t="s">
        <v>28</v>
      </c>
      <c r="J267" s="1411" t="s">
        <v>873</v>
      </c>
    </row>
    <row r="268" spans="1:10" x14ac:dyDescent="0.25">
      <c r="A268" s="1434" t="s">
        <v>902</v>
      </c>
      <c r="B268" s="1433" t="s">
        <v>834</v>
      </c>
      <c r="C268" s="1467" t="s">
        <v>836</v>
      </c>
      <c r="D268" s="1404" t="s">
        <v>28</v>
      </c>
      <c r="E268" s="1405">
        <v>267</v>
      </c>
      <c r="F268" s="1406" t="s">
        <v>875</v>
      </c>
      <c r="G268" s="1410" t="s">
        <v>846</v>
      </c>
      <c r="H268" s="1105" t="s">
        <v>835</v>
      </c>
      <c r="I268" s="728" t="s">
        <v>28</v>
      </c>
      <c r="J268" s="1411" t="s">
        <v>854</v>
      </c>
    </row>
    <row r="269" spans="1:10" x14ac:dyDescent="0.25">
      <c r="A269" s="1432" t="s">
        <v>905</v>
      </c>
      <c r="B269" s="1433" t="s">
        <v>548</v>
      </c>
      <c r="C269" s="1467" t="s">
        <v>836</v>
      </c>
      <c r="D269" s="1404" t="s">
        <v>28</v>
      </c>
      <c r="E269" s="1405">
        <v>268</v>
      </c>
      <c r="F269" s="1406" t="s">
        <v>877</v>
      </c>
      <c r="G269" s="1417" t="s">
        <v>878</v>
      </c>
      <c r="H269" s="1105" t="s">
        <v>835</v>
      </c>
      <c r="I269" s="728" t="s">
        <v>28</v>
      </c>
      <c r="J269" s="1411" t="s">
        <v>879</v>
      </c>
    </row>
    <row r="270" spans="1:10" x14ac:dyDescent="0.25">
      <c r="A270" s="1434" t="s">
        <v>906</v>
      </c>
      <c r="B270" s="1433" t="s">
        <v>907</v>
      </c>
      <c r="C270" s="1467" t="s">
        <v>836</v>
      </c>
      <c r="D270" s="1404" t="s">
        <v>28</v>
      </c>
      <c r="E270" s="1405">
        <v>269</v>
      </c>
      <c r="F270" s="1418">
        <v>3.4</v>
      </c>
      <c r="G270" s="1417" t="s">
        <v>881</v>
      </c>
      <c r="H270" s="378" t="s">
        <v>835</v>
      </c>
      <c r="I270" s="728" t="s">
        <v>28</v>
      </c>
      <c r="J270" s="1411" t="s">
        <v>873</v>
      </c>
    </row>
    <row r="271" spans="1:10" x14ac:dyDescent="0.25">
      <c r="A271" s="1434" t="s">
        <v>910</v>
      </c>
      <c r="B271" s="1433" t="s">
        <v>911</v>
      </c>
      <c r="C271" s="1467" t="s">
        <v>836</v>
      </c>
      <c r="D271" s="1404" t="s">
        <v>28</v>
      </c>
      <c r="E271" s="1405">
        <v>270</v>
      </c>
      <c r="F271" s="1418">
        <v>3.5</v>
      </c>
      <c r="G271" s="1410" t="s">
        <v>884</v>
      </c>
      <c r="H271" s="378" t="s">
        <v>835</v>
      </c>
      <c r="I271" s="728" t="s">
        <v>28</v>
      </c>
      <c r="J271" s="1411" t="s">
        <v>885</v>
      </c>
    </row>
    <row r="272" spans="1:10" x14ac:dyDescent="0.25">
      <c r="A272" s="1434" t="s">
        <v>913</v>
      </c>
      <c r="B272" s="1433" t="s">
        <v>914</v>
      </c>
      <c r="C272" s="1467" t="s">
        <v>836</v>
      </c>
      <c r="D272" s="1404" t="s">
        <v>28</v>
      </c>
      <c r="E272" s="1405">
        <v>271</v>
      </c>
      <c r="F272" s="1418">
        <v>3.6</v>
      </c>
      <c r="G272" s="1417" t="s">
        <v>834</v>
      </c>
      <c r="H272" s="378" t="s">
        <v>835</v>
      </c>
      <c r="I272" s="728" t="s">
        <v>28</v>
      </c>
      <c r="J272" s="1411" t="s">
        <v>837</v>
      </c>
    </row>
    <row r="273" spans="1:10" x14ac:dyDescent="0.25">
      <c r="A273" s="1434" t="s">
        <v>915</v>
      </c>
      <c r="B273" s="1433" t="s">
        <v>834</v>
      </c>
      <c r="C273" s="1467" t="s">
        <v>836</v>
      </c>
      <c r="D273" s="1404" t="s">
        <v>28</v>
      </c>
      <c r="E273" s="1405">
        <v>272</v>
      </c>
      <c r="F273" s="1406" t="s">
        <v>732</v>
      </c>
      <c r="G273" s="1417" t="s">
        <v>834</v>
      </c>
      <c r="H273" s="1105" t="s">
        <v>835</v>
      </c>
      <c r="I273" s="728" t="s">
        <v>28</v>
      </c>
      <c r="J273" s="1411" t="s">
        <v>837</v>
      </c>
    </row>
    <row r="274" spans="1:10" x14ac:dyDescent="0.25">
      <c r="A274" s="1434" t="s">
        <v>764</v>
      </c>
      <c r="B274" s="1433" t="s">
        <v>916</v>
      </c>
      <c r="C274" s="1467" t="s">
        <v>836</v>
      </c>
      <c r="D274" s="1404" t="s">
        <v>28</v>
      </c>
      <c r="E274" s="1405">
        <v>273</v>
      </c>
      <c r="F274" s="1406" t="s">
        <v>734</v>
      </c>
      <c r="G274" s="1417" t="s">
        <v>890</v>
      </c>
      <c r="H274" s="1105" t="s">
        <v>835</v>
      </c>
      <c r="I274" s="728" t="s">
        <v>28</v>
      </c>
      <c r="J274" s="1411" t="s">
        <v>891</v>
      </c>
    </row>
    <row r="275" spans="1:10" x14ac:dyDescent="0.25">
      <c r="A275" s="1434">
        <v>5.1100000000000003</v>
      </c>
      <c r="B275" s="1433" t="s">
        <v>548</v>
      </c>
      <c r="C275" s="1467" t="s">
        <v>836</v>
      </c>
      <c r="D275" s="1404" t="s">
        <v>28</v>
      </c>
      <c r="E275" s="1405">
        <v>274</v>
      </c>
      <c r="F275" s="1418">
        <v>4.2</v>
      </c>
      <c r="G275" s="1417" t="s">
        <v>843</v>
      </c>
      <c r="H275" s="378" t="s">
        <v>835</v>
      </c>
      <c r="I275" s="728" t="s">
        <v>28</v>
      </c>
      <c r="J275" s="1411" t="s">
        <v>863</v>
      </c>
    </row>
    <row r="276" spans="1:10" x14ac:dyDescent="0.25">
      <c r="A276" s="1434">
        <v>5.12</v>
      </c>
      <c r="B276" s="1433" t="s">
        <v>548</v>
      </c>
      <c r="C276" s="1467" t="s">
        <v>836</v>
      </c>
      <c r="D276" s="1404" t="s">
        <v>28</v>
      </c>
      <c r="E276" s="1405">
        <v>275</v>
      </c>
      <c r="F276" s="1418">
        <v>4.3</v>
      </c>
      <c r="G276" s="1410" t="s">
        <v>894</v>
      </c>
      <c r="H276" s="378" t="s">
        <v>835</v>
      </c>
      <c r="I276" s="728" t="s">
        <v>28</v>
      </c>
      <c r="J276" s="1411" t="s">
        <v>895</v>
      </c>
    </row>
    <row r="277" spans="1:10" x14ac:dyDescent="0.25">
      <c r="A277" s="1437">
        <v>5.13</v>
      </c>
      <c r="B277" s="1438" t="s">
        <v>548</v>
      </c>
      <c r="C277" s="1467" t="s">
        <v>836</v>
      </c>
      <c r="D277" s="1404" t="s">
        <v>28</v>
      </c>
      <c r="E277" s="1405">
        <v>276</v>
      </c>
      <c r="F277" s="1418">
        <v>4.4000000000000004</v>
      </c>
      <c r="G277" s="1410" t="s">
        <v>898</v>
      </c>
      <c r="H277" s="378" t="s">
        <v>835</v>
      </c>
      <c r="I277" s="728" t="s">
        <v>28</v>
      </c>
      <c r="J277" s="1411" t="s">
        <v>899</v>
      </c>
    </row>
    <row r="278" spans="1:10" x14ac:dyDescent="0.25">
      <c r="A278" s="1430" t="s">
        <v>918</v>
      </c>
      <c r="B278" s="1431" t="s">
        <v>834</v>
      </c>
      <c r="C278" s="1467" t="s">
        <v>836</v>
      </c>
      <c r="D278" s="1404" t="s">
        <v>28</v>
      </c>
      <c r="E278" s="1405">
        <v>277</v>
      </c>
      <c r="F278" s="1406" t="s">
        <v>741</v>
      </c>
      <c r="G278" s="1417" t="s">
        <v>834</v>
      </c>
      <c r="H278" s="1105" t="s">
        <v>835</v>
      </c>
      <c r="I278" s="728" t="s">
        <v>28</v>
      </c>
      <c r="J278" s="1411" t="s">
        <v>837</v>
      </c>
    </row>
    <row r="279" spans="1:10" x14ac:dyDescent="0.25">
      <c r="A279" s="1434" t="s">
        <v>919</v>
      </c>
      <c r="B279" s="1433" t="s">
        <v>834</v>
      </c>
      <c r="C279" s="1467" t="s">
        <v>836</v>
      </c>
      <c r="D279" s="1404" t="s">
        <v>28</v>
      </c>
      <c r="E279" s="1405">
        <v>278</v>
      </c>
      <c r="F279" s="1406" t="s">
        <v>743</v>
      </c>
      <c r="G279" s="1417" t="s">
        <v>548</v>
      </c>
      <c r="H279" s="1105" t="s">
        <v>835</v>
      </c>
      <c r="I279" s="728" t="s">
        <v>28</v>
      </c>
      <c r="J279" s="1411" t="s">
        <v>548</v>
      </c>
    </row>
    <row r="280" spans="1:10" x14ac:dyDescent="0.25">
      <c r="A280" s="1434" t="s">
        <v>920</v>
      </c>
      <c r="B280" s="1433" t="s">
        <v>866</v>
      </c>
      <c r="C280" s="1467" t="s">
        <v>836</v>
      </c>
      <c r="D280" s="1404" t="s">
        <v>28</v>
      </c>
      <c r="E280" s="1405">
        <v>279</v>
      </c>
      <c r="F280" s="1406" t="s">
        <v>745</v>
      </c>
      <c r="G280" s="1436" t="s">
        <v>903</v>
      </c>
      <c r="H280" s="1105" t="s">
        <v>835</v>
      </c>
      <c r="I280" s="728" t="s">
        <v>28</v>
      </c>
      <c r="J280" s="1411" t="s">
        <v>904</v>
      </c>
    </row>
    <row r="281" spans="1:10" x14ac:dyDescent="0.25">
      <c r="A281" s="1434" t="s">
        <v>921</v>
      </c>
      <c r="B281" s="1433" t="s">
        <v>922</v>
      </c>
      <c r="C281" s="1467" t="s">
        <v>836</v>
      </c>
      <c r="D281" s="1404" t="s">
        <v>28</v>
      </c>
      <c r="E281" s="1405">
        <v>280</v>
      </c>
      <c r="F281" s="1406" t="s">
        <v>747</v>
      </c>
      <c r="G281" s="1417" t="s">
        <v>548</v>
      </c>
      <c r="H281" s="1105" t="s">
        <v>835</v>
      </c>
      <c r="I281" s="728" t="s">
        <v>28</v>
      </c>
      <c r="J281" s="1411" t="s">
        <v>548</v>
      </c>
    </row>
    <row r="282" spans="1:10" x14ac:dyDescent="0.25">
      <c r="A282" s="1434" t="s">
        <v>923</v>
      </c>
      <c r="B282" s="1433" t="s">
        <v>866</v>
      </c>
      <c r="C282" s="1467" t="s">
        <v>836</v>
      </c>
      <c r="D282" s="1404" t="s">
        <v>28</v>
      </c>
      <c r="E282" s="1405">
        <v>281</v>
      </c>
      <c r="F282" s="1418">
        <v>5.3</v>
      </c>
      <c r="G282" s="1410" t="s">
        <v>908</v>
      </c>
      <c r="H282" s="378" t="s">
        <v>835</v>
      </c>
      <c r="I282" s="728" t="s">
        <v>28</v>
      </c>
      <c r="J282" s="1411" t="s">
        <v>909</v>
      </c>
    </row>
    <row r="283" spans="1:10" x14ac:dyDescent="0.25">
      <c r="A283" s="1434" t="s">
        <v>924</v>
      </c>
      <c r="B283" s="1433" t="s">
        <v>866</v>
      </c>
      <c r="C283" s="1467" t="s">
        <v>836</v>
      </c>
      <c r="D283" s="1404" t="s">
        <v>28</v>
      </c>
      <c r="E283" s="1405">
        <v>282</v>
      </c>
      <c r="F283" s="1418">
        <v>5.4</v>
      </c>
      <c r="G283" s="1417" t="s">
        <v>912</v>
      </c>
      <c r="H283" s="378" t="s">
        <v>835</v>
      </c>
      <c r="I283" s="728" t="s">
        <v>28</v>
      </c>
      <c r="J283" s="1411" t="s">
        <v>873</v>
      </c>
    </row>
    <row r="284" spans="1:10" x14ac:dyDescent="0.25">
      <c r="A284" s="1434" t="s">
        <v>925</v>
      </c>
      <c r="B284" s="1433" t="s">
        <v>846</v>
      </c>
      <c r="C284" s="1467" t="s">
        <v>836</v>
      </c>
      <c r="D284" s="1404" t="s">
        <v>28</v>
      </c>
      <c r="E284" s="1405">
        <v>283</v>
      </c>
      <c r="F284" s="1418">
        <v>5.5</v>
      </c>
      <c r="G284" s="1410" t="s">
        <v>850</v>
      </c>
      <c r="H284" s="378" t="s">
        <v>835</v>
      </c>
      <c r="I284" s="728" t="s">
        <v>28</v>
      </c>
      <c r="J284" s="1411" t="s">
        <v>865</v>
      </c>
    </row>
    <row r="285" spans="1:10" x14ac:dyDescent="0.25">
      <c r="A285" s="1434" t="s">
        <v>926</v>
      </c>
      <c r="B285" s="1433" t="s">
        <v>846</v>
      </c>
      <c r="C285" s="1467" t="s">
        <v>836</v>
      </c>
      <c r="D285" s="1404" t="s">
        <v>28</v>
      </c>
      <c r="E285" s="1405">
        <v>284</v>
      </c>
      <c r="F285" s="1418">
        <v>5.6</v>
      </c>
      <c r="G285" s="1410" t="s">
        <v>834</v>
      </c>
      <c r="H285" s="378" t="s">
        <v>835</v>
      </c>
      <c r="I285" s="728" t="s">
        <v>28</v>
      </c>
      <c r="J285" s="1411" t="s">
        <v>837</v>
      </c>
    </row>
    <row r="286" spans="1:10" x14ac:dyDescent="0.25">
      <c r="A286" s="1437" t="s">
        <v>927</v>
      </c>
      <c r="B286" s="1438" t="s">
        <v>928</v>
      </c>
      <c r="C286" s="1467" t="s">
        <v>836</v>
      </c>
      <c r="D286" s="1404" t="s">
        <v>28</v>
      </c>
      <c r="E286" s="1405">
        <v>285</v>
      </c>
      <c r="F286" s="1406" t="s">
        <v>753</v>
      </c>
      <c r="G286" s="1417" t="s">
        <v>834</v>
      </c>
      <c r="H286" s="1105" t="s">
        <v>835</v>
      </c>
      <c r="I286" s="728" t="s">
        <v>28</v>
      </c>
      <c r="J286" s="1411" t="s">
        <v>837</v>
      </c>
    </row>
    <row r="287" spans="1:10" x14ac:dyDescent="0.25">
      <c r="A287" s="1430" t="s">
        <v>929</v>
      </c>
      <c r="B287" s="1431" t="s">
        <v>834</v>
      </c>
      <c r="C287" s="1467" t="s">
        <v>836</v>
      </c>
      <c r="D287" s="1404" t="s">
        <v>28</v>
      </c>
      <c r="E287" s="1405">
        <v>286</v>
      </c>
      <c r="F287" s="1406" t="s">
        <v>755</v>
      </c>
      <c r="G287" s="1417" t="s">
        <v>548</v>
      </c>
      <c r="H287" s="1105" t="s">
        <v>835</v>
      </c>
      <c r="I287" s="728" t="s">
        <v>28</v>
      </c>
      <c r="J287" s="1411" t="s">
        <v>548</v>
      </c>
    </row>
    <row r="288" spans="1:10" x14ac:dyDescent="0.25">
      <c r="A288" s="1434" t="s">
        <v>932</v>
      </c>
      <c r="B288" s="1435" t="s">
        <v>933</v>
      </c>
      <c r="C288" s="1467" t="s">
        <v>836</v>
      </c>
      <c r="D288" s="1404" t="s">
        <v>28</v>
      </c>
      <c r="E288" s="1405">
        <v>287</v>
      </c>
      <c r="F288" s="1406" t="s">
        <v>757</v>
      </c>
      <c r="G288" s="1417" t="s">
        <v>548</v>
      </c>
      <c r="H288" s="1105" t="s">
        <v>835</v>
      </c>
      <c r="I288" s="728" t="s">
        <v>28</v>
      </c>
      <c r="J288" s="1411" t="s">
        <v>548</v>
      </c>
    </row>
    <row r="289" spans="1:10" x14ac:dyDescent="0.25">
      <c r="A289" s="1434" t="s">
        <v>934</v>
      </c>
      <c r="B289" s="1433" t="s">
        <v>935</v>
      </c>
      <c r="C289" s="1467" t="s">
        <v>836</v>
      </c>
      <c r="D289" s="1404" t="s">
        <v>28</v>
      </c>
      <c r="E289" s="1405">
        <v>288</v>
      </c>
      <c r="F289" s="1406" t="s">
        <v>759</v>
      </c>
      <c r="G289" s="1410" t="s">
        <v>911</v>
      </c>
      <c r="H289" s="1105" t="s">
        <v>835</v>
      </c>
      <c r="I289" s="728" t="s">
        <v>28</v>
      </c>
      <c r="J289" s="1411" t="s">
        <v>917</v>
      </c>
    </row>
    <row r="290" spans="1:10" x14ac:dyDescent="0.25">
      <c r="A290" s="1434" t="s">
        <v>937</v>
      </c>
      <c r="B290" s="1433" t="s">
        <v>834</v>
      </c>
      <c r="C290" s="1467" t="s">
        <v>836</v>
      </c>
      <c r="D290" s="1404" t="s">
        <v>28</v>
      </c>
      <c r="E290" s="1405">
        <v>289</v>
      </c>
      <c r="F290" s="1406" t="s">
        <v>761</v>
      </c>
      <c r="G290" s="1417" t="s">
        <v>548</v>
      </c>
      <c r="H290" s="1105" t="s">
        <v>835</v>
      </c>
      <c r="I290" s="728" t="s">
        <v>28</v>
      </c>
      <c r="J290" s="1411" t="s">
        <v>548</v>
      </c>
    </row>
    <row r="291" spans="1:10" x14ac:dyDescent="0.25">
      <c r="A291" s="1432" t="s">
        <v>938</v>
      </c>
      <c r="B291" s="1433" t="s">
        <v>548</v>
      </c>
      <c r="C291" s="1467" t="s">
        <v>836</v>
      </c>
      <c r="D291" s="1404" t="s">
        <v>28</v>
      </c>
      <c r="E291" s="1405">
        <v>290</v>
      </c>
      <c r="F291" s="1418">
        <v>5.9</v>
      </c>
      <c r="G291" s="1417" t="s">
        <v>834</v>
      </c>
      <c r="H291" s="378" t="s">
        <v>835</v>
      </c>
      <c r="I291" s="728" t="s">
        <v>28</v>
      </c>
      <c r="J291" s="1411" t="s">
        <v>837</v>
      </c>
    </row>
    <row r="292" spans="1:10" x14ac:dyDescent="0.25">
      <c r="A292" s="1434" t="s">
        <v>939</v>
      </c>
      <c r="B292" s="1433" t="s">
        <v>834</v>
      </c>
      <c r="C292" s="1467" t="s">
        <v>836</v>
      </c>
      <c r="D292" s="1404" t="s">
        <v>28</v>
      </c>
      <c r="E292" s="1405">
        <v>291</v>
      </c>
      <c r="F292" s="1422" t="s">
        <v>764</v>
      </c>
      <c r="G292" s="1417" t="s">
        <v>548</v>
      </c>
      <c r="H292" s="378" t="s">
        <v>835</v>
      </c>
      <c r="I292" s="728" t="s">
        <v>28</v>
      </c>
      <c r="J292" s="1411" t="s">
        <v>548</v>
      </c>
    </row>
    <row r="293" spans="1:10" x14ac:dyDescent="0.25">
      <c r="A293" s="1432" t="s">
        <v>941</v>
      </c>
      <c r="B293" s="1433" t="s">
        <v>548</v>
      </c>
      <c r="C293" s="1467" t="s">
        <v>836</v>
      </c>
      <c r="D293" s="1404" t="s">
        <v>28</v>
      </c>
      <c r="E293" s="1405">
        <v>292</v>
      </c>
      <c r="F293" s="1418">
        <v>5.1100000000000003</v>
      </c>
      <c r="G293" s="1417" t="s">
        <v>548</v>
      </c>
      <c r="H293" s="378" t="s">
        <v>835</v>
      </c>
      <c r="I293" s="728" t="s">
        <v>28</v>
      </c>
      <c r="J293" s="1411" t="s">
        <v>548</v>
      </c>
    </row>
    <row r="294" spans="1:10" x14ac:dyDescent="0.25">
      <c r="A294" s="1434">
        <v>7.5</v>
      </c>
      <c r="B294" s="1433" t="s">
        <v>834</v>
      </c>
      <c r="C294" s="1467" t="s">
        <v>836</v>
      </c>
      <c r="D294" s="1404" t="s">
        <v>28</v>
      </c>
      <c r="E294" s="1405">
        <v>293</v>
      </c>
      <c r="F294" s="1418">
        <v>5.12</v>
      </c>
      <c r="G294" s="1417" t="s">
        <v>548</v>
      </c>
      <c r="H294" s="378" t="s">
        <v>835</v>
      </c>
      <c r="I294" s="728" t="s">
        <v>28</v>
      </c>
      <c r="J294" s="1411" t="s">
        <v>548</v>
      </c>
    </row>
    <row r="295" spans="1:10" x14ac:dyDescent="0.25">
      <c r="A295" s="1434">
        <v>7.6</v>
      </c>
      <c r="B295" s="1433" t="s">
        <v>834</v>
      </c>
      <c r="C295" s="1467" t="s">
        <v>836</v>
      </c>
      <c r="D295" s="1404" t="s">
        <v>28</v>
      </c>
      <c r="E295" s="1405">
        <v>294</v>
      </c>
      <c r="F295" s="1418">
        <v>5.13</v>
      </c>
      <c r="G295" s="1417" t="s">
        <v>548</v>
      </c>
      <c r="H295" s="378" t="s">
        <v>835</v>
      </c>
      <c r="I295" s="728" t="s">
        <v>28</v>
      </c>
      <c r="J295" s="1411" t="s">
        <v>548</v>
      </c>
    </row>
    <row r="296" spans="1:10" x14ac:dyDescent="0.25">
      <c r="A296" s="1434">
        <v>7.7</v>
      </c>
      <c r="B296" s="1433" t="s">
        <v>834</v>
      </c>
      <c r="C296" s="1467" t="s">
        <v>836</v>
      </c>
      <c r="D296" s="1404" t="s">
        <v>28</v>
      </c>
      <c r="E296" s="1405">
        <v>295</v>
      </c>
      <c r="F296" s="1418">
        <v>6.1</v>
      </c>
      <c r="G296" s="1417" t="s">
        <v>834</v>
      </c>
      <c r="H296" s="378" t="s">
        <v>835</v>
      </c>
      <c r="I296" s="728" t="s">
        <v>28</v>
      </c>
      <c r="J296" s="1411" t="s">
        <v>837</v>
      </c>
    </row>
    <row r="297" spans="1:10" x14ac:dyDescent="0.25">
      <c r="A297" s="1434">
        <v>7.8</v>
      </c>
      <c r="B297" s="1433" t="s">
        <v>834</v>
      </c>
      <c r="C297" s="1467" t="s">
        <v>836</v>
      </c>
      <c r="D297" s="1404" t="s">
        <v>28</v>
      </c>
      <c r="E297" s="1405">
        <v>296</v>
      </c>
      <c r="F297" s="1418">
        <v>6.2</v>
      </c>
      <c r="G297" s="1417" t="s">
        <v>834</v>
      </c>
      <c r="H297" s="378" t="s">
        <v>835</v>
      </c>
      <c r="I297" s="728" t="s">
        <v>28</v>
      </c>
      <c r="J297" s="1411" t="s">
        <v>837</v>
      </c>
    </row>
    <row r="298" spans="1:10" x14ac:dyDescent="0.25">
      <c r="A298" s="1440" t="s">
        <v>944</v>
      </c>
      <c r="B298" s="1433" t="s">
        <v>834</v>
      </c>
      <c r="C298" s="1467" t="s">
        <v>836</v>
      </c>
      <c r="D298" s="1404" t="s">
        <v>28</v>
      </c>
      <c r="E298" s="1405">
        <v>297</v>
      </c>
      <c r="F298" s="1418">
        <v>6.3</v>
      </c>
      <c r="G298" s="1417" t="s">
        <v>878</v>
      </c>
      <c r="H298" s="378" t="s">
        <v>835</v>
      </c>
      <c r="I298" s="728" t="s">
        <v>28</v>
      </c>
      <c r="J298" s="1439" t="s">
        <v>879</v>
      </c>
    </row>
    <row r="299" spans="1:10" x14ac:dyDescent="0.25">
      <c r="A299" s="1434" t="s">
        <v>945</v>
      </c>
      <c r="B299" s="1433" t="s">
        <v>834</v>
      </c>
      <c r="C299" s="1467" t="s">
        <v>836</v>
      </c>
      <c r="D299" s="1404" t="s">
        <v>28</v>
      </c>
      <c r="E299" s="1405">
        <v>298</v>
      </c>
      <c r="F299" s="1418">
        <v>6.4</v>
      </c>
      <c r="G299" s="1417" t="s">
        <v>930</v>
      </c>
      <c r="H299" s="378" t="s">
        <v>835</v>
      </c>
      <c r="I299" s="728" t="s">
        <v>28</v>
      </c>
      <c r="J299" s="1411" t="s">
        <v>931</v>
      </c>
    </row>
    <row r="300" spans="1:10" x14ac:dyDescent="0.25">
      <c r="A300" s="1434" t="s">
        <v>946</v>
      </c>
      <c r="B300" s="1433" t="s">
        <v>834</v>
      </c>
      <c r="C300" s="1467" t="s">
        <v>836</v>
      </c>
      <c r="D300" s="1404" t="s">
        <v>28</v>
      </c>
      <c r="E300" s="1405">
        <v>299</v>
      </c>
      <c r="F300" s="1406" t="s">
        <v>774</v>
      </c>
      <c r="G300" s="1410" t="s">
        <v>843</v>
      </c>
      <c r="H300" s="1105" t="s">
        <v>835</v>
      </c>
      <c r="I300" s="728" t="s">
        <v>28</v>
      </c>
      <c r="J300" s="1411" t="s">
        <v>863</v>
      </c>
    </row>
    <row r="301" spans="1:10" x14ac:dyDescent="0.25">
      <c r="A301" s="1434" t="s">
        <v>796</v>
      </c>
      <c r="B301" s="1433" t="s">
        <v>834</v>
      </c>
      <c r="C301" s="1467" t="s">
        <v>836</v>
      </c>
      <c r="D301" s="1404" t="s">
        <v>28</v>
      </c>
      <c r="E301" s="1405">
        <v>300</v>
      </c>
      <c r="F301" s="1406" t="s">
        <v>776</v>
      </c>
      <c r="G301" s="1410" t="s">
        <v>936</v>
      </c>
      <c r="H301" s="1105" t="s">
        <v>835</v>
      </c>
      <c r="I301" s="728" t="s">
        <v>28</v>
      </c>
      <c r="J301" s="1411" t="s">
        <v>863</v>
      </c>
    </row>
    <row r="302" spans="1:10" x14ac:dyDescent="0.25">
      <c r="A302" s="1434">
        <v>7.11</v>
      </c>
      <c r="B302" s="1433" t="s">
        <v>834</v>
      </c>
      <c r="C302" s="1467" t="s">
        <v>836</v>
      </c>
      <c r="D302" s="1404" t="s">
        <v>28</v>
      </c>
      <c r="E302" s="1405">
        <v>301</v>
      </c>
      <c r="F302" s="1418">
        <v>6.6</v>
      </c>
      <c r="G302" s="1417" t="s">
        <v>841</v>
      </c>
      <c r="H302" s="378" t="s">
        <v>835</v>
      </c>
      <c r="I302" s="728" t="s">
        <v>28</v>
      </c>
      <c r="J302" s="1439" t="s">
        <v>842</v>
      </c>
    </row>
    <row r="303" spans="1:10" x14ac:dyDescent="0.25">
      <c r="A303" s="1434">
        <v>7.12</v>
      </c>
      <c r="B303" s="1433" t="s">
        <v>834</v>
      </c>
      <c r="C303" s="1467" t="s">
        <v>836</v>
      </c>
      <c r="D303" s="1404" t="s">
        <v>28</v>
      </c>
      <c r="E303" s="1405">
        <v>302</v>
      </c>
      <c r="F303" s="1418">
        <v>7.1</v>
      </c>
      <c r="G303" s="1417" t="s">
        <v>834</v>
      </c>
      <c r="H303" s="378" t="s">
        <v>835</v>
      </c>
      <c r="I303" s="728" t="s">
        <v>28</v>
      </c>
      <c r="J303" s="1411" t="s">
        <v>837</v>
      </c>
    </row>
    <row r="304" spans="1:10" x14ac:dyDescent="0.25">
      <c r="A304" s="1434">
        <v>7.13</v>
      </c>
      <c r="B304" s="1433" t="s">
        <v>947</v>
      </c>
      <c r="C304" s="1467" t="s">
        <v>836</v>
      </c>
      <c r="D304" s="1404" t="s">
        <v>28</v>
      </c>
      <c r="E304" s="1405">
        <v>303</v>
      </c>
      <c r="F304" s="1406" t="s">
        <v>782</v>
      </c>
      <c r="G304" s="1410" t="s">
        <v>940</v>
      </c>
      <c r="H304" s="1105" t="s">
        <v>835</v>
      </c>
      <c r="I304" s="728" t="s">
        <v>28</v>
      </c>
      <c r="J304" s="1411" t="s">
        <v>873</v>
      </c>
    </row>
    <row r="305" spans="1:10" x14ac:dyDescent="0.25">
      <c r="A305" s="1434">
        <v>7.14</v>
      </c>
      <c r="B305" s="1433" t="s">
        <v>834</v>
      </c>
      <c r="C305" s="1467" t="s">
        <v>836</v>
      </c>
      <c r="D305" s="1404" t="s">
        <v>28</v>
      </c>
      <c r="E305" s="1405">
        <v>304</v>
      </c>
      <c r="F305" s="1406" t="s">
        <v>784</v>
      </c>
      <c r="G305" s="1410" t="s">
        <v>942</v>
      </c>
      <c r="H305" s="1105" t="s">
        <v>835</v>
      </c>
      <c r="I305" s="728" t="s">
        <v>28</v>
      </c>
      <c r="J305" s="1411" t="s">
        <v>943</v>
      </c>
    </row>
    <row r="306" spans="1:10" x14ac:dyDescent="0.25">
      <c r="A306" s="1434">
        <v>7.15</v>
      </c>
      <c r="B306" s="1433" t="s">
        <v>834</v>
      </c>
      <c r="C306" s="1467" t="s">
        <v>836</v>
      </c>
      <c r="D306" s="1404" t="s">
        <v>28</v>
      </c>
      <c r="E306" s="1405">
        <v>305</v>
      </c>
      <c r="F306" s="1406" t="s">
        <v>785</v>
      </c>
      <c r="G306" s="1410" t="s">
        <v>834</v>
      </c>
      <c r="H306" s="1105" t="s">
        <v>835</v>
      </c>
      <c r="I306" s="728" t="s">
        <v>28</v>
      </c>
      <c r="J306" s="1411" t="s">
        <v>837</v>
      </c>
    </row>
    <row r="307" spans="1:10" x14ac:dyDescent="0.25">
      <c r="A307" s="1434">
        <v>7.16</v>
      </c>
      <c r="B307" s="1433" t="s">
        <v>834</v>
      </c>
      <c r="C307" s="1467" t="s">
        <v>836</v>
      </c>
      <c r="D307" s="1404" t="s">
        <v>28</v>
      </c>
      <c r="E307" s="1405">
        <v>306</v>
      </c>
      <c r="F307" s="1406" t="s">
        <v>787</v>
      </c>
      <c r="G307" s="1417" t="s">
        <v>548</v>
      </c>
      <c r="H307" s="1105" t="s">
        <v>835</v>
      </c>
      <c r="I307" s="728" t="s">
        <v>28</v>
      </c>
      <c r="J307" s="1411" t="s">
        <v>548</v>
      </c>
    </row>
    <row r="308" spans="1:10" x14ac:dyDescent="0.25">
      <c r="A308" s="1437">
        <v>7.17</v>
      </c>
      <c r="B308" s="1438" t="s">
        <v>898</v>
      </c>
      <c r="C308" s="1467" t="s">
        <v>836</v>
      </c>
      <c r="D308" s="1404" t="s">
        <v>28</v>
      </c>
      <c r="E308" s="1405">
        <v>307</v>
      </c>
      <c r="F308" s="1406" t="s">
        <v>788</v>
      </c>
      <c r="G308" s="1417" t="s">
        <v>834</v>
      </c>
      <c r="H308" s="1105" t="s">
        <v>835</v>
      </c>
      <c r="I308" s="728" t="s">
        <v>28</v>
      </c>
      <c r="J308" s="1411" t="s">
        <v>837</v>
      </c>
    </row>
    <row r="309" spans="1:10" x14ac:dyDescent="0.25">
      <c r="A309" s="1430" t="s">
        <v>950</v>
      </c>
      <c r="B309" s="1431" t="s">
        <v>834</v>
      </c>
      <c r="C309" s="1467" t="s">
        <v>836</v>
      </c>
      <c r="D309" s="1404" t="s">
        <v>28</v>
      </c>
      <c r="E309" s="1405">
        <v>308</v>
      </c>
      <c r="F309" s="1406" t="s">
        <v>790</v>
      </c>
      <c r="G309" s="1417" t="s">
        <v>548</v>
      </c>
      <c r="H309" s="1105" t="s">
        <v>835</v>
      </c>
      <c r="I309" s="728" t="s">
        <v>28</v>
      </c>
      <c r="J309" s="1411" t="s">
        <v>548</v>
      </c>
    </row>
    <row r="310" spans="1:10" x14ac:dyDescent="0.25">
      <c r="A310" s="1434" t="s">
        <v>951</v>
      </c>
      <c r="B310" s="1433" t="s">
        <v>834</v>
      </c>
      <c r="C310" s="1467" t="s">
        <v>836</v>
      </c>
      <c r="D310" s="1404" t="s">
        <v>28</v>
      </c>
      <c r="E310" s="1405">
        <v>309</v>
      </c>
      <c r="F310" s="1418">
        <v>7.5</v>
      </c>
      <c r="G310" s="1417" t="s">
        <v>834</v>
      </c>
      <c r="H310" s="378" t="s">
        <v>835</v>
      </c>
      <c r="I310" s="728" t="s">
        <v>28</v>
      </c>
      <c r="J310" s="1411" t="s">
        <v>837</v>
      </c>
    </row>
    <row r="311" spans="1:10" x14ac:dyDescent="0.25">
      <c r="A311" s="1434" t="s">
        <v>952</v>
      </c>
      <c r="B311" s="1433" t="s">
        <v>834</v>
      </c>
      <c r="C311" s="1467" t="s">
        <v>836</v>
      </c>
      <c r="D311" s="1404" t="s">
        <v>28</v>
      </c>
      <c r="E311" s="1405">
        <v>310</v>
      </c>
      <c r="F311" s="1418">
        <v>7.6</v>
      </c>
      <c r="G311" s="1417" t="s">
        <v>834</v>
      </c>
      <c r="H311" s="378" t="s">
        <v>835</v>
      </c>
      <c r="I311" s="728" t="s">
        <v>28</v>
      </c>
      <c r="J311" s="1411" t="s">
        <v>837</v>
      </c>
    </row>
    <row r="312" spans="1:10" x14ac:dyDescent="0.25">
      <c r="A312" s="1434" t="s">
        <v>953</v>
      </c>
      <c r="B312" s="1433" t="s">
        <v>898</v>
      </c>
      <c r="C312" s="1467" t="s">
        <v>836</v>
      </c>
      <c r="D312" s="1404" t="s">
        <v>28</v>
      </c>
      <c r="E312" s="1405">
        <v>311</v>
      </c>
      <c r="F312" s="1418">
        <v>7.7</v>
      </c>
      <c r="G312" s="1417" t="s">
        <v>834</v>
      </c>
      <c r="H312" s="378" t="s">
        <v>835</v>
      </c>
      <c r="I312" s="728" t="s">
        <v>28</v>
      </c>
      <c r="J312" s="1411" t="s">
        <v>837</v>
      </c>
    </row>
    <row r="313" spans="1:10" x14ac:dyDescent="0.25">
      <c r="A313" s="1434" t="s">
        <v>954</v>
      </c>
      <c r="B313" s="1433" t="s">
        <v>843</v>
      </c>
      <c r="C313" s="1467" t="s">
        <v>836</v>
      </c>
      <c r="D313" s="1404" t="s">
        <v>28</v>
      </c>
      <c r="E313" s="1405">
        <v>312</v>
      </c>
      <c r="F313" s="1418">
        <v>7.8</v>
      </c>
      <c r="G313" s="1417" t="s">
        <v>834</v>
      </c>
      <c r="H313" s="378" t="s">
        <v>835</v>
      </c>
      <c r="I313" s="728" t="s">
        <v>28</v>
      </c>
      <c r="J313" s="1411" t="s">
        <v>837</v>
      </c>
    </row>
    <row r="314" spans="1:10" x14ac:dyDescent="0.25">
      <c r="A314" s="1446">
        <v>1.1000000000000001</v>
      </c>
      <c r="B314" s="1447" t="s">
        <v>834</v>
      </c>
      <c r="C314" s="1467" t="s">
        <v>836</v>
      </c>
      <c r="D314" s="1404" t="s">
        <v>955</v>
      </c>
      <c r="E314" s="1405">
        <v>313</v>
      </c>
      <c r="F314" s="1418">
        <v>7.9</v>
      </c>
      <c r="G314" s="1417" t="s">
        <v>834</v>
      </c>
      <c r="H314" s="378" t="s">
        <v>835</v>
      </c>
      <c r="I314" s="728" t="s">
        <v>28</v>
      </c>
      <c r="J314" s="1411" t="s">
        <v>837</v>
      </c>
    </row>
    <row r="315" spans="1:10" x14ac:dyDescent="0.25">
      <c r="A315" s="1412">
        <v>1.2</v>
      </c>
      <c r="B315" s="1413" t="s">
        <v>838</v>
      </c>
      <c r="C315" s="1467" t="s">
        <v>836</v>
      </c>
      <c r="D315" s="1404" t="s">
        <v>955</v>
      </c>
      <c r="E315" s="1405">
        <v>314</v>
      </c>
      <c r="F315" s="1422" t="s">
        <v>796</v>
      </c>
      <c r="G315" s="1410" t="s">
        <v>834</v>
      </c>
      <c r="H315" s="378" t="s">
        <v>835</v>
      </c>
      <c r="I315" s="728" t="s">
        <v>28</v>
      </c>
      <c r="J315" s="1411" t="s">
        <v>837</v>
      </c>
    </row>
    <row r="316" spans="1:10" x14ac:dyDescent="0.25">
      <c r="A316" s="1414">
        <v>2.1</v>
      </c>
      <c r="B316" s="1409" t="s">
        <v>834</v>
      </c>
      <c r="C316" s="1467" t="s">
        <v>836</v>
      </c>
      <c r="D316" s="1404" t="s">
        <v>955</v>
      </c>
      <c r="E316" s="1405">
        <v>315</v>
      </c>
      <c r="F316" s="1418">
        <v>7.11</v>
      </c>
      <c r="G316" s="1417" t="s">
        <v>834</v>
      </c>
      <c r="H316" s="378" t="s">
        <v>835</v>
      </c>
      <c r="I316" s="728" t="s">
        <v>28</v>
      </c>
      <c r="J316" s="1411" t="s">
        <v>837</v>
      </c>
    </row>
    <row r="317" spans="1:10" x14ac:dyDescent="0.25">
      <c r="A317" s="1415">
        <v>2.2000000000000002</v>
      </c>
      <c r="B317" s="1416" t="s">
        <v>548</v>
      </c>
      <c r="C317" s="1467" t="s">
        <v>836</v>
      </c>
      <c r="D317" s="1404" t="s">
        <v>955</v>
      </c>
      <c r="E317" s="1405">
        <v>316</v>
      </c>
      <c r="F317" s="1418">
        <v>7.12</v>
      </c>
      <c r="G317" s="1417" t="s">
        <v>834</v>
      </c>
      <c r="H317" s="378" t="s">
        <v>835</v>
      </c>
      <c r="I317" s="728" t="s">
        <v>28</v>
      </c>
      <c r="J317" s="1411" t="s">
        <v>837</v>
      </c>
    </row>
    <row r="318" spans="1:10" x14ac:dyDescent="0.25">
      <c r="A318" s="1415">
        <v>2.2999999999999998</v>
      </c>
      <c r="B318" s="1416" t="s">
        <v>834</v>
      </c>
      <c r="C318" s="1467" t="s">
        <v>836</v>
      </c>
      <c r="D318" s="1404" t="s">
        <v>955</v>
      </c>
      <c r="E318" s="1405">
        <v>317</v>
      </c>
      <c r="F318" s="1406" t="s">
        <v>800</v>
      </c>
      <c r="G318" s="1417" t="s">
        <v>834</v>
      </c>
      <c r="H318" s="1105" t="s">
        <v>835</v>
      </c>
      <c r="I318" s="728" t="s">
        <v>28</v>
      </c>
      <c r="J318" s="1411" t="s">
        <v>837</v>
      </c>
    </row>
    <row r="319" spans="1:10" x14ac:dyDescent="0.25">
      <c r="A319" s="1415">
        <v>2.4</v>
      </c>
      <c r="B319" s="1416" t="s">
        <v>846</v>
      </c>
      <c r="C319" s="1467" t="s">
        <v>836</v>
      </c>
      <c r="D319" s="1404" t="s">
        <v>955</v>
      </c>
      <c r="E319" s="1405">
        <v>318</v>
      </c>
      <c r="F319" s="1406" t="s">
        <v>802</v>
      </c>
      <c r="G319" s="1417" t="s">
        <v>948</v>
      </c>
      <c r="H319" s="1105" t="s">
        <v>835</v>
      </c>
      <c r="I319" s="728" t="s">
        <v>28</v>
      </c>
      <c r="J319" s="1411" t="s">
        <v>949</v>
      </c>
    </row>
    <row r="320" spans="1:10" x14ac:dyDescent="0.25">
      <c r="A320" s="1415">
        <v>2.5</v>
      </c>
      <c r="B320" s="1416" t="s">
        <v>898</v>
      </c>
      <c r="C320" s="1467" t="s">
        <v>836</v>
      </c>
      <c r="D320" s="1404" t="s">
        <v>955</v>
      </c>
      <c r="E320" s="1405">
        <v>319</v>
      </c>
      <c r="F320" s="1418">
        <v>7.14</v>
      </c>
      <c r="G320" s="1417" t="s">
        <v>834</v>
      </c>
      <c r="H320" s="378" t="s">
        <v>835</v>
      </c>
      <c r="I320" s="728" t="s">
        <v>28</v>
      </c>
      <c r="J320" s="1411" t="s">
        <v>837</v>
      </c>
    </row>
    <row r="321" spans="1:10" x14ac:dyDescent="0.25">
      <c r="A321" s="1415">
        <v>2.6</v>
      </c>
      <c r="B321" s="1416" t="s">
        <v>850</v>
      </c>
      <c r="C321" s="1467" t="s">
        <v>836</v>
      </c>
      <c r="D321" s="1404" t="s">
        <v>955</v>
      </c>
      <c r="E321" s="1405">
        <v>320</v>
      </c>
      <c r="F321" s="1418">
        <v>7.15</v>
      </c>
      <c r="G321" s="1417" t="s">
        <v>834</v>
      </c>
      <c r="H321" s="378" t="s">
        <v>835</v>
      </c>
      <c r="I321" s="728" t="s">
        <v>28</v>
      </c>
      <c r="J321" s="1411" t="s">
        <v>837</v>
      </c>
    </row>
    <row r="322" spans="1:10" x14ac:dyDescent="0.25">
      <c r="A322" s="1419" t="s">
        <v>851</v>
      </c>
      <c r="B322" s="1416" t="s">
        <v>834</v>
      </c>
      <c r="C322" s="1467" t="s">
        <v>836</v>
      </c>
      <c r="D322" s="1404" t="s">
        <v>955</v>
      </c>
      <c r="E322" s="1405">
        <v>321</v>
      </c>
      <c r="F322" s="1418">
        <v>7.16</v>
      </c>
      <c r="G322" s="1417" t="s">
        <v>834</v>
      </c>
      <c r="H322" s="378" t="s">
        <v>835</v>
      </c>
      <c r="I322" s="728" t="s">
        <v>28</v>
      </c>
      <c r="J322" s="1411" t="s">
        <v>837</v>
      </c>
    </row>
    <row r="323" spans="1:10" x14ac:dyDescent="0.25">
      <c r="A323" s="1415" t="s">
        <v>852</v>
      </c>
      <c r="B323" s="1416" t="s">
        <v>987</v>
      </c>
      <c r="C323" s="1467" t="s">
        <v>836</v>
      </c>
      <c r="D323" s="1404" t="s">
        <v>955</v>
      </c>
      <c r="E323" s="1405">
        <v>322</v>
      </c>
      <c r="F323" s="1418">
        <v>7.17</v>
      </c>
      <c r="G323" s="1417" t="s">
        <v>834</v>
      </c>
      <c r="H323" s="378" t="s">
        <v>835</v>
      </c>
      <c r="I323" s="728" t="s">
        <v>28</v>
      </c>
      <c r="J323" s="1411" t="s">
        <v>837</v>
      </c>
    </row>
    <row r="324" spans="1:10" x14ac:dyDescent="0.25">
      <c r="A324" s="1415">
        <v>2.8</v>
      </c>
      <c r="B324" s="1416" t="s">
        <v>855</v>
      </c>
      <c r="C324" s="1467" t="s">
        <v>836</v>
      </c>
      <c r="D324" s="1404" t="s">
        <v>955</v>
      </c>
      <c r="E324" s="1405">
        <v>323</v>
      </c>
      <c r="F324" s="1406" t="s">
        <v>809</v>
      </c>
      <c r="G324" s="1417" t="s">
        <v>834</v>
      </c>
      <c r="H324" s="1105" t="s">
        <v>835</v>
      </c>
      <c r="I324" s="728" t="s">
        <v>28</v>
      </c>
      <c r="J324" s="1411" t="s">
        <v>837</v>
      </c>
    </row>
    <row r="325" spans="1:10" x14ac:dyDescent="0.25">
      <c r="A325" s="1415">
        <v>2.9</v>
      </c>
      <c r="B325" s="1416" t="s">
        <v>858</v>
      </c>
      <c r="C325" s="1467" t="s">
        <v>836</v>
      </c>
      <c r="D325" s="1404" t="s">
        <v>955</v>
      </c>
      <c r="E325" s="1405">
        <v>324</v>
      </c>
      <c r="F325" s="1406" t="s">
        <v>811</v>
      </c>
      <c r="G325" s="1410" t="s">
        <v>898</v>
      </c>
      <c r="H325" s="1105" t="s">
        <v>835</v>
      </c>
      <c r="I325" s="728" t="s">
        <v>28</v>
      </c>
      <c r="J325" s="1411" t="s">
        <v>899</v>
      </c>
    </row>
    <row r="326" spans="1:10" x14ac:dyDescent="0.25">
      <c r="A326" s="1420" t="s">
        <v>717</v>
      </c>
      <c r="B326" s="1413" t="s">
        <v>850</v>
      </c>
      <c r="C326" s="1467" t="s">
        <v>836</v>
      </c>
      <c r="D326" s="1404" t="s">
        <v>955</v>
      </c>
      <c r="E326" s="1405">
        <v>325</v>
      </c>
      <c r="F326" s="1418">
        <v>8.1999999999999993</v>
      </c>
      <c r="G326" s="1417" t="s">
        <v>956</v>
      </c>
      <c r="H326" s="378" t="s">
        <v>835</v>
      </c>
      <c r="I326" s="728" t="s">
        <v>28</v>
      </c>
      <c r="J326" s="1411" t="s">
        <v>957</v>
      </c>
    </row>
    <row r="327" spans="1:10" x14ac:dyDescent="0.25">
      <c r="A327" s="1414" t="s">
        <v>859</v>
      </c>
      <c r="B327" s="1409" t="s">
        <v>834</v>
      </c>
      <c r="C327" s="1467" t="s">
        <v>836</v>
      </c>
      <c r="D327" s="1404" t="s">
        <v>955</v>
      </c>
      <c r="E327" s="1405">
        <v>326</v>
      </c>
      <c r="F327" s="1418">
        <v>8.3000000000000007</v>
      </c>
      <c r="G327" s="1417" t="s">
        <v>834</v>
      </c>
      <c r="H327" s="378" t="s">
        <v>835</v>
      </c>
      <c r="I327" s="728" t="s">
        <v>28</v>
      </c>
      <c r="J327" s="1411" t="s">
        <v>837</v>
      </c>
    </row>
    <row r="328" spans="1:10" x14ac:dyDescent="0.25">
      <c r="A328" s="1415" t="s">
        <v>862</v>
      </c>
      <c r="B328" s="1416" t="s">
        <v>834</v>
      </c>
      <c r="C328" s="1467" t="s">
        <v>836</v>
      </c>
      <c r="D328" s="1404" t="s">
        <v>955</v>
      </c>
      <c r="E328" s="1405">
        <v>327</v>
      </c>
      <c r="F328" s="1418">
        <v>8.4</v>
      </c>
      <c r="G328" s="1417" t="s">
        <v>958</v>
      </c>
      <c r="H328" s="378" t="s">
        <v>835</v>
      </c>
      <c r="I328" s="728" t="s">
        <v>28</v>
      </c>
      <c r="J328" s="1411" t="s">
        <v>959</v>
      </c>
    </row>
    <row r="329" spans="1:10" ht="15.75" thickBot="1" x14ac:dyDescent="0.3">
      <c r="A329" s="1415" t="s">
        <v>723</v>
      </c>
      <c r="B329" s="1421" t="s">
        <v>864</v>
      </c>
      <c r="C329" s="1467" t="s">
        <v>836</v>
      </c>
      <c r="D329" s="1404" t="s">
        <v>955</v>
      </c>
      <c r="E329" s="1405">
        <v>328</v>
      </c>
      <c r="F329" s="1451">
        <v>8.5</v>
      </c>
      <c r="G329" s="1462" t="s">
        <v>834</v>
      </c>
      <c r="H329" s="1468" t="s">
        <v>835</v>
      </c>
      <c r="I329" s="1469" t="s">
        <v>28</v>
      </c>
      <c r="J329" s="1454" t="s">
        <v>837</v>
      </c>
    </row>
    <row r="330" spans="1:10" ht="16.5" thickTop="1" thickBot="1" x14ac:dyDescent="0.3">
      <c r="A330" s="1415" t="s">
        <v>724</v>
      </c>
      <c r="B330" s="1416" t="s">
        <v>846</v>
      </c>
      <c r="C330" s="1467" t="s">
        <v>836</v>
      </c>
      <c r="D330" s="1404" t="s">
        <v>955</v>
      </c>
      <c r="E330" s="1405">
        <v>329</v>
      </c>
      <c r="F330" s="1406" t="s">
        <v>693</v>
      </c>
      <c r="G330" s="1462" t="s">
        <v>834</v>
      </c>
      <c r="H330" s="1470" t="s">
        <v>835</v>
      </c>
      <c r="I330" s="728" t="s">
        <v>960</v>
      </c>
      <c r="J330" s="1411" t="s">
        <v>837</v>
      </c>
    </row>
    <row r="331" spans="1:10" ht="15.75" thickTop="1" x14ac:dyDescent="0.25">
      <c r="A331" s="1415" t="s">
        <v>725</v>
      </c>
      <c r="B331" s="1416" t="s">
        <v>866</v>
      </c>
      <c r="C331" s="1467" t="s">
        <v>836</v>
      </c>
      <c r="D331" s="1404" t="s">
        <v>955</v>
      </c>
      <c r="E331" s="1405">
        <v>330</v>
      </c>
      <c r="F331" s="1406" t="s">
        <v>695</v>
      </c>
      <c r="G331" s="1410" t="s">
        <v>839</v>
      </c>
      <c r="H331" s="1470" t="s">
        <v>835</v>
      </c>
      <c r="I331" s="728" t="s">
        <v>960</v>
      </c>
      <c r="J331" s="1411" t="s">
        <v>840</v>
      </c>
    </row>
    <row r="332" spans="1:10" x14ac:dyDescent="0.25">
      <c r="A332" s="1415" t="s">
        <v>867</v>
      </c>
      <c r="B332" s="1421" t="s">
        <v>868</v>
      </c>
      <c r="C332" s="1467" t="s">
        <v>836</v>
      </c>
      <c r="D332" s="1404" t="s">
        <v>955</v>
      </c>
      <c r="E332" s="1405">
        <v>331</v>
      </c>
      <c r="F332" s="1418">
        <v>1.2</v>
      </c>
      <c r="G332" s="1417" t="s">
        <v>961</v>
      </c>
      <c r="H332" s="1470" t="s">
        <v>835</v>
      </c>
      <c r="I332" s="728" t="s">
        <v>960</v>
      </c>
      <c r="J332" s="1411" t="s">
        <v>842</v>
      </c>
    </row>
    <row r="333" spans="1:10" x14ac:dyDescent="0.25">
      <c r="A333" s="1415" t="s">
        <v>869</v>
      </c>
      <c r="B333" s="1416" t="s">
        <v>870</v>
      </c>
      <c r="C333" s="1467" t="s">
        <v>836</v>
      </c>
      <c r="D333" s="1404" t="s">
        <v>955</v>
      </c>
      <c r="E333" s="1405">
        <v>332</v>
      </c>
      <c r="F333" s="1406" t="s">
        <v>698</v>
      </c>
      <c r="G333" s="1417" t="s">
        <v>834</v>
      </c>
      <c r="H333" s="1470" t="s">
        <v>835</v>
      </c>
      <c r="I333" s="728" t="s">
        <v>960</v>
      </c>
      <c r="J333" s="1411" t="s">
        <v>837</v>
      </c>
    </row>
    <row r="334" spans="1:10" x14ac:dyDescent="0.25">
      <c r="A334" s="1415" t="s">
        <v>874</v>
      </c>
      <c r="B334" s="1413" t="s">
        <v>834</v>
      </c>
      <c r="C334" s="1467" t="s">
        <v>836</v>
      </c>
      <c r="D334" s="1404" t="s">
        <v>955</v>
      </c>
      <c r="E334" s="1405">
        <v>333</v>
      </c>
      <c r="F334" s="1406" t="s">
        <v>700</v>
      </c>
      <c r="G334" s="1417" t="s">
        <v>844</v>
      </c>
      <c r="H334" s="1470" t="s">
        <v>835</v>
      </c>
      <c r="I334" s="728" t="s">
        <v>960</v>
      </c>
      <c r="J334" s="1411" t="s">
        <v>845</v>
      </c>
    </row>
    <row r="335" spans="1:10" x14ac:dyDescent="0.25">
      <c r="A335" s="1424" t="s">
        <v>876</v>
      </c>
      <c r="B335" s="1425" t="s">
        <v>834</v>
      </c>
      <c r="C335" s="1467" t="s">
        <v>836</v>
      </c>
      <c r="D335" s="1404" t="s">
        <v>955</v>
      </c>
      <c r="E335" s="1405">
        <v>334</v>
      </c>
      <c r="F335" s="1418">
        <v>1.4</v>
      </c>
      <c r="G335" s="1417" t="s">
        <v>847</v>
      </c>
      <c r="H335" s="1470" t="s">
        <v>835</v>
      </c>
      <c r="I335" s="728" t="s">
        <v>960</v>
      </c>
      <c r="J335" s="1411" t="s">
        <v>848</v>
      </c>
    </row>
    <row r="336" spans="1:10" x14ac:dyDescent="0.25">
      <c r="A336" s="1426" t="s">
        <v>880</v>
      </c>
      <c r="B336" s="1427" t="s">
        <v>870</v>
      </c>
      <c r="C336" s="1467" t="s">
        <v>836</v>
      </c>
      <c r="D336" s="1404" t="s">
        <v>955</v>
      </c>
      <c r="E336" s="1405">
        <v>335</v>
      </c>
      <c r="F336" s="1418">
        <v>2.1</v>
      </c>
      <c r="G336" s="1417" t="s">
        <v>834</v>
      </c>
      <c r="H336" s="1470" t="s">
        <v>835</v>
      </c>
      <c r="I336" s="728" t="s">
        <v>960</v>
      </c>
      <c r="J336" s="1411" t="s">
        <v>837</v>
      </c>
    </row>
    <row r="337" spans="1:10" x14ac:dyDescent="0.25">
      <c r="A337" s="1426" t="s">
        <v>882</v>
      </c>
      <c r="B337" s="1429" t="s">
        <v>883</v>
      </c>
      <c r="C337" s="1467" t="s">
        <v>836</v>
      </c>
      <c r="D337" s="1404" t="s">
        <v>955</v>
      </c>
      <c r="E337" s="1405">
        <v>336</v>
      </c>
      <c r="F337" s="1418">
        <v>2.2000000000000002</v>
      </c>
      <c r="G337" s="1417" t="s">
        <v>548</v>
      </c>
      <c r="H337" s="1470" t="s">
        <v>835</v>
      </c>
      <c r="I337" s="728" t="s">
        <v>960</v>
      </c>
      <c r="J337" s="1411" t="s">
        <v>548</v>
      </c>
    </row>
    <row r="338" spans="1:10" x14ac:dyDescent="0.25">
      <c r="A338" s="1430" t="s">
        <v>886</v>
      </c>
      <c r="B338" s="1431" t="s">
        <v>548</v>
      </c>
      <c r="C338" s="1467" t="s">
        <v>836</v>
      </c>
      <c r="D338" s="1404" t="s">
        <v>955</v>
      </c>
      <c r="E338" s="1405">
        <v>337</v>
      </c>
      <c r="F338" s="1418">
        <v>2.2999999999999998</v>
      </c>
      <c r="G338" s="1417" t="s">
        <v>834</v>
      </c>
      <c r="H338" s="1470" t="s">
        <v>835</v>
      </c>
      <c r="I338" s="728" t="s">
        <v>960</v>
      </c>
      <c r="J338" s="1411" t="s">
        <v>837</v>
      </c>
    </row>
    <row r="339" spans="1:10" x14ac:dyDescent="0.25">
      <c r="A339" s="1432" t="s">
        <v>887</v>
      </c>
      <c r="B339" s="1433" t="s">
        <v>834</v>
      </c>
      <c r="C339" s="1467" t="s">
        <v>836</v>
      </c>
      <c r="D339" s="1404" t="s">
        <v>955</v>
      </c>
      <c r="E339" s="1405">
        <v>338</v>
      </c>
      <c r="F339" s="1418">
        <v>2.4</v>
      </c>
      <c r="G339" s="1410" t="s">
        <v>846</v>
      </c>
      <c r="H339" s="1470" t="s">
        <v>835</v>
      </c>
      <c r="I339" s="728" t="s">
        <v>960</v>
      </c>
      <c r="J339" s="1411" t="s">
        <v>854</v>
      </c>
    </row>
    <row r="340" spans="1:10" x14ac:dyDescent="0.25">
      <c r="A340" s="1434" t="s">
        <v>888</v>
      </c>
      <c r="B340" s="1433" t="s">
        <v>548</v>
      </c>
      <c r="C340" s="1467" t="s">
        <v>836</v>
      </c>
      <c r="D340" s="1404" t="s">
        <v>955</v>
      </c>
      <c r="E340" s="1405">
        <v>339</v>
      </c>
      <c r="F340" s="1418">
        <v>2.5</v>
      </c>
      <c r="G340" s="1410" t="s">
        <v>856</v>
      </c>
      <c r="H340" s="1470" t="s">
        <v>835</v>
      </c>
      <c r="I340" s="728" t="s">
        <v>960</v>
      </c>
      <c r="J340" s="1411" t="s">
        <v>857</v>
      </c>
    </row>
    <row r="341" spans="1:10" x14ac:dyDescent="0.25">
      <c r="A341" s="1432" t="s">
        <v>892</v>
      </c>
      <c r="B341" s="1433" t="s">
        <v>846</v>
      </c>
      <c r="C341" s="1467" t="s">
        <v>836</v>
      </c>
      <c r="D341" s="1404" t="s">
        <v>955</v>
      </c>
      <c r="E341" s="1405">
        <v>340</v>
      </c>
      <c r="F341" s="1418">
        <v>2.6</v>
      </c>
      <c r="G341" s="1417" t="s">
        <v>834</v>
      </c>
      <c r="H341" s="1470" t="s">
        <v>835</v>
      </c>
      <c r="I341" s="728" t="s">
        <v>960</v>
      </c>
      <c r="J341" s="1411" t="s">
        <v>837</v>
      </c>
    </row>
    <row r="342" spans="1:10" x14ac:dyDescent="0.25">
      <c r="A342" s="1434" t="s">
        <v>893</v>
      </c>
      <c r="B342" s="1433" t="s">
        <v>834</v>
      </c>
      <c r="C342" s="1467" t="s">
        <v>836</v>
      </c>
      <c r="D342" s="1404" t="s">
        <v>955</v>
      </c>
      <c r="E342" s="1405">
        <v>341</v>
      </c>
      <c r="F342" s="1406" t="s">
        <v>711</v>
      </c>
      <c r="G342" s="1417" t="s">
        <v>548</v>
      </c>
      <c r="H342" s="1470" t="s">
        <v>835</v>
      </c>
      <c r="I342" s="728" t="s">
        <v>960</v>
      </c>
      <c r="J342" s="1411" t="s">
        <v>548</v>
      </c>
    </row>
    <row r="343" spans="1:10" x14ac:dyDescent="0.25">
      <c r="A343" s="1434" t="s">
        <v>896</v>
      </c>
      <c r="B343" s="1435" t="s">
        <v>897</v>
      </c>
      <c r="C343" s="1467" t="s">
        <v>836</v>
      </c>
      <c r="D343" s="1404" t="s">
        <v>955</v>
      </c>
      <c r="E343" s="1405">
        <v>342</v>
      </c>
      <c r="F343" s="1406" t="s">
        <v>713</v>
      </c>
      <c r="G343" s="1417" t="s">
        <v>988</v>
      </c>
      <c r="H343" s="1470" t="s">
        <v>835</v>
      </c>
      <c r="I343" s="728" t="s">
        <v>960</v>
      </c>
      <c r="J343" s="1411" t="s">
        <v>989</v>
      </c>
    </row>
    <row r="344" spans="1:10" x14ac:dyDescent="0.25">
      <c r="A344" s="1434" t="s">
        <v>900</v>
      </c>
      <c r="B344" s="1433" t="s">
        <v>850</v>
      </c>
      <c r="C344" s="1467" t="s">
        <v>836</v>
      </c>
      <c r="D344" s="1404" t="s">
        <v>955</v>
      </c>
      <c r="E344" s="1405">
        <v>343</v>
      </c>
      <c r="F344" s="1418">
        <v>2.8</v>
      </c>
      <c r="G344" s="1417" t="s">
        <v>963</v>
      </c>
      <c r="H344" s="1470" t="s">
        <v>835</v>
      </c>
      <c r="I344" s="728" t="s">
        <v>960</v>
      </c>
      <c r="J344" s="1411" t="s">
        <v>964</v>
      </c>
    </row>
    <row r="345" spans="1:10" x14ac:dyDescent="0.25">
      <c r="A345" s="1434" t="s">
        <v>901</v>
      </c>
      <c r="B345" s="1433" t="s">
        <v>834</v>
      </c>
      <c r="C345" s="1467" t="s">
        <v>836</v>
      </c>
      <c r="D345" s="1404" t="s">
        <v>955</v>
      </c>
      <c r="E345" s="1405">
        <v>344</v>
      </c>
      <c r="F345" s="1418">
        <v>2.9</v>
      </c>
      <c r="G345" s="1417" t="s">
        <v>846</v>
      </c>
      <c r="H345" s="1470" t="s">
        <v>835</v>
      </c>
      <c r="I345" s="728" t="s">
        <v>960</v>
      </c>
      <c r="J345" s="1411" t="s">
        <v>854</v>
      </c>
    </row>
    <row r="346" spans="1:10" x14ac:dyDescent="0.25">
      <c r="A346" s="1434" t="s">
        <v>902</v>
      </c>
      <c r="B346" s="1433" t="s">
        <v>548</v>
      </c>
      <c r="C346" s="1467" t="s">
        <v>836</v>
      </c>
      <c r="D346" s="1404" t="s">
        <v>955</v>
      </c>
      <c r="E346" s="1405">
        <v>345</v>
      </c>
      <c r="F346" s="1422" t="s">
        <v>717</v>
      </c>
      <c r="G346" s="1417" t="s">
        <v>850</v>
      </c>
      <c r="H346" s="1470" t="s">
        <v>835</v>
      </c>
      <c r="I346" s="728" t="s">
        <v>960</v>
      </c>
      <c r="J346" s="1411" t="s">
        <v>865</v>
      </c>
    </row>
    <row r="347" spans="1:10" x14ac:dyDescent="0.25">
      <c r="A347" s="1432" t="s">
        <v>905</v>
      </c>
      <c r="B347" s="1433" t="s">
        <v>843</v>
      </c>
      <c r="C347" s="1467" t="s">
        <v>836</v>
      </c>
      <c r="D347" s="1404" t="s">
        <v>955</v>
      </c>
      <c r="E347" s="1405">
        <v>346</v>
      </c>
      <c r="F347" s="1418">
        <v>3.1</v>
      </c>
      <c r="G347" s="1417" t="s">
        <v>834</v>
      </c>
      <c r="H347" s="1470" t="s">
        <v>835</v>
      </c>
      <c r="I347" s="728" t="s">
        <v>960</v>
      </c>
      <c r="J347" s="1411" t="s">
        <v>837</v>
      </c>
    </row>
    <row r="348" spans="1:10" x14ac:dyDescent="0.25">
      <c r="A348" s="1434" t="s">
        <v>906</v>
      </c>
      <c r="B348" s="1433" t="s">
        <v>907</v>
      </c>
      <c r="C348" s="1467" t="s">
        <v>836</v>
      </c>
      <c r="D348" s="1404" t="s">
        <v>955</v>
      </c>
      <c r="E348" s="1405">
        <v>347</v>
      </c>
      <c r="F348" s="1418">
        <v>3.2</v>
      </c>
      <c r="G348" s="1417" t="s">
        <v>834</v>
      </c>
      <c r="H348" s="1470" t="s">
        <v>835</v>
      </c>
      <c r="I348" s="728" t="s">
        <v>960</v>
      </c>
      <c r="J348" s="1411" t="s">
        <v>837</v>
      </c>
    </row>
    <row r="349" spans="1:10" x14ac:dyDescent="0.25">
      <c r="A349" s="1434" t="s">
        <v>910</v>
      </c>
      <c r="B349" s="1433" t="s">
        <v>911</v>
      </c>
      <c r="C349" s="1467" t="s">
        <v>836</v>
      </c>
      <c r="D349" s="1404" t="s">
        <v>955</v>
      </c>
      <c r="E349" s="1405">
        <v>348</v>
      </c>
      <c r="F349" s="1406" t="s">
        <v>871</v>
      </c>
      <c r="G349" s="1410" t="s">
        <v>872</v>
      </c>
      <c r="H349" s="1470" t="s">
        <v>835</v>
      </c>
      <c r="I349" s="728" t="s">
        <v>960</v>
      </c>
      <c r="J349" s="1411" t="s">
        <v>873</v>
      </c>
    </row>
    <row r="350" spans="1:10" x14ac:dyDescent="0.25">
      <c r="A350" s="1434" t="s">
        <v>913</v>
      </c>
      <c r="B350" s="1433" t="s">
        <v>914</v>
      </c>
      <c r="C350" s="1467" t="s">
        <v>836</v>
      </c>
      <c r="D350" s="1404" t="s">
        <v>955</v>
      </c>
      <c r="E350" s="1405">
        <v>349</v>
      </c>
      <c r="F350" s="1406" t="s">
        <v>875</v>
      </c>
      <c r="G350" s="1410" t="s">
        <v>846</v>
      </c>
      <c r="H350" s="1470" t="s">
        <v>835</v>
      </c>
      <c r="I350" s="728" t="s">
        <v>960</v>
      </c>
      <c r="J350" s="1411" t="s">
        <v>854</v>
      </c>
    </row>
    <row r="351" spans="1:10" x14ac:dyDescent="0.25">
      <c r="A351" s="1434" t="s">
        <v>915</v>
      </c>
      <c r="B351" s="1433" t="s">
        <v>834</v>
      </c>
      <c r="C351" s="1467" t="s">
        <v>836</v>
      </c>
      <c r="D351" s="1404" t="s">
        <v>955</v>
      </c>
      <c r="E351" s="1405">
        <v>350</v>
      </c>
      <c r="F351" s="1406" t="s">
        <v>877</v>
      </c>
      <c r="G351" s="1417" t="s">
        <v>878</v>
      </c>
      <c r="H351" s="1470" t="s">
        <v>835</v>
      </c>
      <c r="I351" s="728" t="s">
        <v>960</v>
      </c>
      <c r="J351" s="1411" t="s">
        <v>879</v>
      </c>
    </row>
    <row r="352" spans="1:10" x14ac:dyDescent="0.25">
      <c r="A352" s="1434" t="s">
        <v>764</v>
      </c>
      <c r="B352" s="1433" t="s">
        <v>916</v>
      </c>
      <c r="C352" s="1467" t="s">
        <v>836</v>
      </c>
      <c r="D352" s="1404" t="s">
        <v>955</v>
      </c>
      <c r="E352" s="1405">
        <v>351</v>
      </c>
      <c r="F352" s="1418">
        <v>3.4</v>
      </c>
      <c r="G352" s="1417" t="s">
        <v>881</v>
      </c>
      <c r="H352" s="1470" t="s">
        <v>835</v>
      </c>
      <c r="I352" s="728" t="s">
        <v>960</v>
      </c>
      <c r="J352" s="1411" t="s">
        <v>873</v>
      </c>
    </row>
    <row r="353" spans="1:10" x14ac:dyDescent="0.25">
      <c r="A353" s="1434">
        <v>5.1100000000000003</v>
      </c>
      <c r="B353" s="1433" t="s">
        <v>967</v>
      </c>
      <c r="C353" s="1467" t="s">
        <v>836</v>
      </c>
      <c r="D353" s="1404" t="s">
        <v>955</v>
      </c>
      <c r="E353" s="1405">
        <v>352</v>
      </c>
      <c r="F353" s="1418">
        <v>3.5</v>
      </c>
      <c r="G353" s="1410" t="s">
        <v>884</v>
      </c>
      <c r="H353" s="1470" t="s">
        <v>835</v>
      </c>
      <c r="I353" s="728" t="s">
        <v>960</v>
      </c>
      <c r="J353" s="1411" t="s">
        <v>885</v>
      </c>
    </row>
    <row r="354" spans="1:10" x14ac:dyDescent="0.25">
      <c r="A354" s="1434">
        <v>5.12</v>
      </c>
      <c r="B354" s="1433" t="s">
        <v>858</v>
      </c>
      <c r="C354" s="1467" t="s">
        <v>836</v>
      </c>
      <c r="D354" s="1404" t="s">
        <v>955</v>
      </c>
      <c r="E354" s="1405">
        <v>353</v>
      </c>
      <c r="F354" s="1418">
        <v>3.6</v>
      </c>
      <c r="G354" s="1417" t="s">
        <v>834</v>
      </c>
      <c r="H354" s="1470" t="s">
        <v>835</v>
      </c>
      <c r="I354" s="728" t="s">
        <v>960</v>
      </c>
      <c r="J354" s="1411" t="s">
        <v>837</v>
      </c>
    </row>
    <row r="355" spans="1:10" x14ac:dyDescent="0.25">
      <c r="A355" s="1437">
        <v>5.13</v>
      </c>
      <c r="B355" s="1438" t="s">
        <v>968</v>
      </c>
      <c r="C355" s="1467" t="s">
        <v>836</v>
      </c>
      <c r="D355" s="1404" t="s">
        <v>955</v>
      </c>
      <c r="E355" s="1405">
        <v>354</v>
      </c>
      <c r="F355" s="1406" t="s">
        <v>732</v>
      </c>
      <c r="G355" s="1417" t="s">
        <v>834</v>
      </c>
      <c r="H355" s="1470" t="s">
        <v>835</v>
      </c>
      <c r="I355" s="728" t="s">
        <v>960</v>
      </c>
      <c r="J355" s="1411" t="s">
        <v>837</v>
      </c>
    </row>
    <row r="356" spans="1:10" x14ac:dyDescent="0.25">
      <c r="A356" s="1430" t="s">
        <v>918</v>
      </c>
      <c r="B356" s="1431" t="s">
        <v>834</v>
      </c>
      <c r="C356" s="1467" t="s">
        <v>836</v>
      </c>
      <c r="D356" s="1404" t="s">
        <v>955</v>
      </c>
      <c r="E356" s="1405">
        <v>355</v>
      </c>
      <c r="F356" s="1406" t="s">
        <v>734</v>
      </c>
      <c r="G356" s="1417" t="s">
        <v>966</v>
      </c>
      <c r="H356" s="1470" t="s">
        <v>835</v>
      </c>
      <c r="I356" s="728" t="s">
        <v>960</v>
      </c>
      <c r="J356" s="1411" t="s">
        <v>891</v>
      </c>
    </row>
    <row r="357" spans="1:10" x14ac:dyDescent="0.25">
      <c r="A357" s="1434" t="s">
        <v>919</v>
      </c>
      <c r="B357" s="1433" t="s">
        <v>834</v>
      </c>
      <c r="C357" s="1467" t="s">
        <v>836</v>
      </c>
      <c r="D357" s="1404" t="s">
        <v>955</v>
      </c>
      <c r="E357" s="1405">
        <v>356</v>
      </c>
      <c r="F357" s="1418">
        <v>4.2</v>
      </c>
      <c r="G357" s="1417" t="s">
        <v>935</v>
      </c>
      <c r="H357" s="1470" t="s">
        <v>835</v>
      </c>
      <c r="I357" s="728" t="s">
        <v>960</v>
      </c>
      <c r="J357" s="1411" t="s">
        <v>909</v>
      </c>
    </row>
    <row r="358" spans="1:10" x14ac:dyDescent="0.25">
      <c r="A358" s="1434" t="s">
        <v>920</v>
      </c>
      <c r="B358" s="1433" t="s">
        <v>866</v>
      </c>
      <c r="C358" s="1467" t="s">
        <v>836</v>
      </c>
      <c r="D358" s="1404" t="s">
        <v>955</v>
      </c>
      <c r="E358" s="1405">
        <v>357</v>
      </c>
      <c r="F358" s="1418">
        <v>4.3</v>
      </c>
      <c r="G358" s="1410" t="s">
        <v>894</v>
      </c>
      <c r="H358" s="1470" t="s">
        <v>835</v>
      </c>
      <c r="I358" s="728" t="s">
        <v>960</v>
      </c>
      <c r="J358" s="1411" t="s">
        <v>895</v>
      </c>
    </row>
    <row r="359" spans="1:10" x14ac:dyDescent="0.25">
      <c r="A359" s="1434" t="s">
        <v>921</v>
      </c>
      <c r="B359" s="1433" t="s">
        <v>922</v>
      </c>
      <c r="C359" s="1467" t="s">
        <v>836</v>
      </c>
      <c r="D359" s="1404" t="s">
        <v>955</v>
      </c>
      <c r="E359" s="1405">
        <v>358</v>
      </c>
      <c r="F359" s="1418">
        <v>4.4000000000000004</v>
      </c>
      <c r="G359" s="1410" t="s">
        <v>898</v>
      </c>
      <c r="H359" s="1470" t="s">
        <v>835</v>
      </c>
      <c r="I359" s="728" t="s">
        <v>960</v>
      </c>
      <c r="J359" s="1411" t="s">
        <v>899</v>
      </c>
    </row>
    <row r="360" spans="1:10" x14ac:dyDescent="0.25">
      <c r="A360" s="1434" t="s">
        <v>923</v>
      </c>
      <c r="B360" s="1433" t="s">
        <v>866</v>
      </c>
      <c r="C360" s="1467" t="s">
        <v>836</v>
      </c>
      <c r="D360" s="1404" t="s">
        <v>955</v>
      </c>
      <c r="E360" s="1405">
        <v>359</v>
      </c>
      <c r="F360" s="1406" t="s">
        <v>741</v>
      </c>
      <c r="G360" s="1417" t="s">
        <v>548</v>
      </c>
      <c r="H360" s="1470" t="s">
        <v>835</v>
      </c>
      <c r="I360" s="728" t="s">
        <v>960</v>
      </c>
      <c r="J360" s="1411" t="s">
        <v>548</v>
      </c>
    </row>
    <row r="361" spans="1:10" x14ac:dyDescent="0.25">
      <c r="A361" s="1434" t="s">
        <v>924</v>
      </c>
      <c r="B361" s="1433" t="s">
        <v>866</v>
      </c>
      <c r="C361" s="1467" t="s">
        <v>836</v>
      </c>
      <c r="D361" s="1404" t="s">
        <v>955</v>
      </c>
      <c r="E361" s="1405">
        <v>360</v>
      </c>
      <c r="F361" s="1406" t="s">
        <v>743</v>
      </c>
      <c r="G361" s="1417" t="s">
        <v>834</v>
      </c>
      <c r="H361" s="1470" t="s">
        <v>835</v>
      </c>
      <c r="I361" s="728" t="s">
        <v>960</v>
      </c>
      <c r="J361" s="1411" t="s">
        <v>837</v>
      </c>
    </row>
    <row r="362" spans="1:10" x14ac:dyDescent="0.25">
      <c r="A362" s="1434" t="s">
        <v>925</v>
      </c>
      <c r="B362" s="1433" t="s">
        <v>846</v>
      </c>
      <c r="C362" s="1467" t="s">
        <v>836</v>
      </c>
      <c r="D362" s="1404" t="s">
        <v>955</v>
      </c>
      <c r="E362" s="1405">
        <v>361</v>
      </c>
      <c r="F362" s="1406" t="s">
        <v>745</v>
      </c>
      <c r="G362" s="1436" t="s">
        <v>548</v>
      </c>
      <c r="H362" s="1470" t="s">
        <v>835</v>
      </c>
      <c r="I362" s="728" t="s">
        <v>960</v>
      </c>
      <c r="J362" s="1411" t="s">
        <v>548</v>
      </c>
    </row>
    <row r="363" spans="1:10" x14ac:dyDescent="0.25">
      <c r="A363" s="1434" t="s">
        <v>926</v>
      </c>
      <c r="B363" s="1433" t="s">
        <v>846</v>
      </c>
      <c r="C363" s="1467" t="s">
        <v>836</v>
      </c>
      <c r="D363" s="1404" t="s">
        <v>955</v>
      </c>
      <c r="E363" s="1405">
        <v>362</v>
      </c>
      <c r="F363" s="1406" t="s">
        <v>747</v>
      </c>
      <c r="G363" s="1417" t="s">
        <v>846</v>
      </c>
      <c r="H363" s="1470" t="s">
        <v>835</v>
      </c>
      <c r="I363" s="728" t="s">
        <v>960</v>
      </c>
      <c r="J363" s="1411" t="s">
        <v>854</v>
      </c>
    </row>
    <row r="364" spans="1:10" x14ac:dyDescent="0.25">
      <c r="A364" s="1437" t="s">
        <v>927</v>
      </c>
      <c r="B364" s="1438" t="s">
        <v>928</v>
      </c>
      <c r="C364" s="1467" t="s">
        <v>836</v>
      </c>
      <c r="D364" s="1404" t="s">
        <v>955</v>
      </c>
      <c r="E364" s="1405">
        <v>363</v>
      </c>
      <c r="F364" s="1418">
        <v>5.3</v>
      </c>
      <c r="G364" s="1410" t="s">
        <v>908</v>
      </c>
      <c r="H364" s="1470" t="s">
        <v>835</v>
      </c>
      <c r="I364" s="728" t="s">
        <v>960</v>
      </c>
      <c r="J364" s="1411" t="s">
        <v>909</v>
      </c>
    </row>
    <row r="365" spans="1:10" x14ac:dyDescent="0.25">
      <c r="A365" s="1430" t="s">
        <v>929</v>
      </c>
      <c r="B365" s="1431" t="s">
        <v>834</v>
      </c>
      <c r="C365" s="1467" t="s">
        <v>836</v>
      </c>
      <c r="D365" s="1404" t="s">
        <v>955</v>
      </c>
      <c r="E365" s="1405">
        <v>364</v>
      </c>
      <c r="F365" s="1418">
        <v>5.4</v>
      </c>
      <c r="G365" s="1417" t="s">
        <v>912</v>
      </c>
      <c r="H365" s="1470" t="s">
        <v>835</v>
      </c>
      <c r="I365" s="728" t="s">
        <v>960</v>
      </c>
      <c r="J365" s="1411" t="s">
        <v>873</v>
      </c>
    </row>
    <row r="366" spans="1:10" x14ac:dyDescent="0.25">
      <c r="A366" s="1434" t="s">
        <v>932</v>
      </c>
      <c r="B366" s="1435" t="s">
        <v>933</v>
      </c>
      <c r="C366" s="1467" t="s">
        <v>836</v>
      </c>
      <c r="D366" s="1404" t="s">
        <v>955</v>
      </c>
      <c r="E366" s="1405">
        <v>365</v>
      </c>
      <c r="F366" s="1418">
        <v>5.5</v>
      </c>
      <c r="G366" s="1410" t="s">
        <v>850</v>
      </c>
      <c r="H366" s="1470" t="s">
        <v>835</v>
      </c>
      <c r="I366" s="728" t="s">
        <v>960</v>
      </c>
      <c r="J366" s="1411" t="s">
        <v>865</v>
      </c>
    </row>
    <row r="367" spans="1:10" x14ac:dyDescent="0.25">
      <c r="A367" s="1434" t="s">
        <v>934</v>
      </c>
      <c r="B367" s="1433" t="s">
        <v>935</v>
      </c>
      <c r="C367" s="1467" t="s">
        <v>836</v>
      </c>
      <c r="D367" s="1404" t="s">
        <v>955</v>
      </c>
      <c r="E367" s="1405">
        <v>366</v>
      </c>
      <c r="F367" s="1418">
        <v>5.6</v>
      </c>
      <c r="G367" s="1417" t="s">
        <v>834</v>
      </c>
      <c r="H367" s="1470" t="s">
        <v>835</v>
      </c>
      <c r="I367" s="728" t="s">
        <v>960</v>
      </c>
      <c r="J367" s="1411" t="s">
        <v>837</v>
      </c>
    </row>
    <row r="368" spans="1:10" x14ac:dyDescent="0.25">
      <c r="A368" s="1434" t="s">
        <v>937</v>
      </c>
      <c r="B368" s="1433" t="s">
        <v>548</v>
      </c>
      <c r="C368" s="1467" t="s">
        <v>836</v>
      </c>
      <c r="D368" s="1404" t="s">
        <v>955</v>
      </c>
      <c r="E368" s="1405">
        <v>367</v>
      </c>
      <c r="F368" s="1406" t="s">
        <v>753</v>
      </c>
      <c r="G368" s="1417" t="s">
        <v>548</v>
      </c>
      <c r="H368" s="1470" t="s">
        <v>835</v>
      </c>
      <c r="I368" s="728" t="s">
        <v>960</v>
      </c>
      <c r="J368" s="1411" t="s">
        <v>548</v>
      </c>
    </row>
    <row r="369" spans="1:10" x14ac:dyDescent="0.25">
      <c r="A369" s="1432" t="s">
        <v>938</v>
      </c>
      <c r="B369" s="1433" t="s">
        <v>846</v>
      </c>
      <c r="C369" s="1467" t="s">
        <v>836</v>
      </c>
      <c r="D369" s="1404" t="s">
        <v>955</v>
      </c>
      <c r="E369" s="1405">
        <v>368</v>
      </c>
      <c r="F369" s="1406" t="s">
        <v>755</v>
      </c>
      <c r="G369" s="1417" t="s">
        <v>843</v>
      </c>
      <c r="H369" s="1470" t="s">
        <v>835</v>
      </c>
      <c r="I369" s="728" t="s">
        <v>960</v>
      </c>
      <c r="J369" s="1411" t="s">
        <v>863</v>
      </c>
    </row>
    <row r="370" spans="1:10" x14ac:dyDescent="0.25">
      <c r="A370" s="1434" t="s">
        <v>939</v>
      </c>
      <c r="B370" s="1433" t="s">
        <v>548</v>
      </c>
      <c r="C370" s="1467" t="s">
        <v>836</v>
      </c>
      <c r="D370" s="1404" t="s">
        <v>955</v>
      </c>
      <c r="E370" s="1405">
        <v>369</v>
      </c>
      <c r="F370" s="1406" t="s">
        <v>757</v>
      </c>
      <c r="G370" s="1417" t="s">
        <v>970</v>
      </c>
      <c r="H370" s="1470" t="s">
        <v>835</v>
      </c>
      <c r="I370" s="728" t="s">
        <v>960</v>
      </c>
      <c r="J370" s="1455" t="s">
        <v>971</v>
      </c>
    </row>
    <row r="371" spans="1:10" x14ac:dyDescent="0.25">
      <c r="A371" s="1432" t="s">
        <v>941</v>
      </c>
      <c r="B371" s="1433" t="s">
        <v>850</v>
      </c>
      <c r="C371" s="1467" t="s">
        <v>836</v>
      </c>
      <c r="D371" s="1404" t="s">
        <v>955</v>
      </c>
      <c r="E371" s="1405">
        <v>370</v>
      </c>
      <c r="F371" s="1406" t="s">
        <v>759</v>
      </c>
      <c r="G371" s="1410" t="s">
        <v>911</v>
      </c>
      <c r="H371" s="1470" t="s">
        <v>835</v>
      </c>
      <c r="I371" s="728" t="s">
        <v>960</v>
      </c>
      <c r="J371" s="1411" t="s">
        <v>917</v>
      </c>
    </row>
    <row r="372" spans="1:10" x14ac:dyDescent="0.25">
      <c r="A372" s="1434">
        <v>7.5</v>
      </c>
      <c r="B372" s="1433" t="s">
        <v>834</v>
      </c>
      <c r="C372" s="1467" t="s">
        <v>836</v>
      </c>
      <c r="D372" s="1404" t="s">
        <v>955</v>
      </c>
      <c r="E372" s="1405">
        <v>371</v>
      </c>
      <c r="F372" s="1406" t="s">
        <v>761</v>
      </c>
      <c r="G372" s="1417" t="s">
        <v>972</v>
      </c>
      <c r="H372" s="1470" t="s">
        <v>835</v>
      </c>
      <c r="I372" s="728" t="s">
        <v>960</v>
      </c>
      <c r="J372" s="1439" t="s">
        <v>973</v>
      </c>
    </row>
    <row r="373" spans="1:10" x14ac:dyDescent="0.25">
      <c r="A373" s="1434">
        <v>7.6</v>
      </c>
      <c r="B373" s="1433" t="s">
        <v>834</v>
      </c>
      <c r="C373" s="1467" t="s">
        <v>836</v>
      </c>
      <c r="D373" s="1404" t="s">
        <v>955</v>
      </c>
      <c r="E373" s="1405">
        <v>372</v>
      </c>
      <c r="F373" s="1418">
        <v>5.9</v>
      </c>
      <c r="G373" s="1417" t="s">
        <v>834</v>
      </c>
      <c r="H373" s="1470" t="s">
        <v>835</v>
      </c>
      <c r="I373" s="728" t="s">
        <v>960</v>
      </c>
      <c r="J373" s="1411" t="s">
        <v>837</v>
      </c>
    </row>
    <row r="374" spans="1:10" x14ac:dyDescent="0.25">
      <c r="A374" s="1434">
        <v>7.7</v>
      </c>
      <c r="B374" s="1433" t="s">
        <v>834</v>
      </c>
      <c r="C374" s="1467" t="s">
        <v>836</v>
      </c>
      <c r="D374" s="1404" t="s">
        <v>955</v>
      </c>
      <c r="E374" s="1405">
        <v>373</v>
      </c>
      <c r="F374" s="1422" t="s">
        <v>764</v>
      </c>
      <c r="G374" s="1417" t="s">
        <v>985</v>
      </c>
      <c r="H374" s="1470" t="s">
        <v>835</v>
      </c>
      <c r="I374" s="728" t="s">
        <v>960</v>
      </c>
      <c r="J374" s="1411" t="s">
        <v>975</v>
      </c>
    </row>
    <row r="375" spans="1:10" x14ac:dyDescent="0.25">
      <c r="A375" s="1434">
        <v>7.8</v>
      </c>
      <c r="B375" s="1433" t="s">
        <v>834</v>
      </c>
      <c r="C375" s="1467" t="s">
        <v>836</v>
      </c>
      <c r="D375" s="1404" t="s">
        <v>955</v>
      </c>
      <c r="E375" s="1405">
        <v>374</v>
      </c>
      <c r="F375" s="1418">
        <v>5.1100000000000003</v>
      </c>
      <c r="G375" s="1417" t="s">
        <v>967</v>
      </c>
      <c r="H375" s="1470" t="s">
        <v>835</v>
      </c>
      <c r="I375" s="728" t="s">
        <v>960</v>
      </c>
      <c r="J375" s="1411" t="s">
        <v>977</v>
      </c>
    </row>
    <row r="376" spans="1:10" x14ac:dyDescent="0.25">
      <c r="A376" s="1440" t="s">
        <v>944</v>
      </c>
      <c r="B376" s="1433" t="s">
        <v>548</v>
      </c>
      <c r="C376" s="1467" t="s">
        <v>836</v>
      </c>
      <c r="D376" s="1404" t="s">
        <v>955</v>
      </c>
      <c r="E376" s="1405">
        <v>375</v>
      </c>
      <c r="F376" s="1418">
        <v>5.12</v>
      </c>
      <c r="G376" s="1417" t="s">
        <v>858</v>
      </c>
      <c r="H376" s="1470" t="s">
        <v>835</v>
      </c>
      <c r="I376" s="728" t="s">
        <v>960</v>
      </c>
      <c r="J376" s="1411">
        <v>10</v>
      </c>
    </row>
    <row r="377" spans="1:10" x14ac:dyDescent="0.25">
      <c r="A377" s="1434" t="s">
        <v>945</v>
      </c>
      <c r="B377" s="1433" t="s">
        <v>834</v>
      </c>
      <c r="C377" s="1467" t="s">
        <v>836</v>
      </c>
      <c r="D377" s="1404" t="s">
        <v>955</v>
      </c>
      <c r="E377" s="1405">
        <v>376</v>
      </c>
      <c r="F377" s="1418">
        <v>5.13</v>
      </c>
      <c r="G377" s="1417" t="s">
        <v>986</v>
      </c>
      <c r="H377" s="1470" t="s">
        <v>835</v>
      </c>
      <c r="I377" s="728" t="s">
        <v>960</v>
      </c>
      <c r="J377" s="1411" t="s">
        <v>979</v>
      </c>
    </row>
    <row r="378" spans="1:10" x14ac:dyDescent="0.25">
      <c r="A378" s="1434" t="s">
        <v>946</v>
      </c>
      <c r="B378" s="1433" t="s">
        <v>834</v>
      </c>
      <c r="C378" s="1467" t="s">
        <v>836</v>
      </c>
      <c r="D378" s="1404" t="s">
        <v>955</v>
      </c>
      <c r="E378" s="1405">
        <v>377</v>
      </c>
      <c r="F378" s="1418">
        <v>6.1</v>
      </c>
      <c r="G378" s="1417" t="s">
        <v>834</v>
      </c>
      <c r="H378" s="1470" t="s">
        <v>835</v>
      </c>
      <c r="I378" s="728" t="s">
        <v>960</v>
      </c>
      <c r="J378" s="1411" t="s">
        <v>837</v>
      </c>
    </row>
    <row r="379" spans="1:10" x14ac:dyDescent="0.25">
      <c r="A379" s="1434" t="s">
        <v>796</v>
      </c>
      <c r="B379" s="1433" t="s">
        <v>834</v>
      </c>
      <c r="C379" s="1467" t="s">
        <v>836</v>
      </c>
      <c r="D379" s="1404" t="s">
        <v>955</v>
      </c>
      <c r="E379" s="1405">
        <v>378</v>
      </c>
      <c r="F379" s="1418">
        <v>6.2</v>
      </c>
      <c r="G379" s="1417" t="s">
        <v>834</v>
      </c>
      <c r="H379" s="1470" t="s">
        <v>835</v>
      </c>
      <c r="I379" s="728" t="s">
        <v>960</v>
      </c>
      <c r="J379" s="1411" t="s">
        <v>837</v>
      </c>
    </row>
    <row r="380" spans="1:10" x14ac:dyDescent="0.25">
      <c r="A380" s="1434">
        <v>7.11</v>
      </c>
      <c r="B380" s="1433" t="s">
        <v>834</v>
      </c>
      <c r="C380" s="1467" t="s">
        <v>836</v>
      </c>
      <c r="D380" s="1404" t="s">
        <v>955</v>
      </c>
      <c r="E380" s="1405">
        <v>379</v>
      </c>
      <c r="F380" s="1418">
        <v>6.3</v>
      </c>
      <c r="G380" s="1417" t="s">
        <v>878</v>
      </c>
      <c r="H380" s="1470" t="s">
        <v>835</v>
      </c>
      <c r="I380" s="728" t="s">
        <v>960</v>
      </c>
      <c r="J380" s="1439" t="s">
        <v>879</v>
      </c>
    </row>
    <row r="381" spans="1:10" x14ac:dyDescent="0.25">
      <c r="A381" s="1434">
        <v>7.12</v>
      </c>
      <c r="B381" s="1433" t="s">
        <v>834</v>
      </c>
      <c r="C381" s="1467" t="s">
        <v>836</v>
      </c>
      <c r="D381" s="1404" t="s">
        <v>955</v>
      </c>
      <c r="E381" s="1405">
        <v>380</v>
      </c>
      <c r="F381" s="1418">
        <v>6.4</v>
      </c>
      <c r="G381" s="1417" t="s">
        <v>930</v>
      </c>
      <c r="H381" s="1470" t="s">
        <v>835</v>
      </c>
      <c r="I381" s="728" t="s">
        <v>960</v>
      </c>
      <c r="J381" s="1411" t="s">
        <v>931</v>
      </c>
    </row>
    <row r="382" spans="1:10" x14ac:dyDescent="0.25">
      <c r="A382" s="1434">
        <v>7.13</v>
      </c>
      <c r="B382" s="1433" t="s">
        <v>548</v>
      </c>
      <c r="C382" s="1467" t="s">
        <v>836</v>
      </c>
      <c r="D382" s="1404" t="s">
        <v>955</v>
      </c>
      <c r="E382" s="1405">
        <v>381</v>
      </c>
      <c r="F382" s="1406" t="s">
        <v>774</v>
      </c>
      <c r="G382" s="1410" t="s">
        <v>843</v>
      </c>
      <c r="H382" s="1470" t="s">
        <v>835</v>
      </c>
      <c r="I382" s="728" t="s">
        <v>960</v>
      </c>
      <c r="J382" s="1411" t="s">
        <v>863</v>
      </c>
    </row>
    <row r="383" spans="1:10" x14ac:dyDescent="0.25">
      <c r="A383" s="1434">
        <v>7.14</v>
      </c>
      <c r="B383" s="1433" t="s">
        <v>834</v>
      </c>
      <c r="C383" s="1467" t="s">
        <v>836</v>
      </c>
      <c r="D383" s="1404" t="s">
        <v>955</v>
      </c>
      <c r="E383" s="1405">
        <v>382</v>
      </c>
      <c r="F383" s="1406" t="s">
        <v>776</v>
      </c>
      <c r="G383" s="1410" t="s">
        <v>936</v>
      </c>
      <c r="H383" s="1470" t="s">
        <v>835</v>
      </c>
      <c r="I383" s="728" t="s">
        <v>960</v>
      </c>
      <c r="J383" s="1411" t="s">
        <v>863</v>
      </c>
    </row>
    <row r="384" spans="1:10" x14ac:dyDescent="0.25">
      <c r="A384" s="1434">
        <v>7.15</v>
      </c>
      <c r="B384" s="1433" t="s">
        <v>834</v>
      </c>
      <c r="C384" s="1467" t="s">
        <v>836</v>
      </c>
      <c r="D384" s="1404" t="s">
        <v>955</v>
      </c>
      <c r="E384" s="1405">
        <v>383</v>
      </c>
      <c r="F384" s="1418">
        <v>6.6</v>
      </c>
      <c r="G384" s="1417" t="s">
        <v>841</v>
      </c>
      <c r="H384" s="1470" t="s">
        <v>835</v>
      </c>
      <c r="I384" s="728" t="s">
        <v>960</v>
      </c>
      <c r="J384" s="1439" t="s">
        <v>842</v>
      </c>
    </row>
    <row r="385" spans="1:10" x14ac:dyDescent="0.25">
      <c r="A385" s="1434">
        <v>7.16</v>
      </c>
      <c r="B385" s="1433" t="s">
        <v>834</v>
      </c>
      <c r="C385" s="1467" t="s">
        <v>836</v>
      </c>
      <c r="D385" s="1404" t="s">
        <v>955</v>
      </c>
      <c r="E385" s="1405">
        <v>384</v>
      </c>
      <c r="F385" s="1418">
        <v>7.1</v>
      </c>
      <c r="G385" s="1417" t="s">
        <v>834</v>
      </c>
      <c r="H385" s="1470" t="s">
        <v>835</v>
      </c>
      <c r="I385" s="728" t="s">
        <v>960</v>
      </c>
      <c r="J385" s="1411" t="s">
        <v>837</v>
      </c>
    </row>
    <row r="386" spans="1:10" x14ac:dyDescent="0.25">
      <c r="A386" s="1437">
        <v>7.17</v>
      </c>
      <c r="B386" s="1438" t="s">
        <v>898</v>
      </c>
      <c r="C386" s="1467" t="s">
        <v>836</v>
      </c>
      <c r="D386" s="1404" t="s">
        <v>955</v>
      </c>
      <c r="E386" s="1405">
        <v>385</v>
      </c>
      <c r="F386" s="1406" t="s">
        <v>782</v>
      </c>
      <c r="G386" s="1410" t="s">
        <v>940</v>
      </c>
      <c r="H386" s="1470" t="s">
        <v>835</v>
      </c>
      <c r="I386" s="728" t="s">
        <v>960</v>
      </c>
      <c r="J386" s="1411" t="s">
        <v>873</v>
      </c>
    </row>
    <row r="387" spans="1:10" x14ac:dyDescent="0.25">
      <c r="A387" s="1430" t="s">
        <v>950</v>
      </c>
      <c r="B387" s="1431" t="s">
        <v>834</v>
      </c>
      <c r="C387" s="1467" t="s">
        <v>836</v>
      </c>
      <c r="D387" s="1404" t="s">
        <v>955</v>
      </c>
      <c r="E387" s="1405">
        <v>386</v>
      </c>
      <c r="F387" s="1406" t="s">
        <v>784</v>
      </c>
      <c r="G387" s="1410" t="s">
        <v>942</v>
      </c>
      <c r="H387" s="1470" t="s">
        <v>835</v>
      </c>
      <c r="I387" s="728" t="s">
        <v>960</v>
      </c>
      <c r="J387" s="1411" t="s">
        <v>943</v>
      </c>
    </row>
    <row r="388" spans="1:10" x14ac:dyDescent="0.25">
      <c r="A388" s="1434" t="s">
        <v>951</v>
      </c>
      <c r="B388" s="1433" t="s">
        <v>834</v>
      </c>
      <c r="C388" s="1467" t="s">
        <v>836</v>
      </c>
      <c r="D388" s="1404" t="s">
        <v>955</v>
      </c>
      <c r="E388" s="1405">
        <v>387</v>
      </c>
      <c r="F388" s="1406" t="s">
        <v>785</v>
      </c>
      <c r="G388" s="1410" t="s">
        <v>834</v>
      </c>
      <c r="H388" s="1470" t="s">
        <v>835</v>
      </c>
      <c r="I388" s="728" t="s">
        <v>960</v>
      </c>
      <c r="J388" s="1411" t="s">
        <v>837</v>
      </c>
    </row>
    <row r="389" spans="1:10" x14ac:dyDescent="0.25">
      <c r="A389" s="1434" t="s">
        <v>952</v>
      </c>
      <c r="B389" s="1433" t="s">
        <v>834</v>
      </c>
      <c r="C389" s="1467" t="s">
        <v>836</v>
      </c>
      <c r="D389" s="1404" t="s">
        <v>955</v>
      </c>
      <c r="E389" s="1405">
        <v>388</v>
      </c>
      <c r="F389" s="1406" t="s">
        <v>787</v>
      </c>
      <c r="G389" s="1417" t="s">
        <v>548</v>
      </c>
      <c r="H389" s="1470" t="s">
        <v>835</v>
      </c>
      <c r="I389" s="728" t="s">
        <v>960</v>
      </c>
      <c r="J389" s="1411" t="s">
        <v>548</v>
      </c>
    </row>
    <row r="390" spans="1:10" x14ac:dyDescent="0.25">
      <c r="A390" s="1434" t="s">
        <v>953</v>
      </c>
      <c r="B390" s="1433" t="s">
        <v>898</v>
      </c>
      <c r="C390" s="1467" t="s">
        <v>836</v>
      </c>
      <c r="D390" s="1404" t="s">
        <v>955</v>
      </c>
      <c r="E390" s="1405">
        <v>389</v>
      </c>
      <c r="F390" s="1406" t="s">
        <v>788</v>
      </c>
      <c r="G390" s="1417" t="s">
        <v>548</v>
      </c>
      <c r="H390" s="1470" t="s">
        <v>835</v>
      </c>
      <c r="I390" s="728" t="s">
        <v>960</v>
      </c>
      <c r="J390" s="1411" t="s">
        <v>548</v>
      </c>
    </row>
    <row r="391" spans="1:10" x14ac:dyDescent="0.25">
      <c r="A391" s="1434" t="s">
        <v>954</v>
      </c>
      <c r="B391" s="1433" t="s">
        <v>843</v>
      </c>
      <c r="C391" s="1467" t="s">
        <v>836</v>
      </c>
      <c r="D391" s="1404" t="s">
        <v>955</v>
      </c>
      <c r="E391" s="1405">
        <v>390</v>
      </c>
      <c r="F391" s="1406" t="s">
        <v>790</v>
      </c>
      <c r="G391" s="1417" t="s">
        <v>850</v>
      </c>
      <c r="H391" s="1470" t="s">
        <v>835</v>
      </c>
      <c r="I391" s="728" t="s">
        <v>960</v>
      </c>
      <c r="J391" s="1411" t="s">
        <v>865</v>
      </c>
    </row>
    <row r="392" spans="1:10" x14ac:dyDescent="0.25">
      <c r="A392" s="1446">
        <v>1.1000000000000001</v>
      </c>
      <c r="B392" s="1447" t="s">
        <v>834</v>
      </c>
      <c r="C392" s="1467" t="s">
        <v>836</v>
      </c>
      <c r="D392" s="1404" t="s">
        <v>983</v>
      </c>
      <c r="E392" s="1405">
        <v>391</v>
      </c>
      <c r="F392" s="1418">
        <v>7.5</v>
      </c>
      <c r="G392" s="1417" t="s">
        <v>834</v>
      </c>
      <c r="H392" s="1470" t="s">
        <v>835</v>
      </c>
      <c r="I392" s="728" t="s">
        <v>960</v>
      </c>
      <c r="J392" s="1411" t="s">
        <v>837</v>
      </c>
    </row>
    <row r="393" spans="1:10" x14ac:dyDescent="0.25">
      <c r="A393" s="1412">
        <v>1.2</v>
      </c>
      <c r="B393" s="1413" t="s">
        <v>838</v>
      </c>
      <c r="C393" s="1467" t="s">
        <v>836</v>
      </c>
      <c r="D393" s="1404" t="s">
        <v>983</v>
      </c>
      <c r="E393" s="1405">
        <v>392</v>
      </c>
      <c r="F393" s="1418">
        <v>7.6</v>
      </c>
      <c r="G393" s="1417" t="s">
        <v>834</v>
      </c>
      <c r="H393" s="1470" t="s">
        <v>835</v>
      </c>
      <c r="I393" s="728" t="s">
        <v>960</v>
      </c>
      <c r="J393" s="1411" t="s">
        <v>837</v>
      </c>
    </row>
    <row r="394" spans="1:10" x14ac:dyDescent="0.25">
      <c r="A394" s="1414">
        <v>2.1</v>
      </c>
      <c r="B394" s="1409" t="s">
        <v>834</v>
      </c>
      <c r="C394" s="1467" t="s">
        <v>836</v>
      </c>
      <c r="D394" s="1404" t="s">
        <v>983</v>
      </c>
      <c r="E394" s="1405">
        <v>393</v>
      </c>
      <c r="F394" s="1418">
        <v>7.7</v>
      </c>
      <c r="G394" s="1417" t="s">
        <v>834</v>
      </c>
      <c r="H394" s="1470" t="s">
        <v>835</v>
      </c>
      <c r="I394" s="728" t="s">
        <v>960</v>
      </c>
      <c r="J394" s="1411" t="s">
        <v>837</v>
      </c>
    </row>
    <row r="395" spans="1:10" x14ac:dyDescent="0.25">
      <c r="A395" s="1415">
        <v>2.2000000000000002</v>
      </c>
      <c r="B395" s="1416" t="s">
        <v>548</v>
      </c>
      <c r="C395" s="1467" t="s">
        <v>836</v>
      </c>
      <c r="D395" s="1404" t="s">
        <v>983</v>
      </c>
      <c r="E395" s="1405">
        <v>394</v>
      </c>
      <c r="F395" s="1418">
        <v>7.8</v>
      </c>
      <c r="G395" s="1417" t="s">
        <v>834</v>
      </c>
      <c r="H395" s="1470" t="s">
        <v>835</v>
      </c>
      <c r="I395" s="728" t="s">
        <v>960</v>
      </c>
      <c r="J395" s="1411" t="s">
        <v>837</v>
      </c>
    </row>
    <row r="396" spans="1:10" x14ac:dyDescent="0.25">
      <c r="A396" s="1415">
        <v>2.2999999999999998</v>
      </c>
      <c r="B396" s="1416" t="s">
        <v>834</v>
      </c>
      <c r="C396" s="1467" t="s">
        <v>836</v>
      </c>
      <c r="D396" s="1404" t="s">
        <v>983</v>
      </c>
      <c r="E396" s="1405">
        <v>395</v>
      </c>
      <c r="F396" s="1418">
        <v>7.9</v>
      </c>
      <c r="G396" s="1417" t="s">
        <v>834</v>
      </c>
      <c r="H396" s="1470" t="s">
        <v>835</v>
      </c>
      <c r="I396" s="728" t="s">
        <v>960</v>
      </c>
      <c r="J396" s="1411" t="s">
        <v>837</v>
      </c>
    </row>
    <row r="397" spans="1:10" x14ac:dyDescent="0.25">
      <c r="A397" s="1415">
        <v>2.4</v>
      </c>
      <c r="B397" s="1416" t="s">
        <v>846</v>
      </c>
      <c r="C397" s="1467" t="s">
        <v>836</v>
      </c>
      <c r="D397" s="1404" t="s">
        <v>983</v>
      </c>
      <c r="E397" s="1405">
        <v>396</v>
      </c>
      <c r="F397" s="1422" t="s">
        <v>796</v>
      </c>
      <c r="G397" s="1417" t="s">
        <v>980</v>
      </c>
      <c r="H397" s="1470" t="s">
        <v>835</v>
      </c>
      <c r="I397" s="728" t="s">
        <v>960</v>
      </c>
      <c r="J397" s="1411" t="s">
        <v>873</v>
      </c>
    </row>
    <row r="398" spans="1:10" x14ac:dyDescent="0.25">
      <c r="A398" s="1415">
        <v>2.5</v>
      </c>
      <c r="B398" s="1416" t="s">
        <v>898</v>
      </c>
      <c r="C398" s="1467" t="s">
        <v>836</v>
      </c>
      <c r="D398" s="1404" t="s">
        <v>983</v>
      </c>
      <c r="E398" s="1405">
        <v>397</v>
      </c>
      <c r="F398" s="1418">
        <v>7.11</v>
      </c>
      <c r="G398" s="1417" t="s">
        <v>834</v>
      </c>
      <c r="H398" s="1470" t="s">
        <v>835</v>
      </c>
      <c r="I398" s="728" t="s">
        <v>960</v>
      </c>
      <c r="J398" s="1411" t="s">
        <v>837</v>
      </c>
    </row>
    <row r="399" spans="1:10" x14ac:dyDescent="0.25">
      <c r="A399" s="1415">
        <v>2.6</v>
      </c>
      <c r="B399" s="1416" t="s">
        <v>850</v>
      </c>
      <c r="C399" s="1467" t="s">
        <v>836</v>
      </c>
      <c r="D399" s="1404" t="s">
        <v>983</v>
      </c>
      <c r="E399" s="1405">
        <v>398</v>
      </c>
      <c r="F399" s="1418">
        <v>7.12</v>
      </c>
      <c r="G399" s="1417" t="s">
        <v>834</v>
      </c>
      <c r="H399" s="1470" t="s">
        <v>835</v>
      </c>
      <c r="I399" s="728" t="s">
        <v>960</v>
      </c>
      <c r="J399" s="1411" t="s">
        <v>837</v>
      </c>
    </row>
    <row r="400" spans="1:10" x14ac:dyDescent="0.25">
      <c r="A400" s="1419" t="s">
        <v>851</v>
      </c>
      <c r="B400" s="1416" t="s">
        <v>834</v>
      </c>
      <c r="C400" s="1467" t="s">
        <v>836</v>
      </c>
      <c r="D400" s="1404" t="s">
        <v>983</v>
      </c>
      <c r="E400" s="1405">
        <v>399</v>
      </c>
      <c r="F400" s="1406" t="s">
        <v>800</v>
      </c>
      <c r="G400" s="1417" t="s">
        <v>548</v>
      </c>
      <c r="H400" s="1470" t="s">
        <v>835</v>
      </c>
      <c r="I400" s="728" t="s">
        <v>960</v>
      </c>
      <c r="J400" s="1411" t="s">
        <v>548</v>
      </c>
    </row>
    <row r="401" spans="1:10" x14ac:dyDescent="0.25">
      <c r="A401" s="1415" t="s">
        <v>852</v>
      </c>
      <c r="B401" s="1416" t="s">
        <v>987</v>
      </c>
      <c r="C401" s="1467" t="s">
        <v>836</v>
      </c>
      <c r="D401" s="1404" t="s">
        <v>983</v>
      </c>
      <c r="E401" s="1405">
        <v>400</v>
      </c>
      <c r="F401" s="1406" t="s">
        <v>802</v>
      </c>
      <c r="G401" s="1417" t="s">
        <v>981</v>
      </c>
      <c r="H401" s="1470" t="s">
        <v>835</v>
      </c>
      <c r="I401" s="728" t="s">
        <v>960</v>
      </c>
      <c r="J401" s="1411" t="s">
        <v>982</v>
      </c>
    </row>
    <row r="402" spans="1:10" x14ac:dyDescent="0.25">
      <c r="A402" s="1415">
        <v>2.8</v>
      </c>
      <c r="B402" s="1416" t="s">
        <v>855</v>
      </c>
      <c r="C402" s="1467" t="s">
        <v>836</v>
      </c>
      <c r="D402" s="1404" t="s">
        <v>983</v>
      </c>
      <c r="E402" s="1405">
        <v>401</v>
      </c>
      <c r="F402" s="1418">
        <v>7.14</v>
      </c>
      <c r="G402" s="1417" t="s">
        <v>834</v>
      </c>
      <c r="H402" s="1470" t="s">
        <v>835</v>
      </c>
      <c r="I402" s="728" t="s">
        <v>960</v>
      </c>
      <c r="J402" s="1411" t="s">
        <v>837</v>
      </c>
    </row>
    <row r="403" spans="1:10" x14ac:dyDescent="0.25">
      <c r="A403" s="1415">
        <v>2.9</v>
      </c>
      <c r="B403" s="1416" t="s">
        <v>858</v>
      </c>
      <c r="C403" s="1467" t="s">
        <v>836</v>
      </c>
      <c r="D403" s="1404" t="s">
        <v>983</v>
      </c>
      <c r="E403" s="1405">
        <v>402</v>
      </c>
      <c r="F403" s="1418">
        <v>7.15</v>
      </c>
      <c r="G403" s="1417" t="s">
        <v>834</v>
      </c>
      <c r="H403" s="1470" t="s">
        <v>835</v>
      </c>
      <c r="I403" s="728" t="s">
        <v>960</v>
      </c>
      <c r="J403" s="1411" t="s">
        <v>837</v>
      </c>
    </row>
    <row r="404" spans="1:10" x14ac:dyDescent="0.25">
      <c r="A404" s="1420" t="s">
        <v>717</v>
      </c>
      <c r="B404" s="1413" t="s">
        <v>850</v>
      </c>
      <c r="C404" s="1467" t="s">
        <v>836</v>
      </c>
      <c r="D404" s="1404" t="s">
        <v>983</v>
      </c>
      <c r="E404" s="1405">
        <v>403</v>
      </c>
      <c r="F404" s="1418">
        <v>7.16</v>
      </c>
      <c r="G404" s="1417" t="s">
        <v>834</v>
      </c>
      <c r="H404" s="1470" t="s">
        <v>835</v>
      </c>
      <c r="I404" s="728" t="s">
        <v>960</v>
      </c>
      <c r="J404" s="1411" t="s">
        <v>837</v>
      </c>
    </row>
    <row r="405" spans="1:10" x14ac:dyDescent="0.25">
      <c r="A405" s="1414" t="s">
        <v>859</v>
      </c>
      <c r="B405" s="1409" t="s">
        <v>834</v>
      </c>
      <c r="C405" s="1467" t="s">
        <v>836</v>
      </c>
      <c r="D405" s="1404" t="s">
        <v>983</v>
      </c>
      <c r="E405" s="1405">
        <v>404</v>
      </c>
      <c r="F405" s="1418">
        <v>7.17</v>
      </c>
      <c r="G405" s="1417" t="s">
        <v>834</v>
      </c>
      <c r="H405" s="1470" t="s">
        <v>835</v>
      </c>
      <c r="I405" s="728" t="s">
        <v>960</v>
      </c>
      <c r="J405" s="1411" t="s">
        <v>837</v>
      </c>
    </row>
    <row r="406" spans="1:10" x14ac:dyDescent="0.25">
      <c r="A406" s="1415" t="s">
        <v>862</v>
      </c>
      <c r="B406" s="1416" t="s">
        <v>834</v>
      </c>
      <c r="C406" s="1467" t="s">
        <v>836</v>
      </c>
      <c r="D406" s="1404" t="s">
        <v>983</v>
      </c>
      <c r="E406" s="1405">
        <v>405</v>
      </c>
      <c r="F406" s="1406" t="s">
        <v>809</v>
      </c>
      <c r="G406" s="1417" t="s">
        <v>834</v>
      </c>
      <c r="H406" s="1470" t="s">
        <v>835</v>
      </c>
      <c r="I406" s="728" t="s">
        <v>960</v>
      </c>
      <c r="J406" s="1411" t="s">
        <v>837</v>
      </c>
    </row>
    <row r="407" spans="1:10" x14ac:dyDescent="0.25">
      <c r="A407" s="1415" t="s">
        <v>723</v>
      </c>
      <c r="B407" s="1421" t="s">
        <v>864</v>
      </c>
      <c r="C407" s="1467" t="s">
        <v>836</v>
      </c>
      <c r="D407" s="1404" t="s">
        <v>983</v>
      </c>
      <c r="E407" s="1405">
        <v>406</v>
      </c>
      <c r="F407" s="1406" t="s">
        <v>811</v>
      </c>
      <c r="G407" s="1410" t="s">
        <v>898</v>
      </c>
      <c r="H407" s="1470" t="s">
        <v>835</v>
      </c>
      <c r="I407" s="728" t="s">
        <v>960</v>
      </c>
      <c r="J407" s="1411" t="s">
        <v>899</v>
      </c>
    </row>
    <row r="408" spans="1:10" x14ac:dyDescent="0.25">
      <c r="A408" s="1415" t="s">
        <v>724</v>
      </c>
      <c r="B408" s="1416" t="s">
        <v>846</v>
      </c>
      <c r="C408" s="1467" t="s">
        <v>836</v>
      </c>
      <c r="D408" s="1404" t="s">
        <v>983</v>
      </c>
      <c r="E408" s="1405">
        <v>407</v>
      </c>
      <c r="F408" s="1418">
        <v>8.1999999999999993</v>
      </c>
      <c r="G408" s="1417" t="s">
        <v>956</v>
      </c>
      <c r="H408" s="1470" t="s">
        <v>835</v>
      </c>
      <c r="I408" s="728" t="s">
        <v>960</v>
      </c>
      <c r="J408" s="1411" t="s">
        <v>957</v>
      </c>
    </row>
    <row r="409" spans="1:10" x14ac:dyDescent="0.25">
      <c r="A409" s="1415" t="s">
        <v>725</v>
      </c>
      <c r="B409" s="1416" t="s">
        <v>866</v>
      </c>
      <c r="C409" s="1467" t="s">
        <v>836</v>
      </c>
      <c r="D409" s="1404" t="s">
        <v>983</v>
      </c>
      <c r="E409" s="1405">
        <v>408</v>
      </c>
      <c r="F409" s="1418">
        <v>8.3000000000000007</v>
      </c>
      <c r="G409" s="1417" t="s">
        <v>834</v>
      </c>
      <c r="H409" s="1470" t="s">
        <v>835</v>
      </c>
      <c r="I409" s="728" t="s">
        <v>960</v>
      </c>
      <c r="J409" s="1411" t="s">
        <v>837</v>
      </c>
    </row>
    <row r="410" spans="1:10" x14ac:dyDescent="0.25">
      <c r="A410" s="1415" t="s">
        <v>867</v>
      </c>
      <c r="B410" s="1421" t="s">
        <v>868</v>
      </c>
      <c r="C410" s="1467" t="s">
        <v>836</v>
      </c>
      <c r="D410" s="1404" t="s">
        <v>983</v>
      </c>
      <c r="E410" s="1405">
        <v>409</v>
      </c>
      <c r="F410" s="1418">
        <v>8.4</v>
      </c>
      <c r="G410" s="1417" t="s">
        <v>958</v>
      </c>
      <c r="H410" s="1470" t="s">
        <v>835</v>
      </c>
      <c r="I410" s="728" t="s">
        <v>960</v>
      </c>
      <c r="J410" s="1411" t="s">
        <v>959</v>
      </c>
    </row>
    <row r="411" spans="1:10" ht="15.75" thickBot="1" x14ac:dyDescent="0.3">
      <c r="A411" s="1415" t="s">
        <v>869</v>
      </c>
      <c r="B411" s="1416" t="s">
        <v>870</v>
      </c>
      <c r="C411" s="1467" t="s">
        <v>836</v>
      </c>
      <c r="D411" s="1404" t="s">
        <v>983</v>
      </c>
      <c r="E411" s="1405">
        <v>410</v>
      </c>
      <c r="F411" s="1451">
        <v>8.5</v>
      </c>
      <c r="G411" s="1417" t="s">
        <v>834</v>
      </c>
      <c r="H411" s="1452" t="s">
        <v>835</v>
      </c>
      <c r="I411" s="728" t="s">
        <v>960</v>
      </c>
      <c r="J411" s="1454" t="s">
        <v>837</v>
      </c>
    </row>
    <row r="412" spans="1:10" ht="15.75" thickTop="1" x14ac:dyDescent="0.25">
      <c r="A412" s="1415" t="s">
        <v>874</v>
      </c>
      <c r="B412" s="1413" t="s">
        <v>834</v>
      </c>
      <c r="C412" s="1467" t="s">
        <v>836</v>
      </c>
      <c r="D412" s="1404" t="s">
        <v>983</v>
      </c>
      <c r="E412" s="1405">
        <v>411</v>
      </c>
      <c r="F412" s="1406" t="s">
        <v>693</v>
      </c>
      <c r="G412" s="1417" t="s">
        <v>834</v>
      </c>
      <c r="H412" s="1470" t="s">
        <v>835</v>
      </c>
      <c r="I412" s="728" t="s">
        <v>984</v>
      </c>
      <c r="J412" s="1411" t="s">
        <v>837</v>
      </c>
    </row>
    <row r="413" spans="1:10" x14ac:dyDescent="0.25">
      <c r="A413" s="1424" t="s">
        <v>876</v>
      </c>
      <c r="B413" s="1425" t="s">
        <v>834</v>
      </c>
      <c r="C413" s="1467" t="s">
        <v>836</v>
      </c>
      <c r="D413" s="1404" t="s">
        <v>983</v>
      </c>
      <c r="E413" s="1405">
        <v>412</v>
      </c>
      <c r="F413" s="1406" t="s">
        <v>695</v>
      </c>
      <c r="G413" s="1410" t="s">
        <v>839</v>
      </c>
      <c r="H413" s="1470" t="s">
        <v>835</v>
      </c>
      <c r="I413" s="728" t="s">
        <v>984</v>
      </c>
      <c r="J413" s="1411" t="s">
        <v>840</v>
      </c>
    </row>
    <row r="414" spans="1:10" x14ac:dyDescent="0.25">
      <c r="A414" s="1426" t="s">
        <v>880</v>
      </c>
      <c r="B414" s="1427" t="s">
        <v>870</v>
      </c>
      <c r="C414" s="1467" t="s">
        <v>836</v>
      </c>
      <c r="D414" s="1404" t="s">
        <v>983</v>
      </c>
      <c r="E414" s="1405">
        <v>413</v>
      </c>
      <c r="F414" s="1418">
        <v>1.2</v>
      </c>
      <c r="G414" s="1417" t="s">
        <v>961</v>
      </c>
      <c r="H414" s="1470" t="s">
        <v>835</v>
      </c>
      <c r="I414" s="728" t="s">
        <v>984</v>
      </c>
      <c r="J414" s="1411" t="s">
        <v>842</v>
      </c>
    </row>
    <row r="415" spans="1:10" x14ac:dyDescent="0.25">
      <c r="A415" s="1426" t="s">
        <v>882</v>
      </c>
      <c r="B415" s="1429" t="s">
        <v>883</v>
      </c>
      <c r="C415" s="1467" t="s">
        <v>836</v>
      </c>
      <c r="D415" s="1404" t="s">
        <v>983</v>
      </c>
      <c r="E415" s="1405">
        <v>414</v>
      </c>
      <c r="F415" s="1406" t="s">
        <v>698</v>
      </c>
      <c r="G415" s="1417" t="s">
        <v>834</v>
      </c>
      <c r="H415" s="1470" t="s">
        <v>835</v>
      </c>
      <c r="I415" s="728" t="s">
        <v>984</v>
      </c>
      <c r="J415" s="1411" t="s">
        <v>837</v>
      </c>
    </row>
    <row r="416" spans="1:10" x14ac:dyDescent="0.25">
      <c r="A416" s="1430" t="s">
        <v>886</v>
      </c>
      <c r="B416" s="1431" t="s">
        <v>548</v>
      </c>
      <c r="C416" s="1467" t="s">
        <v>836</v>
      </c>
      <c r="D416" s="1404" t="s">
        <v>983</v>
      </c>
      <c r="E416" s="1405">
        <v>415</v>
      </c>
      <c r="F416" s="1406" t="s">
        <v>700</v>
      </c>
      <c r="G416" s="1417" t="s">
        <v>844</v>
      </c>
      <c r="H416" s="1470" t="s">
        <v>835</v>
      </c>
      <c r="I416" s="728" t="s">
        <v>984</v>
      </c>
      <c r="J416" s="1411" t="s">
        <v>845</v>
      </c>
    </row>
    <row r="417" spans="1:10" x14ac:dyDescent="0.25">
      <c r="A417" s="1432" t="s">
        <v>887</v>
      </c>
      <c r="B417" s="1433" t="s">
        <v>834</v>
      </c>
      <c r="C417" s="1467" t="s">
        <v>836</v>
      </c>
      <c r="D417" s="1404" t="s">
        <v>983</v>
      </c>
      <c r="E417" s="1405">
        <v>416</v>
      </c>
      <c r="F417" s="1418">
        <v>1.4</v>
      </c>
      <c r="G417" s="1417" t="s">
        <v>847</v>
      </c>
      <c r="H417" s="1470" t="s">
        <v>835</v>
      </c>
      <c r="I417" s="728" t="s">
        <v>984</v>
      </c>
      <c r="J417" s="1411" t="s">
        <v>848</v>
      </c>
    </row>
    <row r="418" spans="1:10" x14ac:dyDescent="0.25">
      <c r="A418" s="1434" t="s">
        <v>888</v>
      </c>
      <c r="B418" s="1433" t="s">
        <v>548</v>
      </c>
      <c r="C418" s="1467" t="s">
        <v>836</v>
      </c>
      <c r="D418" s="1404" t="s">
        <v>983</v>
      </c>
      <c r="E418" s="1405">
        <v>417</v>
      </c>
      <c r="F418" s="1418">
        <v>2.1</v>
      </c>
      <c r="G418" s="1417" t="s">
        <v>834</v>
      </c>
      <c r="H418" s="1470" t="s">
        <v>835</v>
      </c>
      <c r="I418" s="728" t="s">
        <v>984</v>
      </c>
      <c r="J418" s="1411" t="s">
        <v>837</v>
      </c>
    </row>
    <row r="419" spans="1:10" x14ac:dyDescent="0.25">
      <c r="A419" s="1432" t="s">
        <v>892</v>
      </c>
      <c r="B419" s="1433" t="s">
        <v>846</v>
      </c>
      <c r="C419" s="1467" t="s">
        <v>836</v>
      </c>
      <c r="D419" s="1404" t="s">
        <v>983</v>
      </c>
      <c r="E419" s="1405">
        <v>418</v>
      </c>
      <c r="F419" s="1418">
        <v>2.2000000000000002</v>
      </c>
      <c r="G419" s="1417" t="s">
        <v>548</v>
      </c>
      <c r="H419" s="1470" t="s">
        <v>835</v>
      </c>
      <c r="I419" s="728" t="s">
        <v>984</v>
      </c>
      <c r="J419" s="1411" t="s">
        <v>548</v>
      </c>
    </row>
    <row r="420" spans="1:10" x14ac:dyDescent="0.25">
      <c r="A420" s="1434" t="s">
        <v>893</v>
      </c>
      <c r="B420" s="1433" t="s">
        <v>834</v>
      </c>
      <c r="C420" s="1467" t="s">
        <v>836</v>
      </c>
      <c r="D420" s="1404" t="s">
        <v>983</v>
      </c>
      <c r="E420" s="1405">
        <v>419</v>
      </c>
      <c r="F420" s="1418">
        <v>2.2999999999999998</v>
      </c>
      <c r="G420" s="1417" t="s">
        <v>834</v>
      </c>
      <c r="H420" s="1470" t="s">
        <v>835</v>
      </c>
      <c r="I420" s="728" t="s">
        <v>984</v>
      </c>
      <c r="J420" s="1411" t="s">
        <v>837</v>
      </c>
    </row>
    <row r="421" spans="1:10" x14ac:dyDescent="0.25">
      <c r="A421" s="1434" t="s">
        <v>896</v>
      </c>
      <c r="B421" s="1435" t="s">
        <v>897</v>
      </c>
      <c r="C421" s="1467" t="s">
        <v>836</v>
      </c>
      <c r="D421" s="1404" t="s">
        <v>983</v>
      </c>
      <c r="E421" s="1405">
        <v>420</v>
      </c>
      <c r="F421" s="1418">
        <v>2.4</v>
      </c>
      <c r="G421" s="1410" t="s">
        <v>846</v>
      </c>
      <c r="H421" s="1470" t="s">
        <v>835</v>
      </c>
      <c r="I421" s="728" t="s">
        <v>984</v>
      </c>
      <c r="J421" s="1411" t="s">
        <v>854</v>
      </c>
    </row>
    <row r="422" spans="1:10" x14ac:dyDescent="0.25">
      <c r="A422" s="1434" t="s">
        <v>900</v>
      </c>
      <c r="B422" s="1433" t="s">
        <v>850</v>
      </c>
      <c r="C422" s="1467" t="s">
        <v>836</v>
      </c>
      <c r="D422" s="1404" t="s">
        <v>983</v>
      </c>
      <c r="E422" s="1405">
        <v>421</v>
      </c>
      <c r="F422" s="1418">
        <v>2.5</v>
      </c>
      <c r="G422" s="1410" t="s">
        <v>856</v>
      </c>
      <c r="H422" s="1470" t="s">
        <v>835</v>
      </c>
      <c r="I422" s="728" t="s">
        <v>984</v>
      </c>
      <c r="J422" s="1411" t="s">
        <v>857</v>
      </c>
    </row>
    <row r="423" spans="1:10" x14ac:dyDescent="0.25">
      <c r="A423" s="1434" t="s">
        <v>901</v>
      </c>
      <c r="B423" s="1433" t="s">
        <v>834</v>
      </c>
      <c r="C423" s="1467" t="s">
        <v>836</v>
      </c>
      <c r="D423" s="1404" t="s">
        <v>983</v>
      </c>
      <c r="E423" s="1405">
        <v>422</v>
      </c>
      <c r="F423" s="1418">
        <v>2.6</v>
      </c>
      <c r="G423" s="1417" t="s">
        <v>834</v>
      </c>
      <c r="H423" s="1470" t="s">
        <v>835</v>
      </c>
      <c r="I423" s="728" t="s">
        <v>984</v>
      </c>
      <c r="J423" s="1411" t="s">
        <v>837</v>
      </c>
    </row>
    <row r="424" spans="1:10" x14ac:dyDescent="0.25">
      <c r="A424" s="1434" t="s">
        <v>902</v>
      </c>
      <c r="B424" s="1433" t="s">
        <v>548</v>
      </c>
      <c r="C424" s="1467" t="s">
        <v>836</v>
      </c>
      <c r="D424" s="1404" t="s">
        <v>983</v>
      </c>
      <c r="E424" s="1405">
        <v>423</v>
      </c>
      <c r="F424" s="1406" t="s">
        <v>711</v>
      </c>
      <c r="G424" s="1417" t="s">
        <v>548</v>
      </c>
      <c r="H424" s="1470" t="s">
        <v>835</v>
      </c>
      <c r="I424" s="728" t="s">
        <v>984</v>
      </c>
      <c r="J424" s="1411" t="s">
        <v>548</v>
      </c>
    </row>
    <row r="425" spans="1:10" x14ac:dyDescent="0.25">
      <c r="A425" s="1432" t="s">
        <v>905</v>
      </c>
      <c r="B425" s="1433" t="s">
        <v>843</v>
      </c>
      <c r="C425" s="1467" t="s">
        <v>836</v>
      </c>
      <c r="D425" s="1404" t="s">
        <v>983</v>
      </c>
      <c r="E425" s="1405">
        <v>424</v>
      </c>
      <c r="F425" s="1406" t="s">
        <v>713</v>
      </c>
      <c r="G425" s="1417" t="s">
        <v>988</v>
      </c>
      <c r="H425" s="1470" t="s">
        <v>835</v>
      </c>
      <c r="I425" s="728" t="s">
        <v>984</v>
      </c>
      <c r="J425" s="1411" t="s">
        <v>989</v>
      </c>
    </row>
    <row r="426" spans="1:10" x14ac:dyDescent="0.25">
      <c r="A426" s="1434" t="s">
        <v>906</v>
      </c>
      <c r="B426" s="1433" t="s">
        <v>907</v>
      </c>
      <c r="C426" s="1467" t="s">
        <v>836</v>
      </c>
      <c r="D426" s="1404" t="s">
        <v>983</v>
      </c>
      <c r="E426" s="1405">
        <v>425</v>
      </c>
      <c r="F426" s="1418">
        <v>2.8</v>
      </c>
      <c r="G426" s="1417" t="s">
        <v>963</v>
      </c>
      <c r="H426" s="1470" t="s">
        <v>835</v>
      </c>
      <c r="I426" s="728" t="s">
        <v>984</v>
      </c>
      <c r="J426" s="1411" t="s">
        <v>964</v>
      </c>
    </row>
    <row r="427" spans="1:10" x14ac:dyDescent="0.25">
      <c r="A427" s="1434" t="s">
        <v>910</v>
      </c>
      <c r="B427" s="1433" t="s">
        <v>911</v>
      </c>
      <c r="C427" s="1467" t="s">
        <v>836</v>
      </c>
      <c r="D427" s="1404" t="s">
        <v>983</v>
      </c>
      <c r="E427" s="1405">
        <v>426</v>
      </c>
      <c r="F427" s="1418">
        <v>2.9</v>
      </c>
      <c r="G427" s="1417" t="s">
        <v>846</v>
      </c>
      <c r="H427" s="1470" t="s">
        <v>835</v>
      </c>
      <c r="I427" s="728" t="s">
        <v>984</v>
      </c>
      <c r="J427" s="1411" t="s">
        <v>854</v>
      </c>
    </row>
    <row r="428" spans="1:10" x14ac:dyDescent="0.25">
      <c r="A428" s="1434" t="s">
        <v>913</v>
      </c>
      <c r="B428" s="1433" t="s">
        <v>914</v>
      </c>
      <c r="C428" s="1467" t="s">
        <v>836</v>
      </c>
      <c r="D428" s="1404" t="s">
        <v>983</v>
      </c>
      <c r="E428" s="1405">
        <v>427</v>
      </c>
      <c r="F428" s="1422" t="s">
        <v>717</v>
      </c>
      <c r="G428" s="1417" t="s">
        <v>850</v>
      </c>
      <c r="H428" s="1470" t="s">
        <v>835</v>
      </c>
      <c r="I428" s="728" t="s">
        <v>984</v>
      </c>
      <c r="J428" s="1411" t="s">
        <v>865</v>
      </c>
    </row>
    <row r="429" spans="1:10" x14ac:dyDescent="0.25">
      <c r="A429" s="1434" t="s">
        <v>915</v>
      </c>
      <c r="B429" s="1433" t="s">
        <v>834</v>
      </c>
      <c r="C429" s="1467" t="s">
        <v>836</v>
      </c>
      <c r="D429" s="1404" t="s">
        <v>983</v>
      </c>
      <c r="E429" s="1405">
        <v>428</v>
      </c>
      <c r="F429" s="1418">
        <v>3.1</v>
      </c>
      <c r="G429" s="1417" t="s">
        <v>834</v>
      </c>
      <c r="H429" s="1470" t="s">
        <v>835</v>
      </c>
      <c r="I429" s="728" t="s">
        <v>984</v>
      </c>
      <c r="J429" s="1411" t="s">
        <v>837</v>
      </c>
    </row>
    <row r="430" spans="1:10" x14ac:dyDescent="0.25">
      <c r="A430" s="1434" t="s">
        <v>764</v>
      </c>
      <c r="B430" s="1433" t="s">
        <v>916</v>
      </c>
      <c r="C430" s="1467" t="s">
        <v>836</v>
      </c>
      <c r="D430" s="1404" t="s">
        <v>983</v>
      </c>
      <c r="E430" s="1405">
        <v>429</v>
      </c>
      <c r="F430" s="1418">
        <v>3.2</v>
      </c>
      <c r="G430" s="1417" t="s">
        <v>834</v>
      </c>
      <c r="H430" s="1470" t="s">
        <v>835</v>
      </c>
      <c r="I430" s="728" t="s">
        <v>984</v>
      </c>
      <c r="J430" s="1411" t="s">
        <v>837</v>
      </c>
    </row>
    <row r="431" spans="1:10" x14ac:dyDescent="0.25">
      <c r="A431" s="1434">
        <v>5.1100000000000003</v>
      </c>
      <c r="B431" s="1433" t="s">
        <v>967</v>
      </c>
      <c r="C431" s="1467" t="s">
        <v>836</v>
      </c>
      <c r="D431" s="1404" t="s">
        <v>983</v>
      </c>
      <c r="E431" s="1405">
        <v>430</v>
      </c>
      <c r="F431" s="1406" t="s">
        <v>871</v>
      </c>
      <c r="G431" s="1410" t="s">
        <v>872</v>
      </c>
      <c r="H431" s="1470" t="s">
        <v>835</v>
      </c>
      <c r="I431" s="728" t="s">
        <v>984</v>
      </c>
      <c r="J431" s="1411" t="s">
        <v>873</v>
      </c>
    </row>
    <row r="432" spans="1:10" x14ac:dyDescent="0.25">
      <c r="A432" s="1434">
        <v>5.12</v>
      </c>
      <c r="B432" s="1433" t="s">
        <v>858</v>
      </c>
      <c r="C432" s="1467" t="s">
        <v>836</v>
      </c>
      <c r="D432" s="1404" t="s">
        <v>983</v>
      </c>
      <c r="E432" s="1405">
        <v>431</v>
      </c>
      <c r="F432" s="1406" t="s">
        <v>875</v>
      </c>
      <c r="G432" s="1410" t="s">
        <v>846</v>
      </c>
      <c r="H432" s="1470" t="s">
        <v>835</v>
      </c>
      <c r="I432" s="728" t="s">
        <v>984</v>
      </c>
      <c r="J432" s="1411" t="s">
        <v>854</v>
      </c>
    </row>
    <row r="433" spans="1:10" x14ac:dyDescent="0.25">
      <c r="A433" s="1437">
        <v>5.13</v>
      </c>
      <c r="B433" s="1438" t="s">
        <v>968</v>
      </c>
      <c r="C433" s="1467" t="s">
        <v>836</v>
      </c>
      <c r="D433" s="1404" t="s">
        <v>983</v>
      </c>
      <c r="E433" s="1405">
        <v>432</v>
      </c>
      <c r="F433" s="1406" t="s">
        <v>877</v>
      </c>
      <c r="G433" s="1417" t="s">
        <v>878</v>
      </c>
      <c r="H433" s="1470" t="s">
        <v>835</v>
      </c>
      <c r="I433" s="728" t="s">
        <v>984</v>
      </c>
      <c r="J433" s="1411" t="s">
        <v>879</v>
      </c>
    </row>
    <row r="434" spans="1:10" x14ac:dyDescent="0.25">
      <c r="A434" s="1430" t="s">
        <v>918</v>
      </c>
      <c r="B434" s="1431" t="s">
        <v>834</v>
      </c>
      <c r="C434" s="1467" t="s">
        <v>836</v>
      </c>
      <c r="D434" s="1404" t="s">
        <v>983</v>
      </c>
      <c r="E434" s="1405">
        <v>433</v>
      </c>
      <c r="F434" s="1418">
        <v>3.4</v>
      </c>
      <c r="G434" s="1417" t="s">
        <v>881</v>
      </c>
      <c r="H434" s="1470" t="s">
        <v>835</v>
      </c>
      <c r="I434" s="728" t="s">
        <v>984</v>
      </c>
      <c r="J434" s="1411" t="s">
        <v>873</v>
      </c>
    </row>
    <row r="435" spans="1:10" x14ac:dyDescent="0.25">
      <c r="A435" s="1434" t="s">
        <v>919</v>
      </c>
      <c r="B435" s="1433" t="s">
        <v>834</v>
      </c>
      <c r="C435" s="1467" t="s">
        <v>836</v>
      </c>
      <c r="D435" s="1404" t="s">
        <v>983</v>
      </c>
      <c r="E435" s="1405">
        <v>434</v>
      </c>
      <c r="F435" s="1418">
        <v>3.5</v>
      </c>
      <c r="G435" s="1410" t="s">
        <v>884</v>
      </c>
      <c r="H435" s="1470" t="s">
        <v>835</v>
      </c>
      <c r="I435" s="728" t="s">
        <v>984</v>
      </c>
      <c r="J435" s="1411" t="s">
        <v>885</v>
      </c>
    </row>
    <row r="436" spans="1:10" x14ac:dyDescent="0.25">
      <c r="A436" s="1434" t="s">
        <v>920</v>
      </c>
      <c r="B436" s="1433" t="s">
        <v>866</v>
      </c>
      <c r="C436" s="1467" t="s">
        <v>836</v>
      </c>
      <c r="D436" s="1404" t="s">
        <v>983</v>
      </c>
      <c r="E436" s="1405">
        <v>435</v>
      </c>
      <c r="F436" s="1418">
        <v>3.6</v>
      </c>
      <c r="G436" s="1417" t="s">
        <v>834</v>
      </c>
      <c r="H436" s="1470" t="s">
        <v>835</v>
      </c>
      <c r="I436" s="728" t="s">
        <v>984</v>
      </c>
      <c r="J436" s="1411" t="s">
        <v>837</v>
      </c>
    </row>
    <row r="437" spans="1:10" x14ac:dyDescent="0.25">
      <c r="A437" s="1434" t="s">
        <v>921</v>
      </c>
      <c r="B437" s="1433" t="s">
        <v>922</v>
      </c>
      <c r="C437" s="1467" t="s">
        <v>836</v>
      </c>
      <c r="D437" s="1404" t="s">
        <v>983</v>
      </c>
      <c r="E437" s="1405">
        <v>436</v>
      </c>
      <c r="F437" s="1406" t="s">
        <v>732</v>
      </c>
      <c r="G437" s="1417" t="s">
        <v>834</v>
      </c>
      <c r="H437" s="1470" t="s">
        <v>835</v>
      </c>
      <c r="I437" s="728" t="s">
        <v>984</v>
      </c>
      <c r="J437" s="1411" t="s">
        <v>837</v>
      </c>
    </row>
    <row r="438" spans="1:10" x14ac:dyDescent="0.25">
      <c r="A438" s="1434" t="s">
        <v>923</v>
      </c>
      <c r="B438" s="1433" t="s">
        <v>866</v>
      </c>
      <c r="C438" s="1467" t="s">
        <v>836</v>
      </c>
      <c r="D438" s="1404" t="s">
        <v>983</v>
      </c>
      <c r="E438" s="1405">
        <v>437</v>
      </c>
      <c r="F438" s="1406" t="s">
        <v>734</v>
      </c>
      <c r="G438" s="1417" t="s">
        <v>966</v>
      </c>
      <c r="H438" s="1470" t="s">
        <v>835</v>
      </c>
      <c r="I438" s="728" t="s">
        <v>984</v>
      </c>
      <c r="J438" s="1411" t="s">
        <v>891</v>
      </c>
    </row>
    <row r="439" spans="1:10" x14ac:dyDescent="0.25">
      <c r="A439" s="1434" t="s">
        <v>924</v>
      </c>
      <c r="B439" s="1433" t="s">
        <v>866</v>
      </c>
      <c r="C439" s="1467" t="s">
        <v>836</v>
      </c>
      <c r="D439" s="1404" t="s">
        <v>983</v>
      </c>
      <c r="E439" s="1405">
        <v>438</v>
      </c>
      <c r="F439" s="1418">
        <v>4.2</v>
      </c>
      <c r="G439" s="1417" t="s">
        <v>935</v>
      </c>
      <c r="H439" s="1470" t="s">
        <v>835</v>
      </c>
      <c r="I439" s="728" t="s">
        <v>984</v>
      </c>
      <c r="J439" s="1411" t="s">
        <v>909</v>
      </c>
    </row>
    <row r="440" spans="1:10" x14ac:dyDescent="0.25">
      <c r="A440" s="1434" t="s">
        <v>925</v>
      </c>
      <c r="B440" s="1433" t="s">
        <v>846</v>
      </c>
      <c r="C440" s="1467" t="s">
        <v>836</v>
      </c>
      <c r="D440" s="1404" t="s">
        <v>983</v>
      </c>
      <c r="E440" s="1405">
        <v>439</v>
      </c>
      <c r="F440" s="1418">
        <v>4.3</v>
      </c>
      <c r="G440" s="1410" t="s">
        <v>894</v>
      </c>
      <c r="H440" s="1470" t="s">
        <v>835</v>
      </c>
      <c r="I440" s="728" t="s">
        <v>984</v>
      </c>
      <c r="J440" s="1411" t="s">
        <v>895</v>
      </c>
    </row>
    <row r="441" spans="1:10" x14ac:dyDescent="0.25">
      <c r="A441" s="1434" t="s">
        <v>926</v>
      </c>
      <c r="B441" s="1433" t="s">
        <v>846</v>
      </c>
      <c r="C441" s="1467" t="s">
        <v>836</v>
      </c>
      <c r="D441" s="1404" t="s">
        <v>983</v>
      </c>
      <c r="E441" s="1405">
        <v>440</v>
      </c>
      <c r="F441" s="1418">
        <v>4.4000000000000004</v>
      </c>
      <c r="G441" s="1410" t="s">
        <v>898</v>
      </c>
      <c r="H441" s="1470" t="s">
        <v>835</v>
      </c>
      <c r="I441" s="728" t="s">
        <v>984</v>
      </c>
      <c r="J441" s="1411" t="s">
        <v>899</v>
      </c>
    </row>
    <row r="442" spans="1:10" x14ac:dyDescent="0.25">
      <c r="A442" s="1437" t="s">
        <v>927</v>
      </c>
      <c r="B442" s="1438" t="s">
        <v>928</v>
      </c>
      <c r="C442" s="1467" t="s">
        <v>836</v>
      </c>
      <c r="D442" s="1404" t="s">
        <v>983</v>
      </c>
      <c r="E442" s="1405">
        <v>441</v>
      </c>
      <c r="F442" s="1406" t="s">
        <v>741</v>
      </c>
      <c r="G442" s="1417" t="s">
        <v>548</v>
      </c>
      <c r="H442" s="1470" t="s">
        <v>835</v>
      </c>
      <c r="I442" s="728" t="s">
        <v>984</v>
      </c>
      <c r="J442" s="1411" t="s">
        <v>548</v>
      </c>
    </row>
    <row r="443" spans="1:10" x14ac:dyDescent="0.25">
      <c r="A443" s="1430" t="s">
        <v>929</v>
      </c>
      <c r="B443" s="1431" t="s">
        <v>834</v>
      </c>
      <c r="C443" s="1467" t="s">
        <v>836</v>
      </c>
      <c r="D443" s="1404" t="s">
        <v>983</v>
      </c>
      <c r="E443" s="1405">
        <v>442</v>
      </c>
      <c r="F443" s="1406" t="s">
        <v>743</v>
      </c>
      <c r="G443" s="1417" t="s">
        <v>834</v>
      </c>
      <c r="H443" s="1470" t="s">
        <v>835</v>
      </c>
      <c r="I443" s="728" t="s">
        <v>984</v>
      </c>
      <c r="J443" s="1411" t="s">
        <v>837</v>
      </c>
    </row>
    <row r="444" spans="1:10" x14ac:dyDescent="0.25">
      <c r="A444" s="1434" t="s">
        <v>932</v>
      </c>
      <c r="B444" s="1435" t="s">
        <v>933</v>
      </c>
      <c r="C444" s="1467" t="s">
        <v>836</v>
      </c>
      <c r="D444" s="1404" t="s">
        <v>983</v>
      </c>
      <c r="E444" s="1405">
        <v>443</v>
      </c>
      <c r="F444" s="1406" t="s">
        <v>745</v>
      </c>
      <c r="G444" s="1436" t="s">
        <v>548</v>
      </c>
      <c r="H444" s="1470" t="s">
        <v>835</v>
      </c>
      <c r="I444" s="728" t="s">
        <v>984</v>
      </c>
      <c r="J444" s="1411" t="s">
        <v>548</v>
      </c>
    </row>
    <row r="445" spans="1:10" x14ac:dyDescent="0.25">
      <c r="A445" s="1434" t="s">
        <v>934</v>
      </c>
      <c r="B445" s="1433" t="s">
        <v>935</v>
      </c>
      <c r="C445" s="1467" t="s">
        <v>836</v>
      </c>
      <c r="D445" s="1404" t="s">
        <v>983</v>
      </c>
      <c r="E445" s="1405">
        <v>444</v>
      </c>
      <c r="F445" s="1406" t="s">
        <v>747</v>
      </c>
      <c r="G445" s="1417" t="s">
        <v>846</v>
      </c>
      <c r="H445" s="1470" t="s">
        <v>835</v>
      </c>
      <c r="I445" s="728" t="s">
        <v>984</v>
      </c>
      <c r="J445" s="1411" t="s">
        <v>854</v>
      </c>
    </row>
    <row r="446" spans="1:10" x14ac:dyDescent="0.25">
      <c r="A446" s="1434" t="s">
        <v>937</v>
      </c>
      <c r="B446" s="1433" t="s">
        <v>834</v>
      </c>
      <c r="C446" s="1467" t="s">
        <v>836</v>
      </c>
      <c r="D446" s="1404" t="s">
        <v>983</v>
      </c>
      <c r="E446" s="1405">
        <v>445</v>
      </c>
      <c r="F446" s="1418">
        <v>5.3</v>
      </c>
      <c r="G446" s="1410" t="s">
        <v>908</v>
      </c>
      <c r="H446" s="1470" t="s">
        <v>835</v>
      </c>
      <c r="I446" s="728" t="s">
        <v>984</v>
      </c>
      <c r="J446" s="1411" t="s">
        <v>909</v>
      </c>
    </row>
    <row r="447" spans="1:10" x14ac:dyDescent="0.25">
      <c r="A447" s="1432" t="s">
        <v>938</v>
      </c>
      <c r="B447" s="1433" t="s">
        <v>548</v>
      </c>
      <c r="C447" s="1467" t="s">
        <v>836</v>
      </c>
      <c r="D447" s="1404" t="s">
        <v>983</v>
      </c>
      <c r="E447" s="1405">
        <v>446</v>
      </c>
      <c r="F447" s="1418">
        <v>5.4</v>
      </c>
      <c r="G447" s="1417" t="s">
        <v>912</v>
      </c>
      <c r="H447" s="1470" t="s">
        <v>835</v>
      </c>
      <c r="I447" s="728" t="s">
        <v>984</v>
      </c>
      <c r="J447" s="1411" t="s">
        <v>873</v>
      </c>
    </row>
    <row r="448" spans="1:10" x14ac:dyDescent="0.25">
      <c r="A448" s="1434" t="s">
        <v>939</v>
      </c>
      <c r="B448" s="1433" t="s">
        <v>548</v>
      </c>
      <c r="C448" s="1467" t="s">
        <v>836</v>
      </c>
      <c r="D448" s="1404" t="s">
        <v>983</v>
      </c>
      <c r="E448" s="1405">
        <v>447</v>
      </c>
      <c r="F448" s="1418">
        <v>5.5</v>
      </c>
      <c r="G448" s="1410" t="s">
        <v>850</v>
      </c>
      <c r="H448" s="1470" t="s">
        <v>835</v>
      </c>
      <c r="I448" s="728" t="s">
        <v>984</v>
      </c>
      <c r="J448" s="1411" t="s">
        <v>865</v>
      </c>
    </row>
    <row r="449" spans="1:10" x14ac:dyDescent="0.25">
      <c r="A449" s="1432" t="s">
        <v>941</v>
      </c>
      <c r="B449" s="1433" t="s">
        <v>850</v>
      </c>
      <c r="C449" s="1467" t="s">
        <v>836</v>
      </c>
      <c r="D449" s="1404" t="s">
        <v>983</v>
      </c>
      <c r="E449" s="1405">
        <v>448</v>
      </c>
      <c r="F449" s="1418">
        <v>5.6</v>
      </c>
      <c r="G449" s="1410" t="s">
        <v>834</v>
      </c>
      <c r="H449" s="1470" t="s">
        <v>835</v>
      </c>
      <c r="I449" s="728" t="s">
        <v>984</v>
      </c>
      <c r="J449" s="1411" t="s">
        <v>837</v>
      </c>
    </row>
    <row r="450" spans="1:10" x14ac:dyDescent="0.25">
      <c r="A450" s="1434">
        <v>7.5</v>
      </c>
      <c r="B450" s="1433" t="s">
        <v>834</v>
      </c>
      <c r="C450" s="1467" t="s">
        <v>836</v>
      </c>
      <c r="D450" s="1404" t="s">
        <v>983</v>
      </c>
      <c r="E450" s="1405">
        <v>449</v>
      </c>
      <c r="F450" s="1406" t="s">
        <v>753</v>
      </c>
      <c r="G450" s="1417" t="s">
        <v>548</v>
      </c>
      <c r="H450" s="1470" t="s">
        <v>835</v>
      </c>
      <c r="I450" s="728" t="s">
        <v>984</v>
      </c>
      <c r="J450" s="1411" t="s">
        <v>548</v>
      </c>
    </row>
    <row r="451" spans="1:10" x14ac:dyDescent="0.25">
      <c r="A451" s="1434">
        <v>7.6</v>
      </c>
      <c r="B451" s="1433" t="s">
        <v>834</v>
      </c>
      <c r="C451" s="1467" t="s">
        <v>836</v>
      </c>
      <c r="D451" s="1404" t="s">
        <v>983</v>
      </c>
      <c r="E451" s="1405">
        <v>450</v>
      </c>
      <c r="F451" s="1406" t="s">
        <v>755</v>
      </c>
      <c r="G451" s="1417" t="s">
        <v>843</v>
      </c>
      <c r="H451" s="1470" t="s">
        <v>835</v>
      </c>
      <c r="I451" s="728" t="s">
        <v>984</v>
      </c>
      <c r="J451" s="1411" t="s">
        <v>863</v>
      </c>
    </row>
    <row r="452" spans="1:10" x14ac:dyDescent="0.25">
      <c r="A452" s="1434">
        <v>7.7</v>
      </c>
      <c r="B452" s="1433" t="s">
        <v>834</v>
      </c>
      <c r="C452" s="1467" t="s">
        <v>836</v>
      </c>
      <c r="D452" s="1404" t="s">
        <v>983</v>
      </c>
      <c r="E452" s="1405">
        <v>451</v>
      </c>
      <c r="F452" s="1406" t="s">
        <v>757</v>
      </c>
      <c r="G452" s="1417" t="s">
        <v>970</v>
      </c>
      <c r="H452" s="1470" t="s">
        <v>835</v>
      </c>
      <c r="I452" s="728" t="s">
        <v>984</v>
      </c>
      <c r="J452" s="1455" t="s">
        <v>971</v>
      </c>
    </row>
    <row r="453" spans="1:10" x14ac:dyDescent="0.25">
      <c r="A453" s="1434">
        <v>7.8</v>
      </c>
      <c r="B453" s="1433" t="s">
        <v>834</v>
      </c>
      <c r="C453" s="1467" t="s">
        <v>836</v>
      </c>
      <c r="D453" s="1404" t="s">
        <v>983</v>
      </c>
      <c r="E453" s="1405">
        <v>452</v>
      </c>
      <c r="F453" s="1288" t="s">
        <v>759</v>
      </c>
      <c r="G453" s="1410" t="s">
        <v>911</v>
      </c>
      <c r="H453" s="1470" t="s">
        <v>835</v>
      </c>
      <c r="I453" s="728" t="s">
        <v>984</v>
      </c>
      <c r="J453" s="1411" t="s">
        <v>917</v>
      </c>
    </row>
    <row r="454" spans="1:10" x14ac:dyDescent="0.25">
      <c r="A454" s="1440" t="s">
        <v>944</v>
      </c>
      <c r="B454" s="1433" t="s">
        <v>548</v>
      </c>
      <c r="C454" s="1467" t="s">
        <v>836</v>
      </c>
      <c r="D454" s="1404" t="s">
        <v>983</v>
      </c>
      <c r="E454" s="1405">
        <v>453</v>
      </c>
      <c r="F454" s="1406" t="s">
        <v>761</v>
      </c>
      <c r="G454" s="1417" t="s">
        <v>972</v>
      </c>
      <c r="H454" s="1470" t="s">
        <v>835</v>
      </c>
      <c r="I454" s="728" t="s">
        <v>984</v>
      </c>
      <c r="J454" s="1439" t="s">
        <v>973</v>
      </c>
    </row>
    <row r="455" spans="1:10" x14ac:dyDescent="0.25">
      <c r="A455" s="1434" t="s">
        <v>945</v>
      </c>
      <c r="B455" s="1433" t="s">
        <v>834</v>
      </c>
      <c r="C455" s="1467" t="s">
        <v>836</v>
      </c>
      <c r="D455" s="1404" t="s">
        <v>983</v>
      </c>
      <c r="E455" s="1405">
        <v>454</v>
      </c>
      <c r="F455" s="1428">
        <v>5.9</v>
      </c>
      <c r="G455" s="1417" t="s">
        <v>834</v>
      </c>
      <c r="H455" s="1470" t="s">
        <v>835</v>
      </c>
      <c r="I455" s="728" t="s">
        <v>984</v>
      </c>
      <c r="J455" s="1411" t="s">
        <v>837</v>
      </c>
    </row>
    <row r="456" spans="1:10" x14ac:dyDescent="0.25">
      <c r="A456" s="1434" t="s">
        <v>946</v>
      </c>
      <c r="B456" s="1433" t="s">
        <v>834</v>
      </c>
      <c r="C456" s="1467" t="s">
        <v>836</v>
      </c>
      <c r="D456" s="1404" t="s">
        <v>983</v>
      </c>
      <c r="E456" s="1405">
        <v>455</v>
      </c>
      <c r="F456" s="1422" t="s">
        <v>764</v>
      </c>
      <c r="G456" s="1417" t="s">
        <v>985</v>
      </c>
      <c r="H456" s="1470" t="s">
        <v>835</v>
      </c>
      <c r="I456" s="728" t="s">
        <v>984</v>
      </c>
      <c r="J456" s="1411" t="s">
        <v>975</v>
      </c>
    </row>
    <row r="457" spans="1:10" x14ac:dyDescent="0.25">
      <c r="A457" s="1434" t="s">
        <v>796</v>
      </c>
      <c r="B457" s="1433" t="s">
        <v>834</v>
      </c>
      <c r="C457" s="1467" t="s">
        <v>836</v>
      </c>
      <c r="D457" s="1404" t="s">
        <v>983</v>
      </c>
      <c r="E457" s="1405">
        <v>456</v>
      </c>
      <c r="F457" s="1418">
        <v>5.1100000000000003</v>
      </c>
      <c r="G457" s="1417" t="s">
        <v>967</v>
      </c>
      <c r="H457" s="1470" t="s">
        <v>835</v>
      </c>
      <c r="I457" s="728" t="s">
        <v>984</v>
      </c>
      <c r="J457" s="1411" t="s">
        <v>977</v>
      </c>
    </row>
    <row r="458" spans="1:10" x14ac:dyDescent="0.25">
      <c r="A458" s="1434">
        <v>7.11</v>
      </c>
      <c r="B458" s="1433" t="s">
        <v>834</v>
      </c>
      <c r="C458" s="1467" t="s">
        <v>836</v>
      </c>
      <c r="D458" s="1404" t="s">
        <v>983</v>
      </c>
      <c r="E458" s="1405">
        <v>457</v>
      </c>
      <c r="F458" s="1418">
        <v>5.12</v>
      </c>
      <c r="G458" s="1417" t="s">
        <v>858</v>
      </c>
      <c r="H458" s="1470" t="s">
        <v>835</v>
      </c>
      <c r="I458" s="728" t="s">
        <v>984</v>
      </c>
      <c r="J458" s="1411">
        <v>10</v>
      </c>
    </row>
    <row r="459" spans="1:10" x14ac:dyDescent="0.25">
      <c r="A459" s="1434">
        <v>7.12</v>
      </c>
      <c r="B459" s="1433" t="s">
        <v>834</v>
      </c>
      <c r="C459" s="1467" t="s">
        <v>836</v>
      </c>
      <c r="D459" s="1404" t="s">
        <v>983</v>
      </c>
      <c r="E459" s="1405">
        <v>458</v>
      </c>
      <c r="F459" s="1418">
        <v>5.13</v>
      </c>
      <c r="G459" s="1417" t="s">
        <v>986</v>
      </c>
      <c r="H459" s="1470" t="s">
        <v>835</v>
      </c>
      <c r="I459" s="728" t="s">
        <v>984</v>
      </c>
      <c r="J459" s="1411" t="s">
        <v>979</v>
      </c>
    </row>
    <row r="460" spans="1:10" x14ac:dyDescent="0.25">
      <c r="A460" s="1434">
        <v>7.13</v>
      </c>
      <c r="B460" s="1433" t="s">
        <v>947</v>
      </c>
      <c r="C460" s="1467" t="s">
        <v>836</v>
      </c>
      <c r="D460" s="1404" t="s">
        <v>983</v>
      </c>
      <c r="E460" s="1405">
        <v>459</v>
      </c>
      <c r="F460" s="1418">
        <v>6.1</v>
      </c>
      <c r="G460" s="1417" t="s">
        <v>834</v>
      </c>
      <c r="H460" s="1470" t="s">
        <v>835</v>
      </c>
      <c r="I460" s="728" t="s">
        <v>984</v>
      </c>
      <c r="J460" s="1411" t="s">
        <v>837</v>
      </c>
    </row>
    <row r="461" spans="1:10" x14ac:dyDescent="0.25">
      <c r="A461" s="1434">
        <v>7.14</v>
      </c>
      <c r="B461" s="1433" t="s">
        <v>834</v>
      </c>
      <c r="C461" s="1467" t="s">
        <v>836</v>
      </c>
      <c r="D461" s="1404" t="s">
        <v>983</v>
      </c>
      <c r="E461" s="1405">
        <v>460</v>
      </c>
      <c r="F461" s="1418">
        <v>6.2</v>
      </c>
      <c r="G461" s="1417" t="s">
        <v>834</v>
      </c>
      <c r="H461" s="1470" t="s">
        <v>835</v>
      </c>
      <c r="I461" s="728" t="s">
        <v>984</v>
      </c>
      <c r="J461" s="1411" t="s">
        <v>837</v>
      </c>
    </row>
    <row r="462" spans="1:10" x14ac:dyDescent="0.25">
      <c r="A462" s="1434">
        <v>7.15</v>
      </c>
      <c r="B462" s="1433" t="s">
        <v>834</v>
      </c>
      <c r="C462" s="1467" t="s">
        <v>836</v>
      </c>
      <c r="D462" s="1404" t="s">
        <v>983</v>
      </c>
      <c r="E462" s="1405">
        <v>461</v>
      </c>
      <c r="F462" s="1418">
        <v>6.3</v>
      </c>
      <c r="G462" s="1417" t="s">
        <v>878</v>
      </c>
      <c r="H462" s="1470" t="s">
        <v>835</v>
      </c>
      <c r="I462" s="728" t="s">
        <v>984</v>
      </c>
      <c r="J462" s="1439" t="s">
        <v>879</v>
      </c>
    </row>
    <row r="463" spans="1:10" x14ac:dyDescent="0.25">
      <c r="A463" s="1434">
        <v>7.16</v>
      </c>
      <c r="B463" s="1433" t="s">
        <v>834</v>
      </c>
      <c r="C463" s="1467" t="s">
        <v>836</v>
      </c>
      <c r="D463" s="1404" t="s">
        <v>983</v>
      </c>
      <c r="E463" s="1405">
        <v>462</v>
      </c>
      <c r="F463" s="1418">
        <v>6.4</v>
      </c>
      <c r="G463" s="1417" t="s">
        <v>930</v>
      </c>
      <c r="H463" s="1470" t="s">
        <v>835</v>
      </c>
      <c r="I463" s="728" t="s">
        <v>984</v>
      </c>
      <c r="J463" s="1411" t="s">
        <v>931</v>
      </c>
    </row>
    <row r="464" spans="1:10" x14ac:dyDescent="0.25">
      <c r="A464" s="1437">
        <v>7.17</v>
      </c>
      <c r="B464" s="1438" t="s">
        <v>898</v>
      </c>
      <c r="C464" s="1467" t="s">
        <v>836</v>
      </c>
      <c r="D464" s="1404" t="s">
        <v>983</v>
      </c>
      <c r="E464" s="1405">
        <v>463</v>
      </c>
      <c r="F464" s="1406" t="s">
        <v>774</v>
      </c>
      <c r="G464" s="1410" t="s">
        <v>843</v>
      </c>
      <c r="H464" s="1470" t="s">
        <v>835</v>
      </c>
      <c r="I464" s="728" t="s">
        <v>984</v>
      </c>
      <c r="J464" s="1411" t="s">
        <v>863</v>
      </c>
    </row>
    <row r="465" spans="1:10" x14ac:dyDescent="0.25">
      <c r="A465" s="1430" t="s">
        <v>950</v>
      </c>
      <c r="B465" s="1431" t="s">
        <v>834</v>
      </c>
      <c r="C465" s="1467" t="s">
        <v>836</v>
      </c>
      <c r="D465" s="1404" t="s">
        <v>983</v>
      </c>
      <c r="E465" s="1405">
        <v>464</v>
      </c>
      <c r="F465" s="1406" t="s">
        <v>776</v>
      </c>
      <c r="G465" s="1410" t="s">
        <v>936</v>
      </c>
      <c r="H465" s="1470" t="s">
        <v>835</v>
      </c>
      <c r="I465" s="728" t="s">
        <v>984</v>
      </c>
      <c r="J465" s="1411" t="s">
        <v>863</v>
      </c>
    </row>
    <row r="466" spans="1:10" x14ac:dyDescent="0.25">
      <c r="A466" s="1434" t="s">
        <v>951</v>
      </c>
      <c r="B466" s="1433" t="s">
        <v>834</v>
      </c>
      <c r="C466" s="1467" t="s">
        <v>836</v>
      </c>
      <c r="D466" s="1404" t="s">
        <v>983</v>
      </c>
      <c r="E466" s="1405">
        <v>465</v>
      </c>
      <c r="F466" s="1418">
        <v>6.6</v>
      </c>
      <c r="G466" s="1417" t="s">
        <v>841</v>
      </c>
      <c r="H466" s="1470" t="s">
        <v>835</v>
      </c>
      <c r="I466" s="728" t="s">
        <v>984</v>
      </c>
      <c r="J466" s="1439" t="s">
        <v>842</v>
      </c>
    </row>
    <row r="467" spans="1:10" x14ac:dyDescent="0.25">
      <c r="A467" s="1434" t="s">
        <v>952</v>
      </c>
      <c r="B467" s="1433" t="s">
        <v>834</v>
      </c>
      <c r="C467" s="1467" t="s">
        <v>836</v>
      </c>
      <c r="D467" s="1404" t="s">
        <v>983</v>
      </c>
      <c r="E467" s="1405">
        <v>466</v>
      </c>
      <c r="F467" s="1418">
        <v>7.1</v>
      </c>
      <c r="G467" s="1417" t="s">
        <v>834</v>
      </c>
      <c r="H467" s="1470" t="s">
        <v>835</v>
      </c>
      <c r="I467" s="728" t="s">
        <v>984</v>
      </c>
      <c r="J467" s="1411" t="s">
        <v>837</v>
      </c>
    </row>
    <row r="468" spans="1:10" x14ac:dyDescent="0.25">
      <c r="A468" s="1434" t="s">
        <v>953</v>
      </c>
      <c r="B468" s="1433" t="s">
        <v>898</v>
      </c>
      <c r="C468" s="1467" t="s">
        <v>836</v>
      </c>
      <c r="D468" s="1404" t="s">
        <v>983</v>
      </c>
      <c r="E468" s="1405">
        <v>467</v>
      </c>
      <c r="F468" s="1406" t="s">
        <v>782</v>
      </c>
      <c r="G468" s="1410" t="s">
        <v>940</v>
      </c>
      <c r="H468" s="1470" t="s">
        <v>835</v>
      </c>
      <c r="I468" s="728" t="s">
        <v>984</v>
      </c>
      <c r="J468" s="1411" t="s">
        <v>873</v>
      </c>
    </row>
    <row r="469" spans="1:10" x14ac:dyDescent="0.25">
      <c r="A469" s="1437" t="s">
        <v>954</v>
      </c>
      <c r="B469" s="1438" t="s">
        <v>843</v>
      </c>
      <c r="C469" s="1467" t="s">
        <v>836</v>
      </c>
      <c r="D469" s="1404" t="s">
        <v>983</v>
      </c>
      <c r="E469" s="1405">
        <v>468</v>
      </c>
      <c r="F469" s="1406" t="s">
        <v>784</v>
      </c>
      <c r="G469" s="1410" t="s">
        <v>942</v>
      </c>
      <c r="H469" s="1470" t="s">
        <v>835</v>
      </c>
      <c r="I469" s="728" t="s">
        <v>984</v>
      </c>
      <c r="J469" s="1411" t="s">
        <v>943</v>
      </c>
    </row>
    <row r="470" spans="1:10" x14ac:dyDescent="0.25">
      <c r="A470" s="1105"/>
      <c r="B470" s="1105"/>
      <c r="E470" s="1405">
        <v>469</v>
      </c>
      <c r="F470" s="1406" t="s">
        <v>785</v>
      </c>
      <c r="G470" s="1417" t="s">
        <v>548</v>
      </c>
      <c r="H470" s="1470" t="s">
        <v>835</v>
      </c>
      <c r="I470" s="728" t="s">
        <v>984</v>
      </c>
      <c r="J470" s="1411" t="s">
        <v>548</v>
      </c>
    </row>
    <row r="471" spans="1:10" x14ac:dyDescent="0.25">
      <c r="A471" s="1105"/>
      <c r="B471" s="1105"/>
      <c r="E471" s="1405">
        <v>470</v>
      </c>
      <c r="F471" s="1406" t="s">
        <v>787</v>
      </c>
      <c r="G471" s="1417" t="s">
        <v>850</v>
      </c>
      <c r="H471" s="1470" t="s">
        <v>835</v>
      </c>
      <c r="I471" s="728" t="s">
        <v>984</v>
      </c>
      <c r="J471" s="1411" t="s">
        <v>865</v>
      </c>
    </row>
    <row r="472" spans="1:10" x14ac:dyDescent="0.25">
      <c r="E472" s="1405">
        <v>471</v>
      </c>
      <c r="F472" s="1406" t="s">
        <v>788</v>
      </c>
      <c r="G472" s="1417" t="s">
        <v>548</v>
      </c>
      <c r="H472" s="1470" t="s">
        <v>835</v>
      </c>
      <c r="I472" s="728" t="s">
        <v>984</v>
      </c>
      <c r="J472" s="1411" t="s">
        <v>548</v>
      </c>
    </row>
    <row r="473" spans="1:10" x14ac:dyDescent="0.25">
      <c r="E473" s="1405">
        <v>472</v>
      </c>
      <c r="F473" s="1406" t="s">
        <v>790</v>
      </c>
      <c r="G473" s="1417" t="s">
        <v>850</v>
      </c>
      <c r="H473" s="1470" t="s">
        <v>835</v>
      </c>
      <c r="I473" s="728" t="s">
        <v>984</v>
      </c>
      <c r="J473" s="1411" t="s">
        <v>865</v>
      </c>
    </row>
    <row r="474" spans="1:10" x14ac:dyDescent="0.25">
      <c r="A474" s="1105"/>
      <c r="B474" s="1105"/>
      <c r="E474" s="1405">
        <v>473</v>
      </c>
      <c r="F474" s="1418">
        <v>7.5</v>
      </c>
      <c r="G474" s="1417" t="s">
        <v>834</v>
      </c>
      <c r="H474" s="1470" t="s">
        <v>835</v>
      </c>
      <c r="I474" s="728" t="s">
        <v>984</v>
      </c>
      <c r="J474" s="1411" t="s">
        <v>837</v>
      </c>
    </row>
    <row r="475" spans="1:10" x14ac:dyDescent="0.25">
      <c r="A475" s="1105"/>
      <c r="B475" s="1105"/>
      <c r="E475" s="1405">
        <v>474</v>
      </c>
      <c r="F475" s="1418">
        <v>7.6</v>
      </c>
      <c r="G475" s="1417" t="s">
        <v>834</v>
      </c>
      <c r="H475" s="1470" t="s">
        <v>835</v>
      </c>
      <c r="I475" s="728" t="s">
        <v>984</v>
      </c>
      <c r="J475" s="1411" t="s">
        <v>837</v>
      </c>
    </row>
    <row r="476" spans="1:10" x14ac:dyDescent="0.25">
      <c r="A476" s="1105"/>
      <c r="B476" s="1105"/>
      <c r="E476" s="1405">
        <v>475</v>
      </c>
      <c r="F476" s="1418">
        <v>7.7</v>
      </c>
      <c r="G476" s="1417" t="s">
        <v>834</v>
      </c>
      <c r="H476" s="1470" t="s">
        <v>835</v>
      </c>
      <c r="I476" s="728" t="s">
        <v>984</v>
      </c>
      <c r="J476" s="1411" t="s">
        <v>837</v>
      </c>
    </row>
    <row r="477" spans="1:10" x14ac:dyDescent="0.25">
      <c r="A477" s="1105"/>
      <c r="B477" s="1105"/>
      <c r="E477" s="1405">
        <v>476</v>
      </c>
      <c r="F477" s="1418">
        <v>7.8</v>
      </c>
      <c r="G477" s="1417" t="s">
        <v>834</v>
      </c>
      <c r="H477" s="1470" t="s">
        <v>835</v>
      </c>
      <c r="I477" s="728" t="s">
        <v>984</v>
      </c>
      <c r="J477" s="1411" t="s">
        <v>837</v>
      </c>
    </row>
    <row r="478" spans="1:10" x14ac:dyDescent="0.25">
      <c r="A478" s="1105"/>
      <c r="B478" s="1105"/>
      <c r="E478" s="1405">
        <v>477</v>
      </c>
      <c r="F478" s="1418">
        <v>7.9</v>
      </c>
      <c r="G478" s="1417" t="s">
        <v>834</v>
      </c>
      <c r="H478" s="1470" t="s">
        <v>835</v>
      </c>
      <c r="I478" s="728" t="s">
        <v>984</v>
      </c>
      <c r="J478" s="1411" t="s">
        <v>837</v>
      </c>
    </row>
    <row r="479" spans="1:10" x14ac:dyDescent="0.25">
      <c r="A479" s="1105"/>
      <c r="B479" s="1105"/>
      <c r="C479" s="1105"/>
      <c r="E479" s="1405">
        <v>478</v>
      </c>
      <c r="F479" s="1422" t="s">
        <v>796</v>
      </c>
      <c r="G479" s="1417" t="s">
        <v>980</v>
      </c>
      <c r="H479" s="1470" t="s">
        <v>835</v>
      </c>
      <c r="I479" s="728" t="s">
        <v>984</v>
      </c>
      <c r="J479" s="1411" t="s">
        <v>873</v>
      </c>
    </row>
    <row r="480" spans="1:10" x14ac:dyDescent="0.25">
      <c r="A480" s="1105"/>
      <c r="B480" s="1105"/>
      <c r="C480" s="1105"/>
      <c r="E480" s="1405">
        <v>479</v>
      </c>
      <c r="F480" s="1418">
        <v>7.11</v>
      </c>
      <c r="G480" s="1417" t="s">
        <v>834</v>
      </c>
      <c r="H480" s="1470" t="s">
        <v>835</v>
      </c>
      <c r="I480" s="728" t="s">
        <v>984</v>
      </c>
      <c r="J480" s="1411" t="s">
        <v>837</v>
      </c>
    </row>
    <row r="481" spans="1:10" x14ac:dyDescent="0.25">
      <c r="A481" s="1105"/>
      <c r="B481" s="1105"/>
      <c r="C481" s="1105"/>
      <c r="E481" s="1405">
        <v>480</v>
      </c>
      <c r="F481" s="1418">
        <v>7.12</v>
      </c>
      <c r="G481" s="1417" t="s">
        <v>834</v>
      </c>
      <c r="H481" s="1470" t="s">
        <v>835</v>
      </c>
      <c r="I481" s="728" t="s">
        <v>984</v>
      </c>
      <c r="J481" s="1411" t="s">
        <v>837</v>
      </c>
    </row>
    <row r="482" spans="1:10" x14ac:dyDescent="0.25">
      <c r="A482" s="1105"/>
      <c r="B482" s="1105"/>
      <c r="E482" s="1405">
        <v>481</v>
      </c>
      <c r="F482" s="1406" t="s">
        <v>800</v>
      </c>
      <c r="G482" s="1417" t="s">
        <v>548</v>
      </c>
      <c r="H482" s="1470" t="s">
        <v>835</v>
      </c>
      <c r="I482" s="728" t="s">
        <v>984</v>
      </c>
      <c r="J482" s="1411" t="s">
        <v>548</v>
      </c>
    </row>
    <row r="483" spans="1:10" x14ac:dyDescent="0.25">
      <c r="A483" s="1105"/>
      <c r="B483" s="1105"/>
      <c r="E483" s="1405">
        <v>482</v>
      </c>
      <c r="F483" s="1406" t="s">
        <v>802</v>
      </c>
      <c r="G483" s="1417" t="s">
        <v>981</v>
      </c>
      <c r="H483" s="1470" t="s">
        <v>835</v>
      </c>
      <c r="I483" s="728" t="s">
        <v>984</v>
      </c>
      <c r="J483" s="1411" t="s">
        <v>548</v>
      </c>
    </row>
    <row r="484" spans="1:10" x14ac:dyDescent="0.25">
      <c r="A484" s="1105"/>
      <c r="B484" s="1105"/>
      <c r="C484" s="1105"/>
      <c r="E484" s="1405">
        <v>483</v>
      </c>
      <c r="F484" s="1418">
        <v>7.14</v>
      </c>
      <c r="G484" s="1417" t="s">
        <v>834</v>
      </c>
      <c r="H484" s="1470" t="s">
        <v>835</v>
      </c>
      <c r="I484" s="728" t="s">
        <v>984</v>
      </c>
      <c r="J484" s="1411" t="s">
        <v>837</v>
      </c>
    </row>
    <row r="485" spans="1:10" x14ac:dyDescent="0.25">
      <c r="A485" s="1105"/>
      <c r="B485" s="1105"/>
      <c r="C485" s="1105"/>
      <c r="E485" s="1405">
        <v>484</v>
      </c>
      <c r="F485" s="1418">
        <v>7.15</v>
      </c>
      <c r="G485" s="1417" t="s">
        <v>834</v>
      </c>
      <c r="H485" s="1470" t="s">
        <v>835</v>
      </c>
      <c r="I485" s="728" t="s">
        <v>984</v>
      </c>
      <c r="J485" s="1411" t="s">
        <v>837</v>
      </c>
    </row>
    <row r="486" spans="1:10" x14ac:dyDescent="0.25">
      <c r="A486" s="1105"/>
      <c r="B486" s="1105"/>
      <c r="E486" s="1405">
        <v>485</v>
      </c>
      <c r="F486" s="1418">
        <v>7.16</v>
      </c>
      <c r="G486" s="1417" t="s">
        <v>834</v>
      </c>
      <c r="H486" s="1470" t="s">
        <v>835</v>
      </c>
      <c r="I486" s="728" t="s">
        <v>984</v>
      </c>
      <c r="J486" s="1411" t="s">
        <v>837</v>
      </c>
    </row>
    <row r="487" spans="1:10" x14ac:dyDescent="0.25">
      <c r="A487" s="1105"/>
      <c r="B487" s="1105"/>
      <c r="E487" s="1405">
        <v>486</v>
      </c>
      <c r="F487" s="1418">
        <v>7.17</v>
      </c>
      <c r="G487" s="1417" t="s">
        <v>834</v>
      </c>
      <c r="H487" s="1470" t="s">
        <v>835</v>
      </c>
      <c r="I487" s="728" t="s">
        <v>984</v>
      </c>
      <c r="J487" s="1411" t="s">
        <v>837</v>
      </c>
    </row>
    <row r="488" spans="1:10" x14ac:dyDescent="0.25">
      <c r="E488" s="1405">
        <v>487</v>
      </c>
      <c r="F488" s="1406" t="s">
        <v>809</v>
      </c>
      <c r="G488" s="1417" t="s">
        <v>834</v>
      </c>
      <c r="H488" s="1470" t="s">
        <v>835</v>
      </c>
      <c r="I488" s="728" t="s">
        <v>984</v>
      </c>
      <c r="J488" s="1411" t="s">
        <v>837</v>
      </c>
    </row>
    <row r="489" spans="1:10" x14ac:dyDescent="0.25">
      <c r="E489" s="1405">
        <v>488</v>
      </c>
      <c r="F489" s="1406" t="s">
        <v>811</v>
      </c>
      <c r="G489" s="1410" t="s">
        <v>898</v>
      </c>
      <c r="H489" s="1470" t="s">
        <v>835</v>
      </c>
      <c r="I489" s="728" t="s">
        <v>984</v>
      </c>
      <c r="J489" s="1411" t="s">
        <v>899</v>
      </c>
    </row>
    <row r="490" spans="1:10" x14ac:dyDescent="0.25">
      <c r="A490" s="1105"/>
      <c r="B490" s="1105"/>
      <c r="E490" s="1405">
        <v>489</v>
      </c>
      <c r="F490" s="1418">
        <v>8.1999999999999993</v>
      </c>
      <c r="G490" s="1417" t="s">
        <v>956</v>
      </c>
      <c r="H490" s="1470" t="s">
        <v>835</v>
      </c>
      <c r="I490" s="728" t="s">
        <v>984</v>
      </c>
      <c r="J490" s="1411" t="s">
        <v>957</v>
      </c>
    </row>
    <row r="491" spans="1:10" x14ac:dyDescent="0.25">
      <c r="A491" s="1105"/>
      <c r="B491" s="1105"/>
      <c r="E491" s="1405">
        <v>490</v>
      </c>
      <c r="F491" s="1418">
        <v>8.3000000000000007</v>
      </c>
      <c r="G491" s="1417" t="s">
        <v>834</v>
      </c>
      <c r="H491" s="1470" t="s">
        <v>835</v>
      </c>
      <c r="I491" s="728" t="s">
        <v>984</v>
      </c>
      <c r="J491" s="1411" t="s">
        <v>837</v>
      </c>
    </row>
    <row r="492" spans="1:10" x14ac:dyDescent="0.25">
      <c r="A492" s="1105"/>
      <c r="B492" s="1105"/>
      <c r="E492" s="1405">
        <v>491</v>
      </c>
      <c r="F492" s="1418">
        <v>8.4</v>
      </c>
      <c r="G492" s="1417" t="s">
        <v>958</v>
      </c>
      <c r="H492" s="1470" t="s">
        <v>835</v>
      </c>
      <c r="I492" s="728" t="s">
        <v>984</v>
      </c>
      <c r="J492" s="1411" t="s">
        <v>959</v>
      </c>
    </row>
    <row r="493" spans="1:10" x14ac:dyDescent="0.25">
      <c r="A493" s="1105"/>
      <c r="B493" s="1105"/>
      <c r="E493" s="1405">
        <v>492</v>
      </c>
      <c r="F493" s="1418">
        <v>8.5</v>
      </c>
      <c r="G493" s="1417" t="s">
        <v>834</v>
      </c>
      <c r="H493" s="1470" t="s">
        <v>835</v>
      </c>
      <c r="I493" s="728" t="s">
        <v>984</v>
      </c>
      <c r="J493" s="1411" t="s">
        <v>837</v>
      </c>
    </row>
  </sheetData>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RowHeight="15" x14ac:dyDescent="0.25"/>
  <cols>
    <col min="1" max="1" width="7.85546875" style="728" bestFit="1" customWidth="1"/>
    <col min="2" max="2" width="17" style="728" bestFit="1" customWidth="1"/>
    <col min="3" max="3" width="9.140625" style="728"/>
    <col min="4" max="4" width="12.5703125" style="728" bestFit="1" customWidth="1"/>
    <col min="5" max="5" width="24.85546875" style="728" bestFit="1" customWidth="1"/>
    <col min="6" max="6" width="23.85546875" style="728" bestFit="1" customWidth="1"/>
    <col min="7" max="7" width="24.85546875" style="728" bestFit="1" customWidth="1"/>
    <col min="8" max="8" width="24" style="728" bestFit="1" customWidth="1"/>
    <col min="9" max="9" width="23" style="728" bestFit="1" customWidth="1"/>
    <col min="10" max="10" width="24" style="728" bestFit="1" customWidth="1"/>
    <col min="11" max="11" width="26.28515625" style="728" bestFit="1" customWidth="1"/>
    <col min="12" max="12" width="25.140625" style="728" bestFit="1" customWidth="1"/>
    <col min="13" max="13" width="26.28515625" style="728" bestFit="1" customWidth="1"/>
    <col min="14" max="14" width="25.28515625" style="728" bestFit="1" customWidth="1"/>
    <col min="15" max="15" width="24.28515625" style="728" bestFit="1" customWidth="1"/>
    <col min="16" max="16" width="25.28515625" style="728" bestFit="1" customWidth="1"/>
    <col min="17" max="17" width="26.140625" style="728" bestFit="1" customWidth="1"/>
    <col min="18" max="18" width="25" style="728" bestFit="1" customWidth="1"/>
    <col min="19" max="19" width="26.140625" style="728" bestFit="1" customWidth="1"/>
    <col min="20" max="20" width="25.140625" style="728" bestFit="1" customWidth="1"/>
    <col min="21" max="21" width="24.140625" style="728" bestFit="1" customWidth="1"/>
    <col min="22" max="22" width="25.140625" style="728" bestFit="1" customWidth="1"/>
    <col min="23" max="23" width="24.85546875" style="728" bestFit="1" customWidth="1"/>
    <col min="24" max="24" width="23.85546875" style="728" bestFit="1" customWidth="1"/>
    <col min="25" max="25" width="24.85546875" style="728" bestFit="1" customWidth="1"/>
    <col min="26" max="26" width="24" style="728" bestFit="1" customWidth="1"/>
    <col min="27" max="27" width="23" style="728" bestFit="1" customWidth="1"/>
    <col min="28" max="28" width="24" style="728" bestFit="1" customWidth="1"/>
    <col min="29" max="29" width="26.28515625" style="728" bestFit="1" customWidth="1"/>
    <col min="30" max="30" width="25.140625" style="728" bestFit="1" customWidth="1"/>
    <col min="31" max="31" width="26.28515625" style="728" bestFit="1" customWidth="1"/>
    <col min="32" max="32" width="25.28515625" style="728" bestFit="1" customWidth="1"/>
    <col min="33" max="33" width="24.28515625" style="728" bestFit="1" customWidth="1"/>
    <col min="34" max="34" width="25.28515625" style="728" bestFit="1" customWidth="1"/>
    <col min="35" max="35" width="26.140625" style="728" bestFit="1" customWidth="1"/>
    <col min="36" max="36" width="25" style="728" bestFit="1" customWidth="1"/>
    <col min="37" max="37" width="26.140625" style="728" bestFit="1" customWidth="1"/>
    <col min="38" max="38" width="25.140625" style="728" bestFit="1" customWidth="1"/>
    <col min="39" max="39" width="24.140625" style="728" bestFit="1" customWidth="1"/>
    <col min="40" max="40" width="25.140625" style="728" bestFit="1" customWidth="1"/>
    <col min="41" max="41" width="26.28515625" style="728" bestFit="1" customWidth="1"/>
    <col min="42" max="42" width="25.140625" style="728" bestFit="1" customWidth="1"/>
    <col min="43" max="43" width="26.28515625" style="728" bestFit="1" customWidth="1"/>
    <col min="44" max="44" width="25.28515625" style="728" bestFit="1" customWidth="1"/>
    <col min="45" max="45" width="24.28515625" style="728" bestFit="1" customWidth="1"/>
    <col min="46" max="46" width="25.28515625" style="728" bestFit="1" customWidth="1"/>
    <col min="47" max="47" width="26.140625" style="728" bestFit="1" customWidth="1"/>
    <col min="48" max="48" width="25" style="728" bestFit="1" customWidth="1"/>
    <col min="49" max="49" width="26.140625" style="728" bestFit="1" customWidth="1"/>
    <col min="50" max="50" width="25.140625" style="728" bestFit="1" customWidth="1"/>
    <col min="51" max="51" width="24.140625" style="728" bestFit="1" customWidth="1"/>
    <col min="52" max="52" width="25.140625" style="728" bestFit="1" customWidth="1"/>
    <col min="53" max="53" width="26.28515625" style="728" bestFit="1" customWidth="1"/>
    <col min="54" max="54" width="25.140625" style="728" bestFit="1" customWidth="1"/>
    <col min="55" max="55" width="26.28515625" style="728" bestFit="1" customWidth="1"/>
    <col min="56" max="56" width="25.28515625" style="728" bestFit="1" customWidth="1"/>
    <col min="57" max="57" width="24.28515625" style="728" bestFit="1" customWidth="1"/>
    <col min="58" max="58" width="25.28515625" style="728" bestFit="1" customWidth="1"/>
    <col min="59" max="59" width="26.140625" style="728" bestFit="1" customWidth="1"/>
    <col min="60" max="60" width="25" style="728" bestFit="1" customWidth="1"/>
    <col min="61" max="61" width="26.140625" style="728" bestFit="1" customWidth="1"/>
    <col min="62" max="62" width="25.140625" style="728" bestFit="1" customWidth="1"/>
    <col min="63" max="63" width="24.140625" style="728" bestFit="1" customWidth="1"/>
    <col min="64" max="64" width="25.140625" style="728" bestFit="1" customWidth="1"/>
    <col min="65" max="65" width="26.28515625" style="728" bestFit="1" customWidth="1"/>
    <col min="66" max="66" width="25.140625" style="728" bestFit="1" customWidth="1"/>
    <col min="67" max="67" width="26.28515625" style="728" bestFit="1" customWidth="1"/>
    <col min="68" max="68" width="25.28515625" style="728" bestFit="1" customWidth="1"/>
    <col min="69" max="69" width="24.28515625" style="728" bestFit="1" customWidth="1"/>
    <col min="70" max="70" width="25.28515625" style="728" bestFit="1" customWidth="1"/>
    <col min="71" max="71" width="26.140625" style="728" bestFit="1" customWidth="1"/>
    <col min="72" max="72" width="25" style="728" bestFit="1" customWidth="1"/>
    <col min="73" max="73" width="26.140625" style="728" bestFit="1" customWidth="1"/>
    <col min="74" max="74" width="25.140625" style="728" bestFit="1" customWidth="1"/>
    <col min="75" max="75" width="24.140625" style="728" bestFit="1" customWidth="1"/>
    <col min="76" max="76" width="25.140625" style="728" bestFit="1" customWidth="1"/>
    <col min="77" max="77" width="26" style="728" bestFit="1" customWidth="1"/>
    <col min="78" max="78" width="24.85546875" style="728" bestFit="1" customWidth="1"/>
    <col min="79" max="79" width="26" style="728" bestFit="1" customWidth="1"/>
    <col min="80" max="80" width="25" style="728" bestFit="1" customWidth="1"/>
    <col min="81" max="81" width="24" style="728" bestFit="1" customWidth="1"/>
    <col min="82" max="82" width="25" style="728" bestFit="1" customWidth="1"/>
    <col min="83" max="83" width="26" style="728" bestFit="1" customWidth="1"/>
    <col min="84" max="84" width="24.85546875" style="728" bestFit="1" customWidth="1"/>
    <col min="85" max="85" width="26" style="728" bestFit="1" customWidth="1"/>
    <col min="86" max="86" width="25" style="728" bestFit="1" customWidth="1"/>
    <col min="87" max="87" width="24" style="728" bestFit="1" customWidth="1"/>
    <col min="88" max="88" width="25" style="728" bestFit="1" customWidth="1"/>
    <col min="89" max="89" width="26" style="728" bestFit="1" customWidth="1"/>
    <col min="90" max="90" width="24.85546875" style="728" bestFit="1" customWidth="1"/>
    <col min="91" max="91" width="26" style="728" bestFit="1" customWidth="1"/>
    <col min="92" max="92" width="25" style="728" bestFit="1" customWidth="1"/>
    <col min="93" max="93" width="24" style="728" bestFit="1" customWidth="1"/>
    <col min="94" max="94" width="25" style="728" bestFit="1" customWidth="1"/>
    <col min="95" max="95" width="26" style="728" bestFit="1" customWidth="1"/>
    <col min="96" max="96" width="24.85546875" style="728" bestFit="1" customWidth="1"/>
    <col min="97" max="97" width="26" style="728" bestFit="1" customWidth="1"/>
    <col min="98" max="98" width="25" style="728" bestFit="1" customWidth="1"/>
    <col min="99" max="99" width="24" style="728" bestFit="1" customWidth="1"/>
    <col min="100" max="100" width="25" style="728" bestFit="1" customWidth="1"/>
    <col min="101" max="101" width="26.28515625" style="728" bestFit="1" customWidth="1"/>
    <col min="102" max="102" width="25.140625" style="728" bestFit="1" customWidth="1"/>
    <col min="103" max="103" width="26.28515625" style="728" bestFit="1" customWidth="1"/>
    <col min="104" max="104" width="25.28515625" style="728" bestFit="1" customWidth="1"/>
    <col min="105" max="105" width="24.28515625" style="728" bestFit="1" customWidth="1"/>
    <col min="106" max="106" width="25.28515625" style="728" bestFit="1" customWidth="1"/>
    <col min="107" max="107" width="26.140625" style="728" bestFit="1" customWidth="1"/>
    <col min="108" max="108" width="25" style="728" bestFit="1" customWidth="1"/>
    <col min="109" max="109" width="26.140625" style="728" bestFit="1" customWidth="1"/>
    <col min="110" max="110" width="25.140625" style="728" bestFit="1" customWidth="1"/>
    <col min="111" max="111" width="24.140625" style="728" bestFit="1" customWidth="1"/>
    <col min="112" max="112" width="25.140625" style="728" bestFit="1" customWidth="1"/>
    <col min="113" max="113" width="26.28515625" style="728" bestFit="1" customWidth="1"/>
    <col min="114" max="114" width="25.140625" style="728" bestFit="1" customWidth="1"/>
    <col min="115" max="115" width="26.28515625" style="728" bestFit="1" customWidth="1"/>
    <col min="116" max="116" width="25.28515625" style="728" bestFit="1" customWidth="1"/>
    <col min="117" max="117" width="24.28515625" style="728" bestFit="1" customWidth="1"/>
    <col min="118" max="118" width="25.28515625" style="728" bestFit="1" customWidth="1"/>
    <col min="119" max="119" width="26.140625" style="728" bestFit="1" customWidth="1"/>
    <col min="120" max="120" width="25" style="728" bestFit="1" customWidth="1"/>
    <col min="121" max="121" width="26.140625" style="728" bestFit="1" customWidth="1"/>
    <col min="122" max="122" width="25.140625" style="728" bestFit="1" customWidth="1"/>
    <col min="123" max="123" width="24.140625" style="728" bestFit="1" customWidth="1"/>
    <col min="124" max="124" width="25.140625" style="728" bestFit="1" customWidth="1"/>
    <col min="125" max="125" width="27.28515625" style="728" bestFit="1" customWidth="1"/>
    <col min="126" max="126" width="26.28515625" style="728" bestFit="1" customWidth="1"/>
    <col min="127" max="127" width="27.28515625" style="728" bestFit="1" customWidth="1"/>
    <col min="128" max="128" width="26.42578125" style="728" bestFit="1" customWidth="1"/>
    <col min="129" max="129" width="25.28515625" style="728" bestFit="1" customWidth="1"/>
    <col min="130" max="130" width="26.42578125" style="728" bestFit="1" customWidth="1"/>
    <col min="131" max="131" width="27.140625" style="728" bestFit="1" customWidth="1"/>
    <col min="132" max="132" width="26.140625" style="728" bestFit="1" customWidth="1"/>
    <col min="133" max="133" width="27.140625" style="728" bestFit="1" customWidth="1"/>
    <col min="134" max="134" width="26.28515625" style="728" bestFit="1" customWidth="1"/>
    <col min="135" max="135" width="25.140625" style="728" bestFit="1" customWidth="1"/>
    <col min="136" max="136" width="26.28515625" style="728" bestFit="1" customWidth="1"/>
    <col min="137" max="16384" width="9.140625" style="728"/>
  </cols>
  <sheetData>
    <row r="1" spans="1:138" x14ac:dyDescent="0.25">
      <c r="A1" s="1471" t="s">
        <v>829</v>
      </c>
      <c r="B1" s="1471" t="s">
        <v>830</v>
      </c>
      <c r="E1" s="1471" t="s">
        <v>990</v>
      </c>
      <c r="F1" s="1471" t="s">
        <v>991</v>
      </c>
      <c r="G1" s="1471" t="s">
        <v>992</v>
      </c>
      <c r="H1" s="1471" t="s">
        <v>993</v>
      </c>
      <c r="I1" s="1471" t="s">
        <v>994</v>
      </c>
      <c r="J1" s="1471" t="s">
        <v>995</v>
      </c>
      <c r="K1" s="1471" t="s">
        <v>996</v>
      </c>
      <c r="L1" s="1471" t="s">
        <v>997</v>
      </c>
      <c r="M1" s="1471" t="s">
        <v>998</v>
      </c>
      <c r="N1" s="1471" t="s">
        <v>999</v>
      </c>
      <c r="O1" s="1471" t="s">
        <v>1000</v>
      </c>
      <c r="P1" s="1471" t="s">
        <v>1001</v>
      </c>
      <c r="Q1" s="1471" t="s">
        <v>1002</v>
      </c>
      <c r="R1" s="1471" t="s">
        <v>1003</v>
      </c>
      <c r="S1" s="1471" t="s">
        <v>1004</v>
      </c>
      <c r="T1" s="1471" t="s">
        <v>1005</v>
      </c>
      <c r="U1" s="1471" t="s">
        <v>1006</v>
      </c>
      <c r="V1" s="1471" t="s">
        <v>1007</v>
      </c>
      <c r="W1" s="1471" t="s">
        <v>1008</v>
      </c>
      <c r="X1" s="1471" t="s">
        <v>1009</v>
      </c>
      <c r="Y1" s="1471" t="s">
        <v>1010</v>
      </c>
      <c r="Z1" s="1471" t="s">
        <v>1011</v>
      </c>
      <c r="AA1" s="1471" t="s">
        <v>1012</v>
      </c>
      <c r="AB1" s="1471" t="s">
        <v>1013</v>
      </c>
      <c r="AC1" s="1471" t="s">
        <v>1014</v>
      </c>
      <c r="AD1" s="1471" t="s">
        <v>1015</v>
      </c>
      <c r="AE1" s="1471" t="s">
        <v>1016</v>
      </c>
      <c r="AF1" s="1471" t="s">
        <v>1017</v>
      </c>
      <c r="AG1" s="1471" t="s">
        <v>1018</v>
      </c>
      <c r="AH1" s="1471" t="s">
        <v>1019</v>
      </c>
      <c r="AI1" s="1471" t="s">
        <v>1020</v>
      </c>
      <c r="AJ1" s="1471" t="s">
        <v>1021</v>
      </c>
      <c r="AK1" s="1471" t="s">
        <v>1022</v>
      </c>
      <c r="AL1" s="1471" t="s">
        <v>1023</v>
      </c>
      <c r="AM1" s="1471" t="s">
        <v>1024</v>
      </c>
      <c r="AN1" s="1471" t="s">
        <v>1025</v>
      </c>
      <c r="AO1" s="1471" t="s">
        <v>1026</v>
      </c>
      <c r="AP1" s="1471" t="s">
        <v>1027</v>
      </c>
      <c r="AQ1" s="1471" t="s">
        <v>1028</v>
      </c>
      <c r="AR1" s="1471" t="s">
        <v>1029</v>
      </c>
      <c r="AS1" s="1471" t="s">
        <v>1030</v>
      </c>
      <c r="AT1" s="1471" t="s">
        <v>1031</v>
      </c>
      <c r="AU1" s="1471" t="s">
        <v>1032</v>
      </c>
      <c r="AV1" s="1471" t="s">
        <v>1033</v>
      </c>
      <c r="AW1" s="1471" t="s">
        <v>1034</v>
      </c>
      <c r="AX1" s="1471" t="s">
        <v>1035</v>
      </c>
      <c r="AY1" s="1471" t="s">
        <v>1036</v>
      </c>
      <c r="AZ1" s="1471" t="s">
        <v>1037</v>
      </c>
      <c r="BA1" s="1471" t="s">
        <v>1038</v>
      </c>
      <c r="BB1" s="1471" t="s">
        <v>1039</v>
      </c>
      <c r="BC1" s="1471" t="s">
        <v>1040</v>
      </c>
      <c r="BD1" s="1471" t="s">
        <v>1041</v>
      </c>
      <c r="BE1" s="1471" t="s">
        <v>1042</v>
      </c>
      <c r="BF1" s="1471" t="s">
        <v>1043</v>
      </c>
      <c r="BG1" s="1471" t="s">
        <v>1044</v>
      </c>
      <c r="BH1" s="1471" t="s">
        <v>1045</v>
      </c>
      <c r="BI1" s="1471" t="s">
        <v>1046</v>
      </c>
      <c r="BJ1" s="1471" t="s">
        <v>1047</v>
      </c>
      <c r="BK1" s="1471" t="s">
        <v>1048</v>
      </c>
      <c r="BL1" s="1471" t="s">
        <v>1049</v>
      </c>
      <c r="BM1" s="1471" t="s">
        <v>1050</v>
      </c>
      <c r="BN1" s="1471" t="s">
        <v>1051</v>
      </c>
      <c r="BO1" s="1471" t="s">
        <v>1052</v>
      </c>
      <c r="BP1" s="1471" t="s">
        <v>1053</v>
      </c>
      <c r="BQ1" s="1471" t="s">
        <v>1054</v>
      </c>
      <c r="BR1" s="1471" t="s">
        <v>1055</v>
      </c>
      <c r="BS1" s="1471" t="s">
        <v>1056</v>
      </c>
      <c r="BT1" s="1471" t="s">
        <v>1057</v>
      </c>
      <c r="BU1" s="1471" t="s">
        <v>1058</v>
      </c>
      <c r="BV1" s="1471" t="s">
        <v>1059</v>
      </c>
      <c r="BW1" s="1471" t="s">
        <v>1060</v>
      </c>
      <c r="BX1" s="1471" t="s">
        <v>1061</v>
      </c>
      <c r="BY1" s="1471" t="s">
        <v>1062</v>
      </c>
      <c r="BZ1" s="1471" t="s">
        <v>1063</v>
      </c>
      <c r="CA1" s="1471" t="s">
        <v>1064</v>
      </c>
      <c r="CB1" s="1471" t="s">
        <v>1065</v>
      </c>
      <c r="CC1" s="1471" t="s">
        <v>1066</v>
      </c>
      <c r="CD1" s="1471" t="s">
        <v>1067</v>
      </c>
      <c r="CE1" s="1471" t="s">
        <v>1068</v>
      </c>
      <c r="CF1" s="1471" t="s">
        <v>1069</v>
      </c>
      <c r="CG1" s="1471" t="s">
        <v>1070</v>
      </c>
      <c r="CH1" s="1471" t="s">
        <v>1071</v>
      </c>
      <c r="CI1" s="1471" t="s">
        <v>1072</v>
      </c>
      <c r="CJ1" s="1471" t="s">
        <v>1073</v>
      </c>
      <c r="CK1" s="1471" t="s">
        <v>1074</v>
      </c>
      <c r="CL1" s="1471" t="s">
        <v>1075</v>
      </c>
      <c r="CM1" s="1471" t="s">
        <v>1076</v>
      </c>
      <c r="CN1" s="1471" t="s">
        <v>1077</v>
      </c>
      <c r="CO1" s="1471" t="s">
        <v>1078</v>
      </c>
      <c r="CP1" s="1471" t="s">
        <v>1079</v>
      </c>
      <c r="CQ1" s="1471" t="s">
        <v>1080</v>
      </c>
      <c r="CR1" s="1471" t="s">
        <v>1081</v>
      </c>
      <c r="CS1" s="1471" t="s">
        <v>1082</v>
      </c>
      <c r="CT1" s="1471" t="s">
        <v>1083</v>
      </c>
      <c r="CU1" s="1471" t="s">
        <v>1084</v>
      </c>
      <c r="CV1" s="1471" t="s">
        <v>1085</v>
      </c>
      <c r="CW1" s="1471" t="s">
        <v>1086</v>
      </c>
      <c r="CX1" s="1471" t="s">
        <v>1087</v>
      </c>
      <c r="CY1" s="1471" t="s">
        <v>1088</v>
      </c>
      <c r="CZ1" s="1471" t="s">
        <v>1089</v>
      </c>
      <c r="DA1" s="1471" t="s">
        <v>1090</v>
      </c>
      <c r="DB1" s="1471" t="s">
        <v>1091</v>
      </c>
      <c r="DC1" s="1471" t="s">
        <v>1092</v>
      </c>
      <c r="DD1" s="1471" t="s">
        <v>1093</v>
      </c>
      <c r="DE1" s="1471" t="s">
        <v>1094</v>
      </c>
      <c r="DF1" s="1471" t="s">
        <v>1095</v>
      </c>
      <c r="DG1" s="1471" t="s">
        <v>1096</v>
      </c>
      <c r="DH1" s="1471" t="s">
        <v>1097</v>
      </c>
      <c r="DI1" s="1471" t="s">
        <v>1098</v>
      </c>
      <c r="DJ1" s="1471" t="s">
        <v>1099</v>
      </c>
      <c r="DK1" s="1471" t="s">
        <v>1100</v>
      </c>
      <c r="DL1" s="1471" t="s">
        <v>1101</v>
      </c>
      <c r="DM1" s="1471" t="s">
        <v>1102</v>
      </c>
      <c r="DN1" s="1471" t="s">
        <v>1103</v>
      </c>
      <c r="DO1" s="1471" t="s">
        <v>1104</v>
      </c>
      <c r="DP1" s="1471" t="s">
        <v>1105</v>
      </c>
      <c r="DQ1" s="1471" t="s">
        <v>1106</v>
      </c>
      <c r="DR1" s="1471" t="s">
        <v>1107</v>
      </c>
      <c r="DS1" s="1471" t="s">
        <v>1108</v>
      </c>
      <c r="DT1" s="1471" t="s">
        <v>1109</v>
      </c>
      <c r="DU1" s="1471" t="s">
        <v>1110</v>
      </c>
      <c r="DV1" s="1471" t="s">
        <v>1111</v>
      </c>
      <c r="DW1" s="1471" t="s">
        <v>1112</v>
      </c>
      <c r="DX1" s="1471" t="s">
        <v>1113</v>
      </c>
      <c r="DY1" s="1471" t="s">
        <v>1114</v>
      </c>
      <c r="DZ1" s="1471" t="s">
        <v>1115</v>
      </c>
      <c r="EA1" s="1471" t="s">
        <v>1116</v>
      </c>
      <c r="EB1" s="1471" t="s">
        <v>1117</v>
      </c>
      <c r="EC1" s="1471" t="s">
        <v>1118</v>
      </c>
      <c r="ED1" s="1471" t="s">
        <v>1119</v>
      </c>
      <c r="EE1" s="1471" t="s">
        <v>1120</v>
      </c>
      <c r="EF1" s="1471" t="s">
        <v>1121</v>
      </c>
    </row>
    <row r="2" spans="1:138" s="1473" customFormat="1" x14ac:dyDescent="0.25">
      <c r="A2" s="1472" t="s">
        <v>541</v>
      </c>
      <c r="B2" s="1472" t="s">
        <v>541</v>
      </c>
      <c r="E2" s="728" t="s">
        <v>548</v>
      </c>
      <c r="F2" s="1473" t="s">
        <v>548</v>
      </c>
      <c r="G2" s="1473" t="s">
        <v>548</v>
      </c>
      <c r="H2" s="728">
        <v>0</v>
      </c>
      <c r="I2" s="1473" t="s">
        <v>548</v>
      </c>
      <c r="J2" s="1473" t="s">
        <v>548</v>
      </c>
      <c r="K2" s="728" t="s">
        <v>548</v>
      </c>
      <c r="L2" s="728" t="s">
        <v>548</v>
      </c>
      <c r="M2" s="728" t="s">
        <v>548</v>
      </c>
      <c r="N2" s="1473" t="s">
        <v>548</v>
      </c>
      <c r="O2" s="1473" t="s">
        <v>548</v>
      </c>
      <c r="P2" s="1473" t="s">
        <v>548</v>
      </c>
      <c r="Q2" s="1473" t="s">
        <v>548</v>
      </c>
      <c r="R2" s="1473" t="s">
        <v>548</v>
      </c>
      <c r="S2" s="1473" t="s">
        <v>548</v>
      </c>
      <c r="T2" s="728">
        <v>0</v>
      </c>
      <c r="U2" s="728">
        <v>0</v>
      </c>
      <c r="V2" s="728">
        <v>0</v>
      </c>
      <c r="W2" s="728">
        <v>0</v>
      </c>
      <c r="X2" s="728">
        <v>0</v>
      </c>
      <c r="Y2" s="728">
        <v>0</v>
      </c>
      <c r="Z2" s="728">
        <v>0</v>
      </c>
      <c r="AA2" s="728">
        <v>0</v>
      </c>
      <c r="AB2" s="728">
        <v>0</v>
      </c>
      <c r="AC2" s="728" t="s">
        <v>548</v>
      </c>
      <c r="AD2" s="728" t="s">
        <v>548</v>
      </c>
      <c r="AE2" s="728" t="s">
        <v>548</v>
      </c>
      <c r="AF2" s="728" t="s">
        <v>548</v>
      </c>
      <c r="AG2" s="728" t="s">
        <v>548</v>
      </c>
      <c r="AH2" s="728" t="s">
        <v>548</v>
      </c>
      <c r="AI2" s="728" t="s">
        <v>548</v>
      </c>
      <c r="AJ2" s="728" t="s">
        <v>548</v>
      </c>
      <c r="AK2" s="728" t="s">
        <v>548</v>
      </c>
      <c r="AL2" s="728" t="s">
        <v>548</v>
      </c>
      <c r="AM2" s="728" t="s">
        <v>548</v>
      </c>
      <c r="AN2" s="728" t="s">
        <v>548</v>
      </c>
      <c r="AO2" s="728">
        <v>0</v>
      </c>
      <c r="AP2" s="728" t="s">
        <v>548</v>
      </c>
      <c r="AQ2" s="728" t="s">
        <v>548</v>
      </c>
      <c r="AR2" s="728">
        <v>0</v>
      </c>
      <c r="AS2" s="728" t="s">
        <v>548</v>
      </c>
      <c r="AT2" s="728" t="s">
        <v>548</v>
      </c>
      <c r="AU2" s="728" t="s">
        <v>548</v>
      </c>
      <c r="AV2" s="728">
        <v>0</v>
      </c>
      <c r="AW2" s="728">
        <v>0</v>
      </c>
      <c r="AX2" s="728" t="s">
        <v>548</v>
      </c>
      <c r="AY2" s="728">
        <v>0</v>
      </c>
      <c r="AZ2" s="728">
        <v>0</v>
      </c>
      <c r="BA2" s="728" t="s">
        <v>548</v>
      </c>
      <c r="BB2" s="728" t="s">
        <v>548</v>
      </c>
      <c r="BC2" s="728" t="s">
        <v>548</v>
      </c>
      <c r="BD2" s="728" t="s">
        <v>548</v>
      </c>
      <c r="BE2" s="728" t="s">
        <v>548</v>
      </c>
      <c r="BF2" s="728" t="s">
        <v>548</v>
      </c>
      <c r="BG2" s="728" t="s">
        <v>548</v>
      </c>
      <c r="BH2" s="728">
        <v>0</v>
      </c>
      <c r="BI2" s="728">
        <v>0</v>
      </c>
      <c r="BJ2" s="728" t="s">
        <v>548</v>
      </c>
      <c r="BK2" s="728">
        <v>0</v>
      </c>
      <c r="BL2" s="728">
        <v>0</v>
      </c>
      <c r="BM2" s="728" t="s">
        <v>548</v>
      </c>
      <c r="BN2" s="728">
        <v>0</v>
      </c>
      <c r="BO2" s="728">
        <v>0</v>
      </c>
      <c r="BP2" s="728" t="s">
        <v>548</v>
      </c>
      <c r="BQ2" s="728">
        <v>0</v>
      </c>
      <c r="BR2" s="728">
        <v>0</v>
      </c>
      <c r="BS2" s="728" t="s">
        <v>548</v>
      </c>
      <c r="BT2" s="728">
        <v>0</v>
      </c>
      <c r="BU2" s="728">
        <v>0</v>
      </c>
      <c r="BV2" s="728" t="s">
        <v>548</v>
      </c>
      <c r="BW2" s="728">
        <v>0</v>
      </c>
      <c r="BX2" s="728">
        <v>0</v>
      </c>
      <c r="BY2" s="1474" t="s">
        <v>548</v>
      </c>
      <c r="BZ2" s="1475">
        <v>0</v>
      </c>
      <c r="CA2" s="1475">
        <v>0</v>
      </c>
      <c r="CB2" s="1474" t="s">
        <v>548</v>
      </c>
      <c r="CC2" s="1475">
        <v>0</v>
      </c>
      <c r="CD2" s="1475">
        <v>0</v>
      </c>
      <c r="CE2" s="1474" t="s">
        <v>548</v>
      </c>
      <c r="CF2" s="1475">
        <v>0</v>
      </c>
      <c r="CG2" s="1475">
        <v>0</v>
      </c>
      <c r="CH2" s="1474" t="s">
        <v>548</v>
      </c>
      <c r="CI2" s="1475">
        <v>0</v>
      </c>
      <c r="CJ2" s="1475">
        <v>0</v>
      </c>
      <c r="CK2" s="1474" t="s">
        <v>548</v>
      </c>
      <c r="CL2" s="1475">
        <v>0</v>
      </c>
      <c r="CM2" s="1475">
        <v>0</v>
      </c>
      <c r="CN2" s="1474" t="s">
        <v>548</v>
      </c>
      <c r="CO2" s="1475">
        <v>0</v>
      </c>
      <c r="CP2" s="1475">
        <v>0</v>
      </c>
      <c r="CQ2" s="728" t="s">
        <v>548</v>
      </c>
      <c r="CR2" s="1475">
        <v>0</v>
      </c>
      <c r="CS2" s="1475">
        <v>0</v>
      </c>
      <c r="CT2" s="728" t="s">
        <v>548</v>
      </c>
      <c r="CU2" s="1475">
        <v>0</v>
      </c>
      <c r="CV2" s="1475">
        <v>0</v>
      </c>
      <c r="CW2" s="728" t="s">
        <v>548</v>
      </c>
      <c r="CX2" s="728" t="s">
        <v>548</v>
      </c>
      <c r="CY2" s="728" t="s">
        <v>548</v>
      </c>
      <c r="CZ2" s="728" t="s">
        <v>548</v>
      </c>
      <c r="DA2" s="728" t="s">
        <v>548</v>
      </c>
      <c r="DB2" s="728" t="s">
        <v>548</v>
      </c>
      <c r="DC2" s="728" t="s">
        <v>548</v>
      </c>
      <c r="DD2" s="728">
        <v>0</v>
      </c>
      <c r="DE2" s="728" t="s">
        <v>548</v>
      </c>
      <c r="DF2" s="728" t="s">
        <v>548</v>
      </c>
      <c r="DG2" s="728">
        <v>0</v>
      </c>
      <c r="DH2" s="728" t="s">
        <v>548</v>
      </c>
      <c r="DI2" s="728" t="s">
        <v>548</v>
      </c>
      <c r="DJ2" s="728" t="s">
        <v>548</v>
      </c>
      <c r="DK2" s="728" t="s">
        <v>548</v>
      </c>
      <c r="DL2" s="728" t="s">
        <v>548</v>
      </c>
      <c r="DM2" s="728" t="s">
        <v>548</v>
      </c>
      <c r="DN2" s="728" t="s">
        <v>548</v>
      </c>
      <c r="DO2" s="728" t="s">
        <v>548</v>
      </c>
      <c r="DP2" s="728">
        <v>0</v>
      </c>
      <c r="DQ2" s="728">
        <v>0</v>
      </c>
      <c r="DR2" s="728" t="s">
        <v>548</v>
      </c>
      <c r="DS2" s="728">
        <v>0</v>
      </c>
      <c r="DT2" s="728">
        <v>0</v>
      </c>
      <c r="DU2" s="728" t="s">
        <v>548</v>
      </c>
      <c r="DV2" s="728" t="s">
        <v>548</v>
      </c>
      <c r="DW2" s="728" t="s">
        <v>548</v>
      </c>
      <c r="DX2" s="728" t="s">
        <v>548</v>
      </c>
      <c r="DY2" s="728" t="s">
        <v>548</v>
      </c>
      <c r="DZ2" s="728" t="s">
        <v>548</v>
      </c>
      <c r="EA2" s="728">
        <v>0</v>
      </c>
      <c r="EB2" s="728" t="s">
        <v>548</v>
      </c>
      <c r="EC2" s="728">
        <v>0</v>
      </c>
      <c r="ED2" s="728">
        <v>0</v>
      </c>
      <c r="EE2" s="728" t="s">
        <v>548</v>
      </c>
      <c r="EF2" s="728">
        <v>0</v>
      </c>
      <c r="EG2" s="728"/>
      <c r="EH2" s="728"/>
    </row>
    <row r="3" spans="1:138" x14ac:dyDescent="0.25">
      <c r="A3" s="728" t="s">
        <v>836</v>
      </c>
      <c r="B3" s="728" t="s">
        <v>28</v>
      </c>
      <c r="E3" s="728" t="s">
        <v>580</v>
      </c>
      <c r="H3" s="728">
        <v>2</v>
      </c>
      <c r="K3" s="728" t="s">
        <v>580</v>
      </c>
      <c r="L3" s="728" t="s">
        <v>580</v>
      </c>
      <c r="M3" s="728" t="s">
        <v>580</v>
      </c>
      <c r="Q3" s="728">
        <v>3</v>
      </c>
      <c r="R3" s="728">
        <v>3</v>
      </c>
      <c r="S3" s="728">
        <v>3</v>
      </c>
      <c r="T3" s="728">
        <v>3</v>
      </c>
      <c r="U3" s="728">
        <v>3</v>
      </c>
      <c r="V3" s="728">
        <v>3</v>
      </c>
      <c r="W3" s="728">
        <v>2</v>
      </c>
      <c r="X3" s="728">
        <v>4</v>
      </c>
      <c r="Y3" s="728">
        <v>4</v>
      </c>
      <c r="Z3" s="728">
        <v>2</v>
      </c>
      <c r="AA3" s="728">
        <v>4</v>
      </c>
      <c r="AB3" s="728">
        <v>4</v>
      </c>
      <c r="AC3" s="728" t="s">
        <v>580</v>
      </c>
      <c r="AF3" s="728" t="s">
        <v>580</v>
      </c>
      <c r="AJ3" s="728" t="s">
        <v>580</v>
      </c>
      <c r="AK3" s="728" t="s">
        <v>580</v>
      </c>
      <c r="AM3" s="728" t="s">
        <v>580</v>
      </c>
      <c r="AN3" s="728" t="s">
        <v>580</v>
      </c>
      <c r="AO3" s="728">
        <v>5</v>
      </c>
      <c r="AR3" s="728">
        <v>5</v>
      </c>
      <c r="AV3" s="728">
        <v>5</v>
      </c>
      <c r="AW3" s="728">
        <v>5</v>
      </c>
      <c r="AY3" s="728">
        <v>5</v>
      </c>
      <c r="AZ3" s="728">
        <v>5</v>
      </c>
      <c r="BA3" s="728" t="s">
        <v>580</v>
      </c>
      <c r="BD3" s="728" t="s">
        <v>580</v>
      </c>
      <c r="BH3" s="728">
        <v>2</v>
      </c>
      <c r="BI3" s="728">
        <v>2</v>
      </c>
      <c r="BK3" s="728">
        <v>2</v>
      </c>
      <c r="BL3" s="728">
        <v>2</v>
      </c>
      <c r="BN3" s="728">
        <v>1</v>
      </c>
      <c r="BO3" s="728">
        <v>1</v>
      </c>
      <c r="BQ3" s="728">
        <v>1</v>
      </c>
      <c r="BR3" s="728">
        <v>1</v>
      </c>
      <c r="BT3" s="728">
        <v>1</v>
      </c>
      <c r="BU3" s="728">
        <v>1</v>
      </c>
      <c r="BW3" s="728">
        <v>1</v>
      </c>
      <c r="BX3" s="728">
        <v>1</v>
      </c>
      <c r="BY3" s="1474"/>
      <c r="BZ3" s="1475">
        <v>2</v>
      </c>
      <c r="CA3" s="1475">
        <v>2</v>
      </c>
      <c r="CB3" s="1474"/>
      <c r="CC3" s="1475">
        <v>2</v>
      </c>
      <c r="CD3" s="1475">
        <v>2</v>
      </c>
      <c r="CF3" s="1475">
        <v>3</v>
      </c>
      <c r="CG3" s="1475">
        <v>3</v>
      </c>
      <c r="CI3" s="1475">
        <v>3</v>
      </c>
      <c r="CJ3" s="1475">
        <v>3</v>
      </c>
      <c r="CL3" s="1475">
        <v>10</v>
      </c>
      <c r="CM3" s="1475">
        <v>10</v>
      </c>
      <c r="CO3" s="1475">
        <v>10</v>
      </c>
      <c r="CP3" s="1475">
        <v>10</v>
      </c>
      <c r="CR3" s="1475">
        <v>2</v>
      </c>
      <c r="CS3" s="1475">
        <v>2</v>
      </c>
      <c r="CU3" s="1475">
        <v>2</v>
      </c>
      <c r="CV3" s="1475">
        <v>2</v>
      </c>
      <c r="CW3" s="728" t="s">
        <v>580</v>
      </c>
      <c r="CY3" s="728" t="s">
        <v>580</v>
      </c>
      <c r="CZ3" s="728" t="s">
        <v>580</v>
      </c>
      <c r="DB3" s="728" t="s">
        <v>580</v>
      </c>
      <c r="DD3" s="728">
        <v>3</v>
      </c>
      <c r="DG3" s="728">
        <v>3</v>
      </c>
      <c r="DI3" s="728" t="s">
        <v>580</v>
      </c>
      <c r="DL3" s="728" t="s">
        <v>580</v>
      </c>
      <c r="DP3" s="728">
        <v>3</v>
      </c>
      <c r="DQ3" s="728">
        <v>3</v>
      </c>
      <c r="DS3" s="728">
        <v>3</v>
      </c>
      <c r="DT3" s="728">
        <v>3</v>
      </c>
      <c r="DU3" s="728" t="s">
        <v>580</v>
      </c>
      <c r="DX3" s="728" t="s">
        <v>580</v>
      </c>
      <c r="EA3" s="728">
        <v>2</v>
      </c>
      <c r="EC3" s="728">
        <v>2</v>
      </c>
      <c r="ED3" s="728">
        <v>2</v>
      </c>
      <c r="EF3" s="728">
        <v>2</v>
      </c>
    </row>
    <row r="4" spans="1:138" x14ac:dyDescent="0.25">
      <c r="A4" s="728" t="s">
        <v>835</v>
      </c>
      <c r="B4" s="728" t="s">
        <v>984</v>
      </c>
      <c r="Q4" s="728">
        <v>5</v>
      </c>
      <c r="R4" s="728">
        <v>5</v>
      </c>
      <c r="S4" s="728">
        <v>5</v>
      </c>
      <c r="T4" s="728">
        <v>5</v>
      </c>
      <c r="U4" s="728">
        <v>5</v>
      </c>
      <c r="V4" s="728">
        <v>5</v>
      </c>
      <c r="AO4" s="728">
        <v>10</v>
      </c>
      <c r="AR4" s="728">
        <v>10</v>
      </c>
      <c r="BN4" s="728">
        <v>2</v>
      </c>
      <c r="BO4" s="728">
        <v>2</v>
      </c>
      <c r="BQ4" s="728">
        <v>2</v>
      </c>
      <c r="BR4" s="728">
        <v>2</v>
      </c>
      <c r="BT4" s="728">
        <v>2</v>
      </c>
      <c r="BU4" s="728">
        <v>2</v>
      </c>
      <c r="BW4" s="728">
        <v>2</v>
      </c>
      <c r="BX4" s="728">
        <v>2</v>
      </c>
      <c r="BY4" s="1474"/>
      <c r="BZ4" s="1475">
        <v>5</v>
      </c>
      <c r="CA4" s="1475">
        <v>5</v>
      </c>
      <c r="CB4" s="1474"/>
      <c r="CC4" s="1475">
        <v>5</v>
      </c>
      <c r="CD4" s="1475">
        <v>5</v>
      </c>
      <c r="CF4" s="1475">
        <v>7</v>
      </c>
      <c r="CG4" s="1475">
        <v>7</v>
      </c>
      <c r="CI4" s="1475">
        <v>7</v>
      </c>
      <c r="CJ4" s="1475">
        <v>7</v>
      </c>
      <c r="CR4" s="728">
        <v>5</v>
      </c>
      <c r="CS4" s="728">
        <v>5</v>
      </c>
      <c r="CU4" s="728">
        <v>5</v>
      </c>
      <c r="CV4" s="728">
        <v>5</v>
      </c>
      <c r="EA4" s="728">
        <v>3</v>
      </c>
      <c r="EC4" s="728">
        <v>3</v>
      </c>
      <c r="ED4" s="728">
        <v>3</v>
      </c>
      <c r="EF4" s="728">
        <v>3</v>
      </c>
    </row>
    <row r="5" spans="1:138" x14ac:dyDescent="0.25">
      <c r="B5" s="728" t="s">
        <v>960</v>
      </c>
      <c r="AO5" s="728">
        <v>15</v>
      </c>
      <c r="AR5" s="728">
        <v>15</v>
      </c>
      <c r="BN5" s="728">
        <v>3</v>
      </c>
      <c r="BO5" s="728">
        <v>3</v>
      </c>
      <c r="BQ5" s="728">
        <v>3</v>
      </c>
      <c r="BR5" s="728">
        <v>3</v>
      </c>
      <c r="BT5" s="728">
        <v>3</v>
      </c>
      <c r="BU5" s="728">
        <v>3</v>
      </c>
      <c r="BW5" s="728">
        <v>3</v>
      </c>
      <c r="BX5" s="728">
        <v>3</v>
      </c>
      <c r="BY5" s="1474"/>
      <c r="BZ5" s="1474"/>
      <c r="CA5" s="1474"/>
      <c r="CB5" s="1474"/>
      <c r="CC5" s="1474"/>
      <c r="CD5" s="1474"/>
      <c r="CR5" s="728">
        <v>7</v>
      </c>
      <c r="CS5" s="728">
        <v>7</v>
      </c>
      <c r="CU5" s="728">
        <v>7</v>
      </c>
      <c r="CV5" s="728">
        <v>7</v>
      </c>
      <c r="EA5" s="728">
        <v>4</v>
      </c>
      <c r="EC5" s="728">
        <v>4</v>
      </c>
      <c r="ED5" s="728">
        <v>4</v>
      </c>
      <c r="EF5" s="728">
        <v>4</v>
      </c>
    </row>
    <row r="6" spans="1:138" x14ac:dyDescent="0.25">
      <c r="B6" s="728" t="s">
        <v>960</v>
      </c>
      <c r="AO6" s="728">
        <v>20</v>
      </c>
      <c r="AR6" s="728">
        <v>20</v>
      </c>
      <c r="BN6" s="728">
        <v>4</v>
      </c>
      <c r="BO6" s="728">
        <v>4</v>
      </c>
      <c r="BQ6" s="728">
        <v>4</v>
      </c>
      <c r="BR6" s="728">
        <v>4</v>
      </c>
      <c r="BT6" s="728">
        <v>4</v>
      </c>
      <c r="BU6" s="728">
        <v>4</v>
      </c>
      <c r="BW6" s="728">
        <v>4</v>
      </c>
      <c r="BX6" s="728">
        <v>4</v>
      </c>
      <c r="BY6" s="1474"/>
      <c r="BZ6" s="1474"/>
      <c r="CA6" s="1474"/>
      <c r="CB6" s="1474"/>
      <c r="CC6" s="1474"/>
      <c r="CD6" s="1474"/>
      <c r="EA6" s="728">
        <v>5</v>
      </c>
      <c r="EC6" s="728">
        <v>5</v>
      </c>
      <c r="ED6" s="728">
        <v>5</v>
      </c>
      <c r="EF6" s="728">
        <v>5</v>
      </c>
    </row>
    <row r="7" spans="1:138" x14ac:dyDescent="0.25">
      <c r="AO7" s="728">
        <v>25</v>
      </c>
      <c r="AR7" s="728">
        <v>25</v>
      </c>
      <c r="BN7" s="728">
        <v>5</v>
      </c>
      <c r="BO7" s="728">
        <v>5</v>
      </c>
      <c r="BQ7" s="728">
        <v>5</v>
      </c>
      <c r="BR7" s="728">
        <v>5</v>
      </c>
      <c r="BT7" s="728">
        <v>5</v>
      </c>
      <c r="BU7" s="728">
        <v>5</v>
      </c>
      <c r="BW7" s="728">
        <v>5</v>
      </c>
      <c r="BX7" s="728">
        <v>5</v>
      </c>
      <c r="BY7" s="1474"/>
      <c r="BZ7" s="1474"/>
      <c r="CA7" s="1474"/>
      <c r="CB7" s="1474"/>
      <c r="CC7" s="1474"/>
      <c r="CD7" s="1474"/>
      <c r="EA7" s="728">
        <v>6</v>
      </c>
      <c r="EC7" s="728">
        <v>6</v>
      </c>
      <c r="ED7" s="728">
        <v>6</v>
      </c>
      <c r="EF7" s="728">
        <v>6</v>
      </c>
    </row>
    <row r="8" spans="1:138" x14ac:dyDescent="0.25">
      <c r="BN8" s="728">
        <v>6</v>
      </c>
      <c r="BO8" s="728">
        <v>6</v>
      </c>
      <c r="BQ8" s="728">
        <v>6</v>
      </c>
      <c r="BR8" s="728">
        <v>6</v>
      </c>
      <c r="BT8" s="728">
        <v>6</v>
      </c>
      <c r="BU8" s="728">
        <v>6</v>
      </c>
      <c r="BW8" s="728">
        <v>6</v>
      </c>
      <c r="BX8" s="728">
        <v>6</v>
      </c>
      <c r="BY8" s="1474"/>
      <c r="BZ8" s="1474"/>
      <c r="CA8" s="1474"/>
      <c r="CB8" s="1474"/>
      <c r="CC8" s="1474"/>
      <c r="CD8" s="1474"/>
      <c r="EA8" s="728">
        <v>7</v>
      </c>
      <c r="EC8" s="728">
        <v>7</v>
      </c>
      <c r="ED8" s="728">
        <v>7</v>
      </c>
      <c r="EF8" s="728">
        <v>7</v>
      </c>
    </row>
    <row r="9" spans="1:138" x14ac:dyDescent="0.25">
      <c r="BN9" s="728">
        <v>7</v>
      </c>
      <c r="BO9" s="728">
        <v>7</v>
      </c>
      <c r="BQ9" s="728">
        <v>7</v>
      </c>
      <c r="BR9" s="728">
        <v>7</v>
      </c>
      <c r="BT9" s="728">
        <v>7</v>
      </c>
      <c r="BU9" s="728">
        <v>7</v>
      </c>
      <c r="BW9" s="728">
        <v>7</v>
      </c>
      <c r="BX9" s="728">
        <v>7</v>
      </c>
      <c r="BY9" s="1474"/>
      <c r="BZ9" s="1474"/>
      <c r="CA9" s="1474"/>
      <c r="CB9" s="1474"/>
      <c r="CC9" s="1474"/>
      <c r="CD9" s="1474"/>
      <c r="EA9" s="728">
        <v>8</v>
      </c>
      <c r="EC9" s="728">
        <v>8</v>
      </c>
      <c r="ED9" s="728">
        <v>8</v>
      </c>
      <c r="EF9" s="728">
        <v>8</v>
      </c>
    </row>
    <row r="10" spans="1:138" x14ac:dyDescent="0.25">
      <c r="BN10" s="728">
        <v>8</v>
      </c>
      <c r="BO10" s="728">
        <v>8</v>
      </c>
      <c r="BQ10" s="728">
        <v>8</v>
      </c>
      <c r="BR10" s="728">
        <v>8</v>
      </c>
      <c r="BT10" s="728">
        <v>8</v>
      </c>
      <c r="BU10" s="728">
        <v>8</v>
      </c>
      <c r="BW10" s="728">
        <v>8</v>
      </c>
      <c r="BX10" s="728">
        <v>8</v>
      </c>
      <c r="BY10" s="1474"/>
      <c r="BZ10" s="1474"/>
      <c r="CA10" s="1474"/>
      <c r="CB10" s="1474"/>
      <c r="CC10" s="1474"/>
      <c r="CD10" s="1474"/>
      <c r="EC10" s="728">
        <v>10</v>
      </c>
      <c r="EF10" s="728">
        <v>10</v>
      </c>
    </row>
    <row r="11" spans="1:138" x14ac:dyDescent="0.25">
      <c r="BN11" s="728">
        <v>9</v>
      </c>
      <c r="BO11" s="728">
        <v>9</v>
      </c>
      <c r="BQ11" s="728">
        <v>9</v>
      </c>
      <c r="BR11" s="728">
        <v>9</v>
      </c>
      <c r="BT11" s="728">
        <v>9</v>
      </c>
      <c r="BU11" s="728">
        <v>9</v>
      </c>
      <c r="BW11" s="728">
        <v>9</v>
      </c>
      <c r="BX11" s="728">
        <v>9</v>
      </c>
      <c r="BY11" s="1474"/>
      <c r="BZ11" s="1474"/>
      <c r="CA11" s="1474"/>
      <c r="CB11" s="1474"/>
      <c r="CC11" s="1474"/>
      <c r="CD11" s="1474"/>
    </row>
    <row r="12" spans="1:138" x14ac:dyDescent="0.25">
      <c r="BN12" s="728">
        <v>10</v>
      </c>
      <c r="BO12" s="728">
        <v>10</v>
      </c>
      <c r="BQ12" s="728">
        <v>10</v>
      </c>
      <c r="BR12" s="728">
        <v>10</v>
      </c>
      <c r="BT12" s="728">
        <v>10</v>
      </c>
      <c r="BU12" s="728">
        <v>10</v>
      </c>
      <c r="BW12" s="728">
        <v>10</v>
      </c>
      <c r="BX12" s="728">
        <v>10</v>
      </c>
      <c r="BY12" s="1474"/>
      <c r="BZ12" s="1474"/>
      <c r="CA12" s="1474"/>
      <c r="CB12" s="1474"/>
      <c r="CC12" s="1474"/>
      <c r="CD12" s="1474"/>
    </row>
    <row r="13" spans="1:138" x14ac:dyDescent="0.25">
      <c r="BN13" s="728">
        <v>11</v>
      </c>
      <c r="BO13" s="728">
        <v>11</v>
      </c>
      <c r="BQ13" s="728">
        <v>11</v>
      </c>
      <c r="BR13" s="728">
        <v>11</v>
      </c>
      <c r="BY13" s="1474"/>
      <c r="BZ13" s="1474"/>
      <c r="CA13" s="1474"/>
      <c r="CB13" s="1474"/>
      <c r="CC13" s="1474"/>
      <c r="CD13" s="1474"/>
    </row>
    <row r="14" spans="1:138" x14ac:dyDescent="0.25">
      <c r="A14" s="728" t="s">
        <v>829</v>
      </c>
      <c r="B14" s="728" t="s">
        <v>830</v>
      </c>
      <c r="BN14" s="728">
        <v>12</v>
      </c>
      <c r="BO14" s="728">
        <v>12</v>
      </c>
      <c r="BQ14" s="728">
        <v>12</v>
      </c>
      <c r="BR14" s="728">
        <v>12</v>
      </c>
      <c r="BY14" s="1474"/>
      <c r="BZ14" s="1474"/>
      <c r="CA14" s="1474"/>
      <c r="CB14" s="1474"/>
      <c r="CC14" s="1474"/>
      <c r="CD14" s="1474"/>
    </row>
    <row r="15" spans="1:138" x14ac:dyDescent="0.25">
      <c r="A15" s="1476" t="s">
        <v>836</v>
      </c>
      <c r="B15" s="1476" t="s">
        <v>28</v>
      </c>
      <c r="BN15" s="728">
        <v>13</v>
      </c>
      <c r="BO15" s="728">
        <v>13</v>
      </c>
      <c r="BQ15" s="728">
        <v>13</v>
      </c>
      <c r="BR15" s="728">
        <v>13</v>
      </c>
      <c r="BY15" s="1474"/>
      <c r="BZ15" s="1474"/>
      <c r="CA15" s="1474"/>
      <c r="CB15" s="1474"/>
      <c r="CC15" s="1474"/>
      <c r="CD15" s="1474"/>
    </row>
    <row r="16" spans="1:138" x14ac:dyDescent="0.25">
      <c r="BN16" s="728">
        <v>14</v>
      </c>
      <c r="BO16" s="728">
        <v>14</v>
      </c>
      <c r="BQ16" s="728">
        <v>14</v>
      </c>
      <c r="BR16" s="728">
        <v>14</v>
      </c>
      <c r="BY16" s="1474"/>
      <c r="BZ16" s="1474"/>
      <c r="CA16" s="1474"/>
      <c r="CB16" s="1474"/>
      <c r="CC16" s="1474"/>
      <c r="CD16" s="1474"/>
    </row>
    <row r="17" spans="2:136" x14ac:dyDescent="0.25">
      <c r="B17" s="728">
        <v>2.2000000000000002</v>
      </c>
      <c r="C17" s="1476"/>
      <c r="BN17" s="728">
        <v>15</v>
      </c>
      <c r="BO17" s="728">
        <v>15</v>
      </c>
      <c r="BQ17" s="728">
        <v>15</v>
      </c>
      <c r="BR17" s="728">
        <v>15</v>
      </c>
      <c r="BY17" s="1474"/>
      <c r="BZ17" s="1474"/>
      <c r="CA17" s="1474"/>
      <c r="CB17" s="1474"/>
      <c r="CC17" s="1474"/>
      <c r="CD17" s="1474"/>
    </row>
    <row r="18" spans="2:136" x14ac:dyDescent="0.25">
      <c r="B18" s="728" t="s">
        <v>711</v>
      </c>
      <c r="BY18" s="1474"/>
      <c r="BZ18" s="1474"/>
      <c r="CA18" s="1474"/>
      <c r="CB18" s="1474"/>
      <c r="CC18" s="1474"/>
      <c r="CD18" s="1474"/>
    </row>
    <row r="19" spans="2:136" x14ac:dyDescent="0.25">
      <c r="BY19" s="1474"/>
      <c r="BZ19" s="1474"/>
      <c r="CA19" s="1474"/>
      <c r="CB19" s="1474"/>
      <c r="CC19" s="1474"/>
      <c r="CD19" s="1474"/>
    </row>
    <row r="20" spans="2:136" x14ac:dyDescent="0.25">
      <c r="BY20" s="1474"/>
      <c r="BZ20" s="1474"/>
      <c r="CA20" s="1474"/>
      <c r="CB20" s="1474"/>
      <c r="CC20" s="1474"/>
      <c r="CD20" s="1474"/>
    </row>
    <row r="21" spans="2:136" x14ac:dyDescent="0.25">
      <c r="BY21" s="1474"/>
      <c r="BZ21" s="1474"/>
      <c r="CA21" s="1474"/>
      <c r="CB21" s="1474"/>
      <c r="CC21" s="1474"/>
      <c r="CD21" s="1474"/>
    </row>
    <row r="22" spans="2:136" ht="30" x14ac:dyDescent="0.25">
      <c r="E22" s="1477" t="s">
        <v>1122</v>
      </c>
      <c r="F22" s="1477" t="s">
        <v>548</v>
      </c>
      <c r="G22" s="1477" t="s">
        <v>548</v>
      </c>
      <c r="H22" s="1477" t="s">
        <v>863</v>
      </c>
      <c r="I22" s="1477" t="s">
        <v>548</v>
      </c>
      <c r="J22" s="1477" t="s">
        <v>548</v>
      </c>
      <c r="K22" s="1287" t="s">
        <v>1122</v>
      </c>
      <c r="L22" s="1287" t="s">
        <v>1122</v>
      </c>
      <c r="M22" s="1287" t="s">
        <v>1122</v>
      </c>
      <c r="N22" s="1287" t="s">
        <v>548</v>
      </c>
      <c r="O22" s="1287" t="s">
        <v>548</v>
      </c>
      <c r="P22" s="1287" t="s">
        <v>548</v>
      </c>
      <c r="Q22" s="1287" t="s">
        <v>861</v>
      </c>
      <c r="R22" s="1287" t="s">
        <v>861</v>
      </c>
      <c r="S22" s="1287" t="s">
        <v>861</v>
      </c>
      <c r="T22" s="1287" t="s">
        <v>989</v>
      </c>
      <c r="U22" s="1287" t="s">
        <v>989</v>
      </c>
      <c r="V22" s="1287" t="s">
        <v>989</v>
      </c>
      <c r="W22" s="1287" t="s">
        <v>863</v>
      </c>
      <c r="X22" s="1287" t="s">
        <v>909</v>
      </c>
      <c r="Y22" s="1287" t="s">
        <v>909</v>
      </c>
      <c r="Z22" s="1287" t="s">
        <v>863</v>
      </c>
      <c r="AA22" s="1287" t="s">
        <v>909</v>
      </c>
      <c r="AB22" s="1287" t="s">
        <v>909</v>
      </c>
      <c r="AC22" s="1287" t="s">
        <v>1122</v>
      </c>
      <c r="AD22" s="1287" t="s">
        <v>548</v>
      </c>
      <c r="AE22" s="1287" t="s">
        <v>548</v>
      </c>
      <c r="AF22" s="1287" t="s">
        <v>1122</v>
      </c>
      <c r="AG22" s="1287" t="s">
        <v>548</v>
      </c>
      <c r="AH22" s="1287" t="s">
        <v>548</v>
      </c>
      <c r="AI22" s="1287" t="s">
        <v>548</v>
      </c>
      <c r="AJ22" s="1287" t="s">
        <v>1122</v>
      </c>
      <c r="AK22" s="1287" t="s">
        <v>1122</v>
      </c>
      <c r="AL22" s="1287" t="s">
        <v>548</v>
      </c>
      <c r="AM22" s="1287" t="s">
        <v>1122</v>
      </c>
      <c r="AN22" s="1287" t="s">
        <v>1122</v>
      </c>
      <c r="AO22" s="1287" t="s">
        <v>904</v>
      </c>
      <c r="AP22" s="1287" t="s">
        <v>548</v>
      </c>
      <c r="AQ22" s="1287" t="s">
        <v>548</v>
      </c>
      <c r="AR22" s="1287" t="s">
        <v>904</v>
      </c>
      <c r="AS22" s="1287" t="s">
        <v>548</v>
      </c>
      <c r="AT22" s="1287" t="s">
        <v>548</v>
      </c>
      <c r="AU22" s="1287" t="s">
        <v>548</v>
      </c>
      <c r="AV22" s="1287" t="s">
        <v>854</v>
      </c>
      <c r="AW22" s="1287" t="s">
        <v>854</v>
      </c>
      <c r="AX22" s="1287" t="s">
        <v>548</v>
      </c>
      <c r="AY22" s="1287" t="s">
        <v>854</v>
      </c>
      <c r="AZ22" s="1287" t="s">
        <v>854</v>
      </c>
      <c r="BA22" s="1287" t="s">
        <v>1122</v>
      </c>
      <c r="BB22" s="1287" t="s">
        <v>548</v>
      </c>
      <c r="BC22" s="1287" t="s">
        <v>548</v>
      </c>
      <c r="BD22" s="1287" t="s">
        <v>1122</v>
      </c>
      <c r="BE22" s="1287" t="s">
        <v>548</v>
      </c>
      <c r="BF22" s="1287" t="s">
        <v>548</v>
      </c>
      <c r="BG22" s="1287" t="s">
        <v>548</v>
      </c>
      <c r="BH22" s="1287" t="s">
        <v>863</v>
      </c>
      <c r="BI22" s="1287" t="s">
        <v>863</v>
      </c>
      <c r="BJ22" s="1287" t="s">
        <v>548</v>
      </c>
      <c r="BK22" s="1287" t="s">
        <v>863</v>
      </c>
      <c r="BL22" s="1287" t="s">
        <v>863</v>
      </c>
      <c r="BM22" s="1287" t="s">
        <v>548</v>
      </c>
      <c r="BN22" s="1287" t="s">
        <v>971</v>
      </c>
      <c r="BO22" s="1287" t="s">
        <v>971</v>
      </c>
      <c r="BP22" s="1287" t="s">
        <v>548</v>
      </c>
      <c r="BQ22" s="1287" t="s">
        <v>971</v>
      </c>
      <c r="BR22" s="1287" t="s">
        <v>971</v>
      </c>
      <c r="BS22" s="1478" t="s">
        <v>548</v>
      </c>
      <c r="BT22" s="1478" t="s">
        <v>973</v>
      </c>
      <c r="BU22" s="1478" t="s">
        <v>973</v>
      </c>
      <c r="BV22" s="1478" t="s">
        <v>548</v>
      </c>
      <c r="BW22" s="1478" t="s">
        <v>973</v>
      </c>
      <c r="BX22" s="1478" t="s">
        <v>973</v>
      </c>
      <c r="BY22" s="1287" t="s">
        <v>548</v>
      </c>
      <c r="BZ22" s="1287" t="s">
        <v>1123</v>
      </c>
      <c r="CA22" s="1287" t="s">
        <v>1123</v>
      </c>
      <c r="CB22" s="1287" t="s">
        <v>548</v>
      </c>
      <c r="CC22" s="1287" t="s">
        <v>1123</v>
      </c>
      <c r="CD22" s="1287" t="s">
        <v>1123</v>
      </c>
      <c r="CE22" s="1287" t="s">
        <v>548</v>
      </c>
      <c r="CF22" s="1287" t="s">
        <v>1124</v>
      </c>
      <c r="CG22" s="1287" t="s">
        <v>1124</v>
      </c>
      <c r="CH22" s="1287" t="s">
        <v>548</v>
      </c>
      <c r="CI22" s="1287" t="s">
        <v>1124</v>
      </c>
      <c r="CJ22" s="1287" t="s">
        <v>1124</v>
      </c>
      <c r="CK22" s="1287" t="s">
        <v>548</v>
      </c>
      <c r="CL22" s="1287" t="s">
        <v>1125</v>
      </c>
      <c r="CM22" s="1287" t="s">
        <v>1125</v>
      </c>
      <c r="CN22" s="1287" t="s">
        <v>548</v>
      </c>
      <c r="CO22" s="1287" t="s">
        <v>1125</v>
      </c>
      <c r="CP22" s="1287" t="s">
        <v>1125</v>
      </c>
      <c r="CQ22" s="1287" t="s">
        <v>548</v>
      </c>
      <c r="CR22" s="1287" t="s">
        <v>979</v>
      </c>
      <c r="CS22" s="1287" t="s">
        <v>979</v>
      </c>
      <c r="CT22" s="1287" t="s">
        <v>548</v>
      </c>
      <c r="CU22" s="1287" t="s">
        <v>979</v>
      </c>
      <c r="CV22" s="1287" t="s">
        <v>979</v>
      </c>
      <c r="CW22" s="1287" t="s">
        <v>1122</v>
      </c>
      <c r="CX22" s="1287" t="s">
        <v>548</v>
      </c>
      <c r="CY22" s="1287" t="s">
        <v>1122</v>
      </c>
      <c r="CZ22" s="1287" t="s">
        <v>1122</v>
      </c>
      <c r="DA22" s="1287" t="s">
        <v>548</v>
      </c>
      <c r="DB22" s="1287" t="s">
        <v>1122</v>
      </c>
      <c r="DC22" s="1287" t="s">
        <v>548</v>
      </c>
      <c r="DD22" s="1287" t="s">
        <v>548</v>
      </c>
      <c r="DE22" s="1287" t="s">
        <v>865</v>
      </c>
      <c r="DF22" s="1287" t="s">
        <v>548</v>
      </c>
      <c r="DG22" s="1287" t="s">
        <v>548</v>
      </c>
      <c r="DH22" s="1287" t="s">
        <v>865</v>
      </c>
      <c r="DI22" s="1287" t="s">
        <v>1122</v>
      </c>
      <c r="DJ22" s="1287" t="s">
        <v>548</v>
      </c>
      <c r="DK22" s="1287" t="s">
        <v>548</v>
      </c>
      <c r="DL22" s="1287" t="s">
        <v>1122</v>
      </c>
      <c r="DM22" s="1287" t="s">
        <v>548</v>
      </c>
      <c r="DN22" s="1287" t="s">
        <v>548</v>
      </c>
      <c r="DO22" s="1287" t="s">
        <v>548</v>
      </c>
      <c r="DP22" s="1287" t="s">
        <v>865</v>
      </c>
      <c r="DQ22" s="1287" t="s">
        <v>865</v>
      </c>
      <c r="DR22" s="1287" t="s">
        <v>548</v>
      </c>
      <c r="DS22" s="1287" t="s">
        <v>865</v>
      </c>
      <c r="DT22" s="1287" t="s">
        <v>865</v>
      </c>
      <c r="DU22" s="1287" t="s">
        <v>1122</v>
      </c>
      <c r="DV22" s="1287" t="s">
        <v>548</v>
      </c>
      <c r="DW22" s="1287" t="s">
        <v>548</v>
      </c>
      <c r="DX22" s="1287" t="s">
        <v>1122</v>
      </c>
      <c r="DY22" s="1287" t="s">
        <v>548</v>
      </c>
      <c r="DZ22" s="1287" t="s">
        <v>548</v>
      </c>
      <c r="EA22" s="1287" t="s">
        <v>949</v>
      </c>
      <c r="EB22" s="1287" t="s">
        <v>548</v>
      </c>
      <c r="EC22" s="1287" t="s">
        <v>982</v>
      </c>
      <c r="ED22" s="1287" t="s">
        <v>949</v>
      </c>
      <c r="EE22" s="1287" t="s">
        <v>548</v>
      </c>
      <c r="EF22" s="1287" t="s">
        <v>982</v>
      </c>
    </row>
    <row r="23" spans="2:136" x14ac:dyDescent="0.25">
      <c r="E23" s="1479" t="str">
        <f>CONCATENATE(E26,(SUBSTITUTE(E27," ","")),E28)</f>
        <v>UrbanNewConstruction2.2</v>
      </c>
      <c r="F23" s="1479" t="str">
        <f>CONCATENATE(F26,(SUBSTITUTE(F27," - ","")),F28)</f>
        <v>UrbanRehabModerate2.2</v>
      </c>
      <c r="G23" s="1479" t="str">
        <f>CONCATENATE(G26,(SUBSTITUTE(G27," - ","")),G28)</f>
        <v>UrbanRehabSubstantial2.2</v>
      </c>
      <c r="H23" s="1479" t="str">
        <f>CONCATENATE(H26,(SUBSTITUTE(H27," ","")),H28)</f>
        <v>RuralNewConstruction2.2</v>
      </c>
      <c r="I23" s="1479" t="str">
        <f>CONCATENATE(I26,(SUBSTITUTE(I27," - ","")),I28)</f>
        <v>RuralRehabModerate2.2</v>
      </c>
      <c r="J23" s="1479" t="str">
        <f>CONCATENATE(J26,(SUBSTITUTE(J27," - ","")),J28)</f>
        <v>RuralRehabSubstantial2.2</v>
      </c>
      <c r="K23" s="1479" t="str">
        <f>CONCATENATE(K26,(SUBSTITUTE(K27," ","")),K28)</f>
        <v>UrbanNewConstruction2.7A</v>
      </c>
      <c r="L23" s="1479" t="str">
        <f>CONCATENATE(L26,(SUBSTITUTE(L27," - ","")),L28)</f>
        <v>UrbanRehabModerate2.7A</v>
      </c>
      <c r="M23" s="1479" t="str">
        <f>CONCATENATE(M26,(SUBSTITUTE(M27," - ","")),M28)</f>
        <v>UrbanRehabSubstantial2.7A</v>
      </c>
      <c r="N23" s="1479" t="str">
        <f>CONCATENATE(N26,(SUBSTITUTE(N27," ","")),N28)</f>
        <v>RuralNewConstruction2.7A</v>
      </c>
      <c r="O23" s="1479" t="str">
        <f>CONCATENATE(O26,(SUBSTITUTE(O27," - ","")),O28)</f>
        <v>RuralRehabModerate2.7A</v>
      </c>
      <c r="P23" s="1479" t="str">
        <f>CONCATENATE(P26,(SUBSTITUTE(P27," - ","")),P28)</f>
        <v>RuralRehabSubstantial2.7A</v>
      </c>
      <c r="Q23" s="1479" t="str">
        <f>CONCATENATE(Q26,(SUBSTITUTE(Q27," ","")),Q28)</f>
        <v>UrbanNewConstruction2.7B</v>
      </c>
      <c r="R23" s="1479" t="str">
        <f>CONCATENATE(R26,(SUBSTITUTE(R27," - ","")),R28)</f>
        <v>UrbanRehabModerate2.7B</v>
      </c>
      <c r="S23" s="1479" t="str">
        <f>CONCATENATE(S26,(SUBSTITUTE(S27," - ","")),S28)</f>
        <v>UrbanRehabSubstantial2.7B</v>
      </c>
      <c r="T23" s="1479" t="str">
        <f>CONCATENATE(T26,(SUBSTITUTE(T27," ","")),T28)</f>
        <v>RuralNewConstruction2.7B</v>
      </c>
      <c r="U23" s="1479" t="str">
        <f>CONCATENATE(U26,(SUBSTITUTE(U27," - ","")),U28)</f>
        <v>RuralRehabModerate2.7B</v>
      </c>
      <c r="V23" s="1479" t="str">
        <f>CONCATENATE(V26,(SUBSTITUTE(V27," - ","")),V28)</f>
        <v>RuralRehabSubstantial2.7B</v>
      </c>
      <c r="W23" s="1479" t="str">
        <f>CONCATENATE(W26,(SUBSTITUTE(W27," ","")),W28)</f>
        <v>UrbanNewConstruction4.2</v>
      </c>
      <c r="X23" s="1479" t="str">
        <f>CONCATENATE(X26,(SUBSTITUTE(X27," - ","")),X28)</f>
        <v>UrbanRehabModerate4.2</v>
      </c>
      <c r="Y23" s="1479" t="str">
        <f>CONCATENATE(Y26,(SUBSTITUTE(Y27," - ","")),Y28)</f>
        <v>UrbanRehabSubstantial4.2</v>
      </c>
      <c r="Z23" s="1479" t="str">
        <f>CONCATENATE(Z26,(SUBSTITUTE(Z27," ","")),Z28)</f>
        <v>RuralNewConstruction4.2</v>
      </c>
      <c r="AA23" s="1479" t="str">
        <f>CONCATENATE(AA26,(SUBSTITUTE(AA27," - ","")),AA28)</f>
        <v>RuralRehabModerate4.2</v>
      </c>
      <c r="AB23" s="1479" t="str">
        <f>CONCATENATE(AB26,(SUBSTITUTE(AB27," - ","")),AB28)</f>
        <v>RuralRehabSubstantial4.2</v>
      </c>
      <c r="AC23" s="1479" t="str">
        <f>CONCATENATE(AC26,(SUBSTITUTE(AC27," ","")),AC28)</f>
        <v>UrbanNewConstruction5.1A</v>
      </c>
      <c r="AD23" s="1479" t="str">
        <f>CONCATENATE(AD26,(SUBSTITUTE(AD27," - ","")),AD28)</f>
        <v>UrbanRehabModerate5.1A</v>
      </c>
      <c r="AE23" s="1479" t="str">
        <f>CONCATENATE(AE26,(SUBSTITUTE(AE27," - ","")),AE28)</f>
        <v>UrbanRehabSubstantial5.1A</v>
      </c>
      <c r="AF23" s="1479" t="str">
        <f>CONCATENATE(AF26,(SUBSTITUTE(AF27," ","")),AF28)</f>
        <v>RuralNewConstruction5.1A</v>
      </c>
      <c r="AG23" s="1479" t="str">
        <f>CONCATENATE(AG26,(SUBSTITUTE(AG27," - ","")),AG28)</f>
        <v>RuralRehabModerate5.1A</v>
      </c>
      <c r="AH23" s="1479" t="str">
        <f>CONCATENATE(AH26,(SUBSTITUTE(AH27," - ","")),AH28)</f>
        <v>RuralRehabSubstantial5.1A</v>
      </c>
      <c r="AI23" s="1479" t="str">
        <f>CONCATENATE(AI26,(SUBSTITUTE(AI27," ","")),AI28)</f>
        <v>UrbanNewConstruction5.1B</v>
      </c>
      <c r="AJ23" s="1479" t="str">
        <f>CONCATENATE(AJ26,(SUBSTITUTE(AJ27," - ","")),AJ28)</f>
        <v>UrbanRehabModerate5.1B</v>
      </c>
      <c r="AK23" s="1479" t="str">
        <f>CONCATENATE(AK26,(SUBSTITUTE(AK27," - ","")),AK28)</f>
        <v>UrbanRehabSubstantial5.1B</v>
      </c>
      <c r="AL23" s="1479" t="str">
        <f>CONCATENATE(AL26,(SUBSTITUTE(AL27," ","")),AL28)</f>
        <v>RuralNewConstruction5.1B</v>
      </c>
      <c r="AM23" s="1479" t="str">
        <f>CONCATENATE(AM26,(SUBSTITUTE(AM27," - ","")),AM28)</f>
        <v>RuralRehabModerate5.1B</v>
      </c>
      <c r="AN23" s="1479" t="str">
        <f>CONCATENATE(AN26,(SUBSTITUTE(AN27," - ","")),AN28)</f>
        <v>RuralRehabSubstantial5.1B</v>
      </c>
      <c r="AO23" s="1479" t="str">
        <f>CONCATENATE(AO26,(SUBSTITUTE(AO27," ","")),AO28)</f>
        <v>UrbanNewConstruction5.2A</v>
      </c>
      <c r="AP23" s="1479" t="str">
        <f>CONCATENATE(AP26,(SUBSTITUTE(AP27," - ","")),AP28)</f>
        <v>UrbanRehabModerate5.2A</v>
      </c>
      <c r="AQ23" s="1479" t="str">
        <f>CONCATENATE(AQ26,(SUBSTITUTE(AQ27," - ","")),AQ28)</f>
        <v>UrbanRehabSubstantial5.2A</v>
      </c>
      <c r="AR23" s="1479" t="str">
        <f>CONCATENATE(AR26,(SUBSTITUTE(AR27," ","")),AR28)</f>
        <v>RuralNewConstruction5.2A</v>
      </c>
      <c r="AS23" s="1479" t="str">
        <f>CONCATENATE(AS26,(SUBSTITUTE(AS27," - ","")),AS28)</f>
        <v>RuralRehabModerate5.2A</v>
      </c>
      <c r="AT23" s="1479" t="str">
        <f>CONCATENATE(AT26,(SUBSTITUTE(AT27," - ","")),AT28)</f>
        <v>RuralRehabSubstantial5.2A</v>
      </c>
      <c r="AU23" s="1479" t="str">
        <f>CONCATENATE(AU26,(SUBSTITUTE(AU27," ","")),AU28)</f>
        <v>UrbanNewConstruction5.2B</v>
      </c>
      <c r="AV23" s="1479" t="str">
        <f>CONCATENATE(AV26,(SUBSTITUTE(AV27," - ","")),AV28)</f>
        <v>UrbanRehabModerate5.2B</v>
      </c>
      <c r="AW23" s="1479" t="str">
        <f>CONCATENATE(AW26,(SUBSTITUTE(AW27," - ","")),AW28)</f>
        <v>UrbanRehabSubstantial5.2B</v>
      </c>
      <c r="AX23" s="1479" t="str">
        <f>CONCATENATE(AX26,(SUBSTITUTE(AX27," ","")),AX28)</f>
        <v>RuralNewConstruction5.2B</v>
      </c>
      <c r="AY23" s="1479" t="str">
        <f>CONCATENATE(AY26,(SUBSTITUTE(AY27," - ","")),AY28)</f>
        <v>RuralRehabModerate5.2B</v>
      </c>
      <c r="AZ23" s="1479" t="str">
        <f>CONCATENATE(AZ26,(SUBSTITUTE(AZ27," - ","")),AZ28)</f>
        <v>RuralRehabSubstantial5.2B</v>
      </c>
      <c r="BA23" s="1479" t="str">
        <f>CONCATENATE(BA26,(SUBSTITUTE(BA27," ","")),BA28)</f>
        <v>UrbanNewConstruction5.7A</v>
      </c>
      <c r="BB23" s="1479" t="str">
        <f>CONCATENATE(BB26,(SUBSTITUTE(BB27," - ","")),BB28)</f>
        <v>UrbanRehabModerate5.7A</v>
      </c>
      <c r="BC23" s="1479" t="str">
        <f>CONCATENATE(BC26,(SUBSTITUTE(BC27," - ","")),BC28)</f>
        <v>UrbanRehabSubstantial5.7A</v>
      </c>
      <c r="BD23" s="1479" t="str">
        <f>CONCATENATE(BD26,(SUBSTITUTE(BD27," ","")),BD28)</f>
        <v>RuralNewConstruction5.7A</v>
      </c>
      <c r="BE23" s="1479" t="str">
        <f>CONCATENATE(BE26,(SUBSTITUTE(BE27," - ","")),BE28)</f>
        <v>RuralRehabModerate5.7A</v>
      </c>
      <c r="BF23" s="1479" t="str">
        <f>CONCATENATE(BF26,(SUBSTITUTE(BF27," - ","")),BF28)</f>
        <v>RuralRehabSubstantial5.7A</v>
      </c>
      <c r="BG23" s="1479" t="str">
        <f>CONCATENATE(BG26,(SUBSTITUTE(BG27," ","")),BG28)</f>
        <v>UrbanNewConstruction5.7B</v>
      </c>
      <c r="BH23" s="1479" t="str">
        <f>CONCATENATE(BH26,(SUBSTITUTE(BH27," - ","")),BH28)</f>
        <v>UrbanRehabModerate5.7B</v>
      </c>
      <c r="BI23" s="1479" t="str">
        <f>CONCATENATE(BI26,(SUBSTITUTE(BI27," - ","")),BI28)</f>
        <v>UrbanRehabSubstantial5.7B</v>
      </c>
      <c r="BJ23" s="1479" t="str">
        <f>CONCATENATE(BJ26,(SUBSTITUTE(BJ27," ","")),BJ28)</f>
        <v>RuralNewConstruction5.7B</v>
      </c>
      <c r="BK23" s="1479" t="str">
        <f>CONCATENATE(BK26,(SUBSTITUTE(BK27," - ","")),BK28)</f>
        <v>RuralRehabModerate5.7B</v>
      </c>
      <c r="BL23" s="1479" t="str">
        <f>CONCATENATE(BL26,(SUBSTITUTE(BL27," - ","")),BL28)</f>
        <v>RuralRehabSubstantial5.7B</v>
      </c>
      <c r="BM23" s="1479" t="str">
        <f>CONCATENATE(BM26,(SUBSTITUTE(BM27," ","")),BM28)</f>
        <v>UrbanNewConstruction5.8A</v>
      </c>
      <c r="BN23" s="1479" t="str">
        <f>CONCATENATE(BN26,(SUBSTITUTE(BN27," - ","")),BN28)</f>
        <v>UrbanRehabModerate5.8A</v>
      </c>
      <c r="BO23" s="1479" t="str">
        <f>CONCATENATE(BO26,(SUBSTITUTE(BO27," - ","")),BO28)</f>
        <v>UrbanRehabSubstantial5.8A</v>
      </c>
      <c r="BP23" s="1479" t="str">
        <f>CONCATENATE(BP26,(SUBSTITUTE(BP27," ","")),BP28)</f>
        <v>RuralNewConstruction5.8A</v>
      </c>
      <c r="BQ23" s="1479" t="str">
        <f>CONCATENATE(BQ26,(SUBSTITUTE(BQ27," - ","")),BQ28)</f>
        <v>RuralRehabModerate5.8A</v>
      </c>
      <c r="BR23" s="1479" t="str">
        <f>CONCATENATE(BR26,(SUBSTITUTE(BR27," - ","")),BR28)</f>
        <v>RuralRehabSubstantial5.8A</v>
      </c>
      <c r="BS23" s="1479" t="str">
        <f>CONCATENATE(BS26,(SUBSTITUTE(BS27," ","")),BS28)</f>
        <v>UrbanNewConstruction5.8C</v>
      </c>
      <c r="BT23" s="1479" t="str">
        <f>CONCATENATE(BT26,(SUBSTITUTE(BT27," - ","")),BT28)</f>
        <v>UrbanRehabModerate5.8C</v>
      </c>
      <c r="BU23" s="1479" t="str">
        <f>CONCATENATE(BU26,(SUBSTITUTE(BU27," - ","")),BU28)</f>
        <v>UrbanRehabSubstantial5.8C</v>
      </c>
      <c r="BV23" s="1479" t="str">
        <f>CONCATENATE(BV26,(SUBSTITUTE(BV27," ","")),BV28)</f>
        <v>RuralNewConstruction5.8C</v>
      </c>
      <c r="BW23" s="1479" t="str">
        <f>CONCATENATE(BW26,(SUBSTITUTE(BW27," - ","")),BW28)</f>
        <v>RuralRehabModerate5.8C</v>
      </c>
      <c r="BX23" s="1479" t="str">
        <f>CONCATENATE(BX26,(SUBSTITUTE(BX27," - ","")),BX28)</f>
        <v>RuralRehabSubstantial5.8C</v>
      </c>
      <c r="BY23" s="1479" t="str">
        <f>CONCATENATE(BY26,(SUBSTITUTE(BY27," ","")),BY28)</f>
        <v>UrbanNewConstruction5.1</v>
      </c>
      <c r="BZ23" s="1479" t="str">
        <f>CONCATENATE(BZ26,(SUBSTITUTE(BZ27," - ","")),BZ28)</f>
        <v>UrbanRehabModerate5.1</v>
      </c>
      <c r="CA23" s="1479" t="str">
        <f>CONCATENATE(CA26,(SUBSTITUTE(CA27," - ","")),CA28)</f>
        <v>UrbanRehabSubstantial5.1</v>
      </c>
      <c r="CB23" s="1479" t="str">
        <f>CONCATENATE(CB26,(SUBSTITUTE(CB27," ","")),CB28)</f>
        <v>RuralNewConstruction5.1</v>
      </c>
      <c r="CC23" s="1479" t="str">
        <f>CONCATENATE(CC26,(SUBSTITUTE(CC27," - ","")),CC28)</f>
        <v>RuralRehabModerate5.1</v>
      </c>
      <c r="CD23" s="1479" t="str">
        <f>CONCATENATE(CD26,(SUBSTITUTE(CD27," - ","")),CD28)</f>
        <v>RuralRehabSubstantial5.1</v>
      </c>
      <c r="CE23" s="1479" t="str">
        <f>CONCATENATE(CE26,(SUBSTITUTE(CE27," ","")),CE28)</f>
        <v>UrbanNewConstruction5.11</v>
      </c>
      <c r="CF23" s="1479" t="str">
        <f>CONCATENATE(CF26,(SUBSTITUTE(CF27," - ","")),CF28)</f>
        <v>UrbanRehabModerate5.11</v>
      </c>
      <c r="CG23" s="1479" t="str">
        <f>CONCATENATE(CG26,(SUBSTITUTE(CG27," - ","")),CG28)</f>
        <v>UrbanRehabSubstantial5.11</v>
      </c>
      <c r="CH23" s="1479" t="str">
        <f>CONCATENATE(CH26,(SUBSTITUTE(CH27," ","")),CH28)</f>
        <v>RuralNewConstruction5.11</v>
      </c>
      <c r="CI23" s="1479" t="str">
        <f>CONCATENATE(CI26,(SUBSTITUTE(CI27," - ","")),CI28)</f>
        <v>RuralRehabModerate5.11</v>
      </c>
      <c r="CJ23" s="1479" t="str">
        <f>CONCATENATE(CJ26,(SUBSTITUTE(CJ27," - ","")),CJ28)</f>
        <v>RuralRehabSubstantial5.11</v>
      </c>
      <c r="CK23" s="1479" t="str">
        <f>CONCATENATE(CK26,(SUBSTITUTE(CK27," ","")),CK28)</f>
        <v>UrbanNewConstruction5.12</v>
      </c>
      <c r="CL23" s="1479" t="str">
        <f>CONCATENATE(CL26,(SUBSTITUTE(CL27," - ","")),CL28)</f>
        <v>UrbanRehabModerate5.12</v>
      </c>
      <c r="CM23" s="1479" t="str">
        <f>CONCATENATE(CM26,(SUBSTITUTE(CM27," - ","")),CM28)</f>
        <v>UrbanRehabSubstantial5.12</v>
      </c>
      <c r="CN23" s="1479" t="str">
        <f>CONCATENATE(CN26,(SUBSTITUTE(CN27," ","")),CN28)</f>
        <v>RuralNewConstruction5.12</v>
      </c>
      <c r="CO23" s="1479" t="str">
        <f>CONCATENATE(CO26,(SUBSTITUTE(CO27," - ","")),CO28)</f>
        <v>RuralRehabModerate5.12</v>
      </c>
      <c r="CP23" s="1479" t="str">
        <f>CONCATENATE(CP26,(SUBSTITUTE(CP27," - ","")),CP28)</f>
        <v>RuralRehabSubstantial5.12</v>
      </c>
      <c r="CQ23" s="1479" t="str">
        <f>CONCATENATE(CQ26,(SUBSTITUTE(CQ27," ","")),CQ28)</f>
        <v>UrbanNewConstruction5.13</v>
      </c>
      <c r="CR23" s="1479" t="str">
        <f>CONCATENATE(CR26,(SUBSTITUTE(CR27," - ","")),CR28)</f>
        <v>UrbanRehabModerate5.13</v>
      </c>
      <c r="CS23" s="1479" t="str">
        <f>CONCATENATE(CS26,(SUBSTITUTE(CS27," - ","")),CS28)</f>
        <v>UrbanRehabSubstantial5.13</v>
      </c>
      <c r="CT23" s="1479" t="str">
        <f>CONCATENATE(CT26,(SUBSTITUTE(CT27," ","")),CT28)</f>
        <v>RuralNewConstruction5.13</v>
      </c>
      <c r="CU23" s="1479" t="str">
        <f>CONCATENATE(CU26,(SUBSTITUTE(CU27," - ","")),CU28)</f>
        <v>RuralRehabModerate5.13</v>
      </c>
      <c r="CV23" s="1479" t="str">
        <f>CONCATENATE(CV26,(SUBSTITUTE(CV27," - ","")),CV28)</f>
        <v>RuralRehabSubstantial5.13</v>
      </c>
      <c r="CW23" s="1479" t="str">
        <f>CONCATENATE(CW26,(SUBSTITUTE(CW27," ","")),CW28)</f>
        <v>UrbanNewConstruction7.3A</v>
      </c>
      <c r="CX23" s="1479" t="str">
        <f>CONCATENATE(CX26,(SUBSTITUTE(CX27," - ","")),CX28)</f>
        <v>UrbanRehabModerate7.3A</v>
      </c>
      <c r="CY23" s="1479" t="str">
        <f>CONCATENATE(CY26,(SUBSTITUTE(CY27," - ","")),CY28)</f>
        <v>UrbanRehabSubstantial7.3A</v>
      </c>
      <c r="CZ23" s="1479" t="str">
        <f>CONCATENATE(CZ26,(SUBSTITUTE(CZ27," ","")),CZ28)</f>
        <v>RuralNewConstruction7.3A</v>
      </c>
      <c r="DA23" s="1479" t="str">
        <f>CONCATENATE(DA26,(SUBSTITUTE(DA27," - ","")),DA28)</f>
        <v>RuralRehabModerate7.3A</v>
      </c>
      <c r="DB23" s="1479" t="str">
        <f>CONCATENATE(DB26,(SUBSTITUTE(DB27," - ","")),DB28)</f>
        <v>RuralRehabSubstantial7.3A</v>
      </c>
      <c r="DC23" s="1479" t="str">
        <f>CONCATENATE(DC26,(SUBSTITUTE(DC27," ","")),DC28)</f>
        <v>UrbanNewConstruction7.3B</v>
      </c>
      <c r="DD23" s="1479" t="str">
        <f>CONCATENATE(DD26,(SUBSTITUTE(DD27," - ","")),DD28)</f>
        <v>UrbanRehabModerate7.3B</v>
      </c>
      <c r="DE23" s="1479" t="str">
        <f>CONCATENATE(DE26,(SUBSTITUTE(DE27," - ","")),DE28)</f>
        <v>UrbanRehabSubstantial7.3B</v>
      </c>
      <c r="DF23" s="1479" t="str">
        <f>CONCATENATE(DF26,(SUBSTITUTE(DF27," ","")),DF28)</f>
        <v>RuralNewConstruction7.3B</v>
      </c>
      <c r="DG23" s="1479" t="str">
        <f>CONCATENATE(DG26,(SUBSTITUTE(DG27," - ","")),DG28)</f>
        <v>RuralRehabModerate7.3B</v>
      </c>
      <c r="DH23" s="1479" t="str">
        <f>CONCATENATE(DH26,(SUBSTITUTE(DH27," - ","")),DH28)</f>
        <v>RuralRehabSubstantial7.3B</v>
      </c>
      <c r="DI23" s="1479" t="str">
        <f>CONCATENATE(DI26,(SUBSTITUTE(DI27," ","")),DI28)</f>
        <v>UrbanNewConstruction7.4A</v>
      </c>
      <c r="DJ23" s="1479" t="str">
        <f>CONCATENATE(DJ26,(SUBSTITUTE(DJ27," - ","")),DJ28)</f>
        <v>UrbanRehabModerate7.4A</v>
      </c>
      <c r="DK23" s="1479" t="str">
        <f>CONCATENATE(DK26,(SUBSTITUTE(DK27," - ","")),DK28)</f>
        <v>UrbanRehabSubstantial7.4A</v>
      </c>
      <c r="DL23" s="1479" t="str">
        <f>CONCATENATE(DL26,(SUBSTITUTE(DL27," ","")),DL28)</f>
        <v>RuralNewConstruction7.4A</v>
      </c>
      <c r="DM23" s="1479" t="str">
        <f>CONCATENATE(DM26,(SUBSTITUTE(DM27," - ","")),DM28)</f>
        <v>RuralRehabModerate7.4A</v>
      </c>
      <c r="DN23" s="1479" t="str">
        <f>CONCATENATE(DN26,(SUBSTITUTE(DN27," - ","")),DN28)</f>
        <v>RuralRehabSubstantial7.4A</v>
      </c>
      <c r="DO23" s="1479" t="str">
        <f>CONCATENATE(DO26,(SUBSTITUTE(DO27," ","")),DO28)</f>
        <v>UrbanNewConstruction7.4B</v>
      </c>
      <c r="DP23" s="1479" t="str">
        <f>CONCATENATE(DP26,(SUBSTITUTE(DP27," - ","")),DP28)</f>
        <v>UrbanRehabModerate7.4B</v>
      </c>
      <c r="DQ23" s="1479" t="str">
        <f>CONCATENATE(DQ26,(SUBSTITUTE(DQ27," - ","")),DQ28)</f>
        <v>UrbanRehabSubstantial7.4B</v>
      </c>
      <c r="DR23" s="1479" t="str">
        <f>CONCATENATE(DR26,(SUBSTITUTE(DR27," ","")),DR28)</f>
        <v>RuralNewConstruction7.4B</v>
      </c>
      <c r="DS23" s="1479" t="str">
        <f>CONCATENATE(DS26,(SUBSTITUTE(DS27," - ","")),DS28)</f>
        <v>RuralRehabModerate7.4B</v>
      </c>
      <c r="DT23" s="1479" t="str">
        <f>CONCATENATE(DT26,(SUBSTITUTE(DT27," - ","")),DT28)</f>
        <v>RuralRehabSubstantial7.4B</v>
      </c>
      <c r="DU23" s="1479" t="str">
        <f>CONCATENATE(DU26,(SUBSTITUTE(DU27," ","")),DU28)</f>
        <v>UrbanNewConstruction7.13A</v>
      </c>
      <c r="DV23" s="1479" t="str">
        <f>CONCATENATE(DV26,(SUBSTITUTE(DV27," - ","")),DV28)</f>
        <v>UrbanRehabModerate7.13A</v>
      </c>
      <c r="DW23" s="1479" t="str">
        <f>CONCATENATE(DW26,(SUBSTITUTE(DW27," - ","")),DW28)</f>
        <v>UrbanRehabSubstantial7.13A</v>
      </c>
      <c r="DX23" s="1479" t="str">
        <f>CONCATENATE(DX26,(SUBSTITUTE(DX27," ","")),DX28)</f>
        <v>RuralNewConstruction7.13A</v>
      </c>
      <c r="DY23" s="1479" t="str">
        <f>CONCATENATE(DY26,(SUBSTITUTE(DY27," - ","")),DY28)</f>
        <v>RuralRehabModerate7.13A</v>
      </c>
      <c r="DZ23" s="1479" t="str">
        <f>CONCATENATE(DZ26,(SUBSTITUTE(DZ27," - ","")),DZ28)</f>
        <v>RuralRehabSubstantial7.13A</v>
      </c>
      <c r="EA23" s="1479" t="str">
        <f>CONCATENATE(EA26,(SUBSTITUTE(EA27," ","")),EA28)</f>
        <v>UrbanNewConstruction7.13B</v>
      </c>
      <c r="EB23" s="1479" t="str">
        <f>CONCATENATE(EB26,(SUBSTITUTE(EB27," - ","")),EB28)</f>
        <v>UrbanRehabModerate7.13B</v>
      </c>
      <c r="EC23" s="1479" t="str">
        <f>CONCATENATE(EC26,(SUBSTITUTE(EC27," - ","")),EC28)</f>
        <v>UrbanRehabSubstantial7.13B</v>
      </c>
      <c r="ED23" s="1479" t="str">
        <f>CONCATENATE(ED26,(SUBSTITUTE(ED27," ","")),ED28)</f>
        <v>RuralNewConstruction7.13B</v>
      </c>
      <c r="EE23" s="1479" t="str">
        <f>CONCATENATE(EE26,(SUBSTITUTE(EE27," - ","")),EE28)</f>
        <v>RuralRehabModerate7.13B</v>
      </c>
      <c r="EF23" s="1479" t="str">
        <f>CONCATENATE(EF26,(SUBSTITUTE(EF27," - ","")),EF28)</f>
        <v>RuralRehabSubstantial7.13B</v>
      </c>
    </row>
    <row r="24" spans="2:136" ht="30" x14ac:dyDescent="0.25">
      <c r="D24" s="1287" t="s">
        <v>1126</v>
      </c>
    </row>
    <row r="25" spans="2:136" x14ac:dyDescent="0.25">
      <c r="D25" s="728" t="s">
        <v>1127</v>
      </c>
    </row>
    <row r="26" spans="2:136" x14ac:dyDescent="0.25">
      <c r="E26" s="1480" t="s">
        <v>836</v>
      </c>
      <c r="F26" s="1480" t="s">
        <v>836</v>
      </c>
      <c r="G26" s="1480" t="s">
        <v>836</v>
      </c>
      <c r="H26" s="1479" t="s">
        <v>835</v>
      </c>
      <c r="I26" s="1479" t="s">
        <v>835</v>
      </c>
      <c r="J26" s="1479" t="s">
        <v>835</v>
      </c>
      <c r="K26" s="1480" t="s">
        <v>836</v>
      </c>
      <c r="L26" s="1480" t="s">
        <v>836</v>
      </c>
      <c r="M26" s="1480" t="s">
        <v>836</v>
      </c>
      <c r="N26" s="1479" t="s">
        <v>835</v>
      </c>
      <c r="O26" s="1479" t="s">
        <v>835</v>
      </c>
      <c r="P26" s="1479" t="s">
        <v>835</v>
      </c>
      <c r="Q26" s="1480" t="s">
        <v>836</v>
      </c>
      <c r="R26" s="1480" t="s">
        <v>836</v>
      </c>
      <c r="S26" s="1480" t="s">
        <v>836</v>
      </c>
      <c r="T26" s="1479" t="s">
        <v>835</v>
      </c>
      <c r="U26" s="1479" t="s">
        <v>835</v>
      </c>
      <c r="V26" s="1479" t="s">
        <v>835</v>
      </c>
      <c r="W26" s="1480" t="s">
        <v>836</v>
      </c>
      <c r="X26" s="1480" t="s">
        <v>836</v>
      </c>
      <c r="Y26" s="1480" t="s">
        <v>836</v>
      </c>
      <c r="Z26" s="1479" t="s">
        <v>835</v>
      </c>
      <c r="AA26" s="1479" t="s">
        <v>835</v>
      </c>
      <c r="AB26" s="1479" t="s">
        <v>835</v>
      </c>
      <c r="AC26" s="1480" t="s">
        <v>836</v>
      </c>
      <c r="AD26" s="1480" t="s">
        <v>836</v>
      </c>
      <c r="AE26" s="1480" t="s">
        <v>836</v>
      </c>
      <c r="AF26" s="1479" t="s">
        <v>835</v>
      </c>
      <c r="AG26" s="1479" t="s">
        <v>835</v>
      </c>
      <c r="AH26" s="1479" t="s">
        <v>835</v>
      </c>
      <c r="AI26" s="1480" t="s">
        <v>836</v>
      </c>
      <c r="AJ26" s="1480" t="s">
        <v>836</v>
      </c>
      <c r="AK26" s="1480" t="s">
        <v>836</v>
      </c>
      <c r="AL26" s="1479" t="s">
        <v>835</v>
      </c>
      <c r="AM26" s="1479" t="s">
        <v>835</v>
      </c>
      <c r="AN26" s="1479" t="s">
        <v>835</v>
      </c>
      <c r="AO26" s="1480" t="s">
        <v>836</v>
      </c>
      <c r="AP26" s="1480" t="s">
        <v>836</v>
      </c>
      <c r="AQ26" s="1480" t="s">
        <v>836</v>
      </c>
      <c r="AR26" s="1479" t="s">
        <v>835</v>
      </c>
      <c r="AS26" s="1479" t="s">
        <v>835</v>
      </c>
      <c r="AT26" s="1479" t="s">
        <v>835</v>
      </c>
      <c r="AU26" s="1480" t="s">
        <v>836</v>
      </c>
      <c r="AV26" s="1480" t="s">
        <v>836</v>
      </c>
      <c r="AW26" s="1480" t="s">
        <v>836</v>
      </c>
      <c r="AX26" s="1479" t="s">
        <v>835</v>
      </c>
      <c r="AY26" s="1479" t="s">
        <v>835</v>
      </c>
      <c r="AZ26" s="1479" t="s">
        <v>835</v>
      </c>
      <c r="BA26" s="1480" t="s">
        <v>836</v>
      </c>
      <c r="BB26" s="1480" t="s">
        <v>836</v>
      </c>
      <c r="BC26" s="1480" t="s">
        <v>836</v>
      </c>
      <c r="BD26" s="1479" t="s">
        <v>835</v>
      </c>
      <c r="BE26" s="1479" t="s">
        <v>835</v>
      </c>
      <c r="BF26" s="1479" t="s">
        <v>835</v>
      </c>
      <c r="BG26" s="1480" t="s">
        <v>836</v>
      </c>
      <c r="BH26" s="1480" t="s">
        <v>836</v>
      </c>
      <c r="BI26" s="1480" t="s">
        <v>836</v>
      </c>
      <c r="BJ26" s="1479" t="s">
        <v>835</v>
      </c>
      <c r="BK26" s="1479" t="s">
        <v>835</v>
      </c>
      <c r="BL26" s="1479" t="s">
        <v>835</v>
      </c>
      <c r="BM26" s="1480" t="s">
        <v>836</v>
      </c>
      <c r="BN26" s="1480" t="s">
        <v>836</v>
      </c>
      <c r="BO26" s="1480" t="s">
        <v>836</v>
      </c>
      <c r="BP26" s="1479" t="s">
        <v>835</v>
      </c>
      <c r="BQ26" s="1479" t="s">
        <v>835</v>
      </c>
      <c r="BR26" s="1479" t="s">
        <v>835</v>
      </c>
      <c r="BS26" s="1480" t="s">
        <v>836</v>
      </c>
      <c r="BT26" s="1480" t="s">
        <v>836</v>
      </c>
      <c r="BU26" s="1480" t="s">
        <v>836</v>
      </c>
      <c r="BV26" s="1479" t="s">
        <v>835</v>
      </c>
      <c r="BW26" s="1479" t="s">
        <v>835</v>
      </c>
      <c r="BX26" s="1479" t="s">
        <v>835</v>
      </c>
      <c r="BY26" s="1480" t="s">
        <v>836</v>
      </c>
      <c r="BZ26" s="1480" t="s">
        <v>836</v>
      </c>
      <c r="CA26" s="1480" t="s">
        <v>836</v>
      </c>
      <c r="CB26" s="1479" t="s">
        <v>835</v>
      </c>
      <c r="CC26" s="1479" t="s">
        <v>835</v>
      </c>
      <c r="CD26" s="1479" t="s">
        <v>835</v>
      </c>
      <c r="CE26" s="1480" t="s">
        <v>836</v>
      </c>
      <c r="CF26" s="1480" t="s">
        <v>836</v>
      </c>
      <c r="CG26" s="1480" t="s">
        <v>836</v>
      </c>
      <c r="CH26" s="1479" t="s">
        <v>835</v>
      </c>
      <c r="CI26" s="1479" t="s">
        <v>835</v>
      </c>
      <c r="CJ26" s="1479" t="s">
        <v>835</v>
      </c>
      <c r="CK26" s="1480" t="s">
        <v>836</v>
      </c>
      <c r="CL26" s="1480" t="s">
        <v>836</v>
      </c>
      <c r="CM26" s="1480" t="s">
        <v>836</v>
      </c>
      <c r="CN26" s="1479" t="s">
        <v>835</v>
      </c>
      <c r="CO26" s="1479" t="s">
        <v>835</v>
      </c>
      <c r="CP26" s="1479" t="s">
        <v>835</v>
      </c>
      <c r="CQ26" s="1480" t="s">
        <v>836</v>
      </c>
      <c r="CR26" s="1480" t="s">
        <v>836</v>
      </c>
      <c r="CS26" s="1480" t="s">
        <v>836</v>
      </c>
      <c r="CT26" s="1479" t="s">
        <v>835</v>
      </c>
      <c r="CU26" s="1479" t="s">
        <v>835</v>
      </c>
      <c r="CV26" s="1479" t="s">
        <v>835</v>
      </c>
      <c r="CW26" s="1480" t="s">
        <v>836</v>
      </c>
      <c r="CX26" s="1480" t="s">
        <v>836</v>
      </c>
      <c r="CY26" s="1480" t="s">
        <v>836</v>
      </c>
      <c r="CZ26" s="1479" t="s">
        <v>835</v>
      </c>
      <c r="DA26" s="1479" t="s">
        <v>835</v>
      </c>
      <c r="DB26" s="1479" t="s">
        <v>835</v>
      </c>
      <c r="DC26" s="1480" t="s">
        <v>836</v>
      </c>
      <c r="DD26" s="1480" t="s">
        <v>836</v>
      </c>
      <c r="DE26" s="1480" t="s">
        <v>836</v>
      </c>
      <c r="DF26" s="1479" t="s">
        <v>835</v>
      </c>
      <c r="DG26" s="1479" t="s">
        <v>835</v>
      </c>
      <c r="DH26" s="1479" t="s">
        <v>835</v>
      </c>
      <c r="DI26" s="1480" t="s">
        <v>836</v>
      </c>
      <c r="DJ26" s="1480" t="s">
        <v>836</v>
      </c>
      <c r="DK26" s="1480" t="s">
        <v>836</v>
      </c>
      <c r="DL26" s="1479" t="s">
        <v>835</v>
      </c>
      <c r="DM26" s="1479" t="s">
        <v>835</v>
      </c>
      <c r="DN26" s="1479" t="s">
        <v>835</v>
      </c>
      <c r="DO26" s="1480" t="s">
        <v>836</v>
      </c>
      <c r="DP26" s="1480" t="s">
        <v>836</v>
      </c>
      <c r="DQ26" s="1480" t="s">
        <v>836</v>
      </c>
      <c r="DR26" s="1479" t="s">
        <v>835</v>
      </c>
      <c r="DS26" s="1479" t="s">
        <v>835</v>
      </c>
      <c r="DT26" s="1479" t="s">
        <v>835</v>
      </c>
      <c r="DU26" s="1480" t="s">
        <v>836</v>
      </c>
      <c r="DV26" s="1480" t="s">
        <v>836</v>
      </c>
      <c r="DW26" s="1480" t="s">
        <v>836</v>
      </c>
      <c r="DX26" s="1479" t="s">
        <v>835</v>
      </c>
      <c r="DY26" s="1479" t="s">
        <v>835</v>
      </c>
      <c r="DZ26" s="1479" t="s">
        <v>835</v>
      </c>
      <c r="EA26" s="1480" t="s">
        <v>836</v>
      </c>
      <c r="EB26" s="1480" t="s">
        <v>836</v>
      </c>
      <c r="EC26" s="1480" t="s">
        <v>836</v>
      </c>
      <c r="ED26" s="1479" t="s">
        <v>835</v>
      </c>
      <c r="EE26" s="1479" t="s">
        <v>835</v>
      </c>
      <c r="EF26" s="1479" t="s">
        <v>835</v>
      </c>
    </row>
    <row r="27" spans="2:136" x14ac:dyDescent="0.25">
      <c r="E27" s="728" t="s">
        <v>28</v>
      </c>
      <c r="F27" s="728" t="s">
        <v>1128</v>
      </c>
      <c r="G27" s="728" t="s">
        <v>1129</v>
      </c>
      <c r="H27" s="728" t="s">
        <v>28</v>
      </c>
      <c r="I27" s="728" t="s">
        <v>1128</v>
      </c>
      <c r="J27" s="728" t="s">
        <v>1129</v>
      </c>
      <c r="K27" s="728" t="s">
        <v>28</v>
      </c>
      <c r="L27" s="728" t="s">
        <v>1128</v>
      </c>
      <c r="M27" s="728" t="s">
        <v>1129</v>
      </c>
      <c r="N27" s="728" t="s">
        <v>28</v>
      </c>
      <c r="O27" s="728" t="s">
        <v>1128</v>
      </c>
      <c r="P27" s="728" t="s">
        <v>1129</v>
      </c>
      <c r="Q27" s="728" t="s">
        <v>28</v>
      </c>
      <c r="R27" s="728" t="s">
        <v>1128</v>
      </c>
      <c r="S27" s="728" t="s">
        <v>1129</v>
      </c>
      <c r="T27" s="728" t="s">
        <v>28</v>
      </c>
      <c r="U27" s="728" t="s">
        <v>1128</v>
      </c>
      <c r="V27" s="728" t="s">
        <v>1129</v>
      </c>
      <c r="W27" s="728" t="s">
        <v>28</v>
      </c>
      <c r="X27" s="728" t="s">
        <v>1128</v>
      </c>
      <c r="Y27" s="728" t="s">
        <v>1129</v>
      </c>
      <c r="Z27" s="728" t="s">
        <v>28</v>
      </c>
      <c r="AA27" s="728" t="s">
        <v>1128</v>
      </c>
      <c r="AB27" s="728" t="s">
        <v>1129</v>
      </c>
      <c r="AC27" s="728" t="s">
        <v>28</v>
      </c>
      <c r="AD27" s="728" t="s">
        <v>1128</v>
      </c>
      <c r="AE27" s="728" t="s">
        <v>1129</v>
      </c>
      <c r="AF27" s="728" t="s">
        <v>28</v>
      </c>
      <c r="AG27" s="728" t="s">
        <v>1128</v>
      </c>
      <c r="AH27" s="728" t="s">
        <v>1129</v>
      </c>
      <c r="AI27" s="728" t="s">
        <v>28</v>
      </c>
      <c r="AJ27" s="728" t="s">
        <v>1128</v>
      </c>
      <c r="AK27" s="728" t="s">
        <v>1129</v>
      </c>
      <c r="AL27" s="728" t="s">
        <v>28</v>
      </c>
      <c r="AM27" s="728" t="s">
        <v>1128</v>
      </c>
      <c r="AN27" s="728" t="s">
        <v>1129</v>
      </c>
      <c r="AO27" s="728" t="s">
        <v>28</v>
      </c>
      <c r="AP27" s="728" t="s">
        <v>1128</v>
      </c>
      <c r="AQ27" s="728" t="s">
        <v>1129</v>
      </c>
      <c r="AR27" s="728" t="s">
        <v>28</v>
      </c>
      <c r="AS27" s="728" t="s">
        <v>1128</v>
      </c>
      <c r="AT27" s="728" t="s">
        <v>1129</v>
      </c>
      <c r="AU27" s="728" t="s">
        <v>28</v>
      </c>
      <c r="AV27" s="728" t="s">
        <v>1128</v>
      </c>
      <c r="AW27" s="728" t="s">
        <v>1129</v>
      </c>
      <c r="AX27" s="728" t="s">
        <v>28</v>
      </c>
      <c r="AY27" s="728" t="s">
        <v>1128</v>
      </c>
      <c r="AZ27" s="728" t="s">
        <v>1129</v>
      </c>
      <c r="BA27" s="728" t="s">
        <v>28</v>
      </c>
      <c r="BB27" s="728" t="s">
        <v>1128</v>
      </c>
      <c r="BC27" s="728" t="s">
        <v>1129</v>
      </c>
      <c r="BD27" s="728" t="s">
        <v>28</v>
      </c>
      <c r="BE27" s="728" t="s">
        <v>1128</v>
      </c>
      <c r="BF27" s="728" t="s">
        <v>1129</v>
      </c>
      <c r="BG27" s="728" t="s">
        <v>28</v>
      </c>
      <c r="BH27" s="728" t="s">
        <v>1128</v>
      </c>
      <c r="BI27" s="728" t="s">
        <v>1129</v>
      </c>
      <c r="BJ27" s="728" t="s">
        <v>28</v>
      </c>
      <c r="BK27" s="728" t="s">
        <v>1128</v>
      </c>
      <c r="BL27" s="728" t="s">
        <v>1129</v>
      </c>
      <c r="BM27" s="728" t="s">
        <v>28</v>
      </c>
      <c r="BN27" s="728" t="s">
        <v>1128</v>
      </c>
      <c r="BO27" s="728" t="s">
        <v>1129</v>
      </c>
      <c r="BP27" s="728" t="s">
        <v>28</v>
      </c>
      <c r="BQ27" s="728" t="s">
        <v>1128</v>
      </c>
      <c r="BR27" s="728" t="s">
        <v>1129</v>
      </c>
      <c r="BS27" s="728" t="s">
        <v>28</v>
      </c>
      <c r="BT27" s="728" t="s">
        <v>1128</v>
      </c>
      <c r="BU27" s="728" t="s">
        <v>1129</v>
      </c>
      <c r="BV27" s="728" t="s">
        <v>28</v>
      </c>
      <c r="BW27" s="728" t="s">
        <v>1128</v>
      </c>
      <c r="BX27" s="728" t="s">
        <v>1129</v>
      </c>
      <c r="BY27" s="728" t="s">
        <v>28</v>
      </c>
      <c r="BZ27" s="728" t="s">
        <v>1128</v>
      </c>
      <c r="CA27" s="728" t="s">
        <v>1129</v>
      </c>
      <c r="CB27" s="728" t="s">
        <v>28</v>
      </c>
      <c r="CC27" s="728" t="s">
        <v>1128</v>
      </c>
      <c r="CD27" s="728" t="s">
        <v>1129</v>
      </c>
      <c r="CE27" s="728" t="s">
        <v>28</v>
      </c>
      <c r="CF27" s="728" t="s">
        <v>1128</v>
      </c>
      <c r="CG27" s="728" t="s">
        <v>1129</v>
      </c>
      <c r="CH27" s="728" t="s">
        <v>28</v>
      </c>
      <c r="CI27" s="728" t="s">
        <v>1128</v>
      </c>
      <c r="CJ27" s="728" t="s">
        <v>1129</v>
      </c>
      <c r="CK27" s="728" t="s">
        <v>28</v>
      </c>
      <c r="CL27" s="728" t="s">
        <v>1128</v>
      </c>
      <c r="CM27" s="728" t="s">
        <v>1129</v>
      </c>
      <c r="CN27" s="728" t="s">
        <v>28</v>
      </c>
      <c r="CO27" s="728" t="s">
        <v>1128</v>
      </c>
      <c r="CP27" s="728" t="s">
        <v>1129</v>
      </c>
      <c r="CQ27" s="728" t="s">
        <v>28</v>
      </c>
      <c r="CR27" s="728" t="s">
        <v>1128</v>
      </c>
      <c r="CS27" s="728" t="s">
        <v>1129</v>
      </c>
      <c r="CT27" s="728" t="s">
        <v>28</v>
      </c>
      <c r="CU27" s="728" t="s">
        <v>1128</v>
      </c>
      <c r="CV27" s="728" t="s">
        <v>1129</v>
      </c>
      <c r="CW27" s="728" t="s">
        <v>28</v>
      </c>
      <c r="CX27" s="728" t="s">
        <v>1128</v>
      </c>
      <c r="CY27" s="728" t="s">
        <v>1129</v>
      </c>
      <c r="CZ27" s="728" t="s">
        <v>28</v>
      </c>
      <c r="DA27" s="728" t="s">
        <v>1128</v>
      </c>
      <c r="DB27" s="728" t="s">
        <v>1129</v>
      </c>
      <c r="DC27" s="728" t="s">
        <v>28</v>
      </c>
      <c r="DD27" s="728" t="s">
        <v>1128</v>
      </c>
      <c r="DE27" s="728" t="s">
        <v>1129</v>
      </c>
      <c r="DF27" s="728" t="s">
        <v>28</v>
      </c>
      <c r="DG27" s="728" t="s">
        <v>1128</v>
      </c>
      <c r="DH27" s="728" t="s">
        <v>1129</v>
      </c>
      <c r="DI27" s="728" t="s">
        <v>28</v>
      </c>
      <c r="DJ27" s="728" t="s">
        <v>1128</v>
      </c>
      <c r="DK27" s="728" t="s">
        <v>1129</v>
      </c>
      <c r="DL27" s="728" t="s">
        <v>28</v>
      </c>
      <c r="DM27" s="728" t="s">
        <v>1128</v>
      </c>
      <c r="DN27" s="728" t="s">
        <v>1129</v>
      </c>
      <c r="DO27" s="728" t="s">
        <v>28</v>
      </c>
      <c r="DP27" s="728" t="s">
        <v>1128</v>
      </c>
      <c r="DQ27" s="728" t="s">
        <v>1129</v>
      </c>
      <c r="DR27" s="728" t="s">
        <v>28</v>
      </c>
      <c r="DS27" s="728" t="s">
        <v>1128</v>
      </c>
      <c r="DT27" s="728" t="s">
        <v>1129</v>
      </c>
      <c r="DU27" s="728" t="s">
        <v>28</v>
      </c>
      <c r="DV27" s="728" t="s">
        <v>1128</v>
      </c>
      <c r="DW27" s="728" t="s">
        <v>1129</v>
      </c>
      <c r="DX27" s="728" t="s">
        <v>28</v>
      </c>
      <c r="DY27" s="728" t="s">
        <v>1128</v>
      </c>
      <c r="DZ27" s="728" t="s">
        <v>1129</v>
      </c>
      <c r="EA27" s="728" t="s">
        <v>28</v>
      </c>
      <c r="EB27" s="728" t="s">
        <v>1128</v>
      </c>
      <c r="EC27" s="728" t="s">
        <v>1129</v>
      </c>
      <c r="ED27" s="728" t="s">
        <v>28</v>
      </c>
      <c r="EE27" s="728" t="s">
        <v>1128</v>
      </c>
      <c r="EF27" s="728" t="s">
        <v>1129</v>
      </c>
    </row>
    <row r="28" spans="2:136" x14ac:dyDescent="0.25">
      <c r="E28" s="728">
        <v>2.2000000000000002</v>
      </c>
      <c r="F28" s="728">
        <v>2.2000000000000002</v>
      </c>
      <c r="G28" s="728">
        <v>2.2000000000000002</v>
      </c>
      <c r="H28" s="728">
        <v>2.2000000000000002</v>
      </c>
      <c r="I28" s="728">
        <v>2.2000000000000002</v>
      </c>
      <c r="J28" s="728">
        <v>2.2000000000000002</v>
      </c>
      <c r="K28" s="728" t="s">
        <v>711</v>
      </c>
      <c r="L28" s="728" t="s">
        <v>711</v>
      </c>
      <c r="M28" s="728" t="s">
        <v>711</v>
      </c>
      <c r="N28" s="728" t="s">
        <v>711</v>
      </c>
      <c r="O28" s="728" t="s">
        <v>711</v>
      </c>
      <c r="P28" s="728" t="s">
        <v>711</v>
      </c>
      <c r="Q28" s="728" t="s">
        <v>713</v>
      </c>
      <c r="R28" s="728" t="s">
        <v>713</v>
      </c>
      <c r="S28" s="728" t="s">
        <v>713</v>
      </c>
      <c r="T28" s="728" t="s">
        <v>713</v>
      </c>
      <c r="U28" s="728" t="s">
        <v>713</v>
      </c>
      <c r="V28" s="728" t="s">
        <v>713</v>
      </c>
      <c r="W28" s="728">
        <v>4.2</v>
      </c>
      <c r="X28" s="728">
        <v>4.2</v>
      </c>
      <c r="Y28" s="728">
        <v>4.2</v>
      </c>
      <c r="Z28" s="728">
        <v>4.2</v>
      </c>
      <c r="AA28" s="728">
        <v>4.2</v>
      </c>
      <c r="AB28" s="728">
        <v>4.2</v>
      </c>
      <c r="AC28" s="728" t="s">
        <v>741</v>
      </c>
      <c r="AD28" s="728" t="s">
        <v>741</v>
      </c>
      <c r="AE28" s="728" t="s">
        <v>741</v>
      </c>
      <c r="AF28" s="728" t="s">
        <v>741</v>
      </c>
      <c r="AG28" s="728" t="s">
        <v>741</v>
      </c>
      <c r="AH28" s="728" t="s">
        <v>741</v>
      </c>
      <c r="AI28" s="728" t="s">
        <v>743</v>
      </c>
      <c r="AJ28" s="728" t="s">
        <v>743</v>
      </c>
      <c r="AK28" s="728" t="s">
        <v>743</v>
      </c>
      <c r="AL28" s="728" t="s">
        <v>743</v>
      </c>
      <c r="AM28" s="728" t="s">
        <v>743</v>
      </c>
      <c r="AN28" s="728" t="s">
        <v>743</v>
      </c>
      <c r="AO28" s="728" t="s">
        <v>745</v>
      </c>
      <c r="AP28" s="728" t="s">
        <v>745</v>
      </c>
      <c r="AQ28" s="728" t="s">
        <v>745</v>
      </c>
      <c r="AR28" s="728" t="s">
        <v>745</v>
      </c>
      <c r="AS28" s="728" t="s">
        <v>745</v>
      </c>
      <c r="AT28" s="728" t="s">
        <v>745</v>
      </c>
      <c r="AU28" s="728" t="s">
        <v>747</v>
      </c>
      <c r="AV28" s="728" t="s">
        <v>747</v>
      </c>
      <c r="AW28" s="728" t="s">
        <v>747</v>
      </c>
      <c r="AX28" s="728" t="s">
        <v>747</v>
      </c>
      <c r="AY28" s="728" t="s">
        <v>747</v>
      </c>
      <c r="AZ28" s="728" t="s">
        <v>747</v>
      </c>
      <c r="BA28" s="728" t="s">
        <v>753</v>
      </c>
      <c r="BB28" s="728" t="s">
        <v>753</v>
      </c>
      <c r="BC28" s="728" t="s">
        <v>753</v>
      </c>
      <c r="BD28" s="728" t="s">
        <v>753</v>
      </c>
      <c r="BE28" s="728" t="s">
        <v>753</v>
      </c>
      <c r="BF28" s="728" t="s">
        <v>753</v>
      </c>
      <c r="BG28" s="728" t="s">
        <v>755</v>
      </c>
      <c r="BH28" s="728" t="s">
        <v>755</v>
      </c>
      <c r="BI28" s="728" t="s">
        <v>755</v>
      </c>
      <c r="BJ28" s="728" t="s">
        <v>755</v>
      </c>
      <c r="BK28" s="728" t="s">
        <v>755</v>
      </c>
      <c r="BL28" s="728" t="s">
        <v>755</v>
      </c>
      <c r="BM28" s="728" t="s">
        <v>757</v>
      </c>
      <c r="BN28" s="728" t="s">
        <v>757</v>
      </c>
      <c r="BO28" s="728" t="s">
        <v>757</v>
      </c>
      <c r="BP28" s="728" t="s">
        <v>757</v>
      </c>
      <c r="BQ28" s="728" t="s">
        <v>757</v>
      </c>
      <c r="BR28" s="728" t="s">
        <v>757</v>
      </c>
      <c r="BS28" s="728" t="s">
        <v>761</v>
      </c>
      <c r="BT28" s="728" t="s">
        <v>761</v>
      </c>
      <c r="BU28" s="728" t="s">
        <v>761</v>
      </c>
      <c r="BV28" s="728" t="s">
        <v>761</v>
      </c>
      <c r="BW28" s="728" t="s">
        <v>761</v>
      </c>
      <c r="BX28" s="728" t="s">
        <v>761</v>
      </c>
      <c r="BY28" s="1474">
        <v>5.0999999999999996</v>
      </c>
      <c r="BZ28" s="1474">
        <v>5.0999999999999996</v>
      </c>
      <c r="CA28" s="1474">
        <v>5.0999999999999996</v>
      </c>
      <c r="CB28" s="1474">
        <v>5.0999999999999996</v>
      </c>
      <c r="CC28" s="1474">
        <v>5.0999999999999996</v>
      </c>
      <c r="CD28" s="1474">
        <v>5.0999999999999996</v>
      </c>
      <c r="CE28" s="728">
        <v>5.1100000000000003</v>
      </c>
      <c r="CF28" s="728">
        <v>5.1100000000000003</v>
      </c>
      <c r="CG28" s="728">
        <v>5.1100000000000003</v>
      </c>
      <c r="CH28" s="728">
        <v>5.1100000000000003</v>
      </c>
      <c r="CI28" s="728">
        <v>5.1100000000000003</v>
      </c>
      <c r="CJ28" s="728">
        <v>5.1100000000000003</v>
      </c>
      <c r="CK28" s="728">
        <v>5.12</v>
      </c>
      <c r="CL28" s="728">
        <v>5.12</v>
      </c>
      <c r="CM28" s="728">
        <v>5.12</v>
      </c>
      <c r="CN28" s="728">
        <v>5.12</v>
      </c>
      <c r="CO28" s="728">
        <v>5.12</v>
      </c>
      <c r="CP28" s="728">
        <v>5.12</v>
      </c>
      <c r="CQ28" s="728">
        <v>5.13</v>
      </c>
      <c r="CR28" s="728">
        <v>5.13</v>
      </c>
      <c r="CS28" s="728">
        <v>5.13</v>
      </c>
      <c r="CT28" s="728">
        <v>5.13</v>
      </c>
      <c r="CU28" s="728">
        <v>5.13</v>
      </c>
      <c r="CV28" s="728">
        <v>5.13</v>
      </c>
      <c r="CW28" s="728" t="s">
        <v>785</v>
      </c>
      <c r="CX28" s="728" t="s">
        <v>785</v>
      </c>
      <c r="CY28" s="728" t="s">
        <v>785</v>
      </c>
      <c r="CZ28" s="728" t="s">
        <v>785</v>
      </c>
      <c r="DA28" s="728" t="s">
        <v>785</v>
      </c>
      <c r="DB28" s="728" t="s">
        <v>785</v>
      </c>
      <c r="DC28" s="728" t="s">
        <v>787</v>
      </c>
      <c r="DD28" s="728" t="s">
        <v>787</v>
      </c>
      <c r="DE28" s="728" t="s">
        <v>787</v>
      </c>
      <c r="DF28" s="728" t="s">
        <v>787</v>
      </c>
      <c r="DG28" s="728" t="s">
        <v>787</v>
      </c>
      <c r="DH28" s="728" t="s">
        <v>787</v>
      </c>
      <c r="DI28" s="728" t="s">
        <v>788</v>
      </c>
      <c r="DJ28" s="728" t="s">
        <v>788</v>
      </c>
      <c r="DK28" s="728" t="s">
        <v>788</v>
      </c>
      <c r="DL28" s="728" t="s">
        <v>788</v>
      </c>
      <c r="DM28" s="728" t="s">
        <v>788</v>
      </c>
      <c r="DN28" s="728" t="s">
        <v>788</v>
      </c>
      <c r="DO28" s="728" t="s">
        <v>790</v>
      </c>
      <c r="DP28" s="728" t="s">
        <v>790</v>
      </c>
      <c r="DQ28" s="728" t="s">
        <v>790</v>
      </c>
      <c r="DR28" s="728" t="s">
        <v>790</v>
      </c>
      <c r="DS28" s="728" t="s">
        <v>790</v>
      </c>
      <c r="DT28" s="728" t="s">
        <v>790</v>
      </c>
      <c r="DU28" s="728" t="s">
        <v>800</v>
      </c>
      <c r="DV28" s="728" t="s">
        <v>800</v>
      </c>
      <c r="DW28" s="728" t="s">
        <v>800</v>
      </c>
      <c r="DX28" s="728" t="s">
        <v>800</v>
      </c>
      <c r="DY28" s="728" t="s">
        <v>800</v>
      </c>
      <c r="DZ28" s="728" t="s">
        <v>800</v>
      </c>
      <c r="EA28" s="728" t="s">
        <v>802</v>
      </c>
      <c r="EB28" s="728" t="s">
        <v>802</v>
      </c>
      <c r="EC28" s="728" t="s">
        <v>802</v>
      </c>
      <c r="ED28" s="728" t="s">
        <v>802</v>
      </c>
      <c r="EE28" s="728" t="s">
        <v>802</v>
      </c>
      <c r="EF28" s="728" t="s">
        <v>802</v>
      </c>
    </row>
  </sheetData>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RowHeight="12.75" x14ac:dyDescent="0.2"/>
  <cols>
    <col min="1" max="2" width="1.7109375" style="1488" customWidth="1"/>
    <col min="3" max="3" width="29.140625" style="1488" bestFit="1" customWidth="1"/>
    <col min="4" max="4" width="68.85546875" style="1488" bestFit="1" customWidth="1"/>
    <col min="5" max="5" width="6.42578125" style="1488" bestFit="1" customWidth="1"/>
    <col min="6" max="6" width="1.7109375" style="1488" customWidth="1"/>
    <col min="7" max="16384" width="9.140625" style="1488"/>
  </cols>
  <sheetData>
    <row r="2" spans="2:6" ht="9" customHeight="1" thickBot="1" x14ac:dyDescent="0.25"/>
    <row r="3" spans="2:6" ht="9" customHeight="1" thickBot="1" x14ac:dyDescent="0.25">
      <c r="B3" s="1489"/>
      <c r="C3" s="1490"/>
      <c r="D3" s="1490"/>
      <c r="E3" s="1490"/>
      <c r="F3" s="1491"/>
    </row>
    <row r="4" spans="2:6" ht="13.5" thickBot="1" x14ac:dyDescent="0.25">
      <c r="B4" s="1492"/>
      <c r="C4" s="1493" t="s">
        <v>1138</v>
      </c>
      <c r="D4" s="1494"/>
      <c r="E4" s="1495"/>
      <c r="F4" s="1496"/>
    </row>
    <row r="5" spans="2:6" ht="13.5" thickBot="1" x14ac:dyDescent="0.25">
      <c r="B5" s="1492"/>
      <c r="C5" s="1497"/>
      <c r="D5" s="1497"/>
      <c r="E5" s="1497"/>
      <c r="F5" s="1496"/>
    </row>
    <row r="6" spans="2:6" ht="13.5" thickBot="1" x14ac:dyDescent="0.25">
      <c r="B6" s="1492"/>
      <c r="C6" s="1498" t="s">
        <v>88</v>
      </c>
      <c r="D6" s="1499" t="s">
        <v>89</v>
      </c>
      <c r="E6" s="1500"/>
      <c r="F6" s="1496"/>
    </row>
    <row r="7" spans="2:6" x14ac:dyDescent="0.2">
      <c r="B7" s="1492"/>
      <c r="C7" s="1501" t="s">
        <v>90</v>
      </c>
      <c r="D7" s="1501" t="s">
        <v>91</v>
      </c>
      <c r="E7" s="1501" t="b">
        <f>IF((IFERROR(MATCH(D7,'5'!$D$16:$D$76,0),0))&lt;&gt;0,TRUE,FALSE)</f>
        <v>1</v>
      </c>
      <c r="F7" s="1496"/>
    </row>
    <row r="8" spans="2:6" x14ac:dyDescent="0.2">
      <c r="B8" s="1492"/>
      <c r="C8" s="1501" t="s">
        <v>93</v>
      </c>
      <c r="D8" s="1501" t="s">
        <v>94</v>
      </c>
      <c r="E8" s="1501" t="b">
        <f>IF((IFERROR(MATCH(D8,'5'!$D$16:$D$76,0),0))&lt;&gt;0,TRUE,FALSE)</f>
        <v>1</v>
      </c>
      <c r="F8" s="1496"/>
    </row>
    <row r="9" spans="2:6" x14ac:dyDescent="0.2">
      <c r="B9" s="1492"/>
      <c r="C9" s="1501" t="s">
        <v>93</v>
      </c>
      <c r="D9" s="1501" t="s">
        <v>96</v>
      </c>
      <c r="E9" s="1501" t="b">
        <f>IF((IFERROR(MATCH(D9,'5'!$D$16:$D$76,0),0))&lt;&gt;0,TRUE,FALSE)</f>
        <v>1</v>
      </c>
      <c r="F9" s="1496"/>
    </row>
    <row r="10" spans="2:6" x14ac:dyDescent="0.2">
      <c r="B10" s="1492"/>
      <c r="C10" s="1501" t="s">
        <v>1139</v>
      </c>
      <c r="D10" s="1501" t="s">
        <v>98</v>
      </c>
      <c r="E10" s="1501" t="b">
        <f>IF((IFERROR(MATCH(D10,'5'!$D$16:$D$76,0),0))&lt;&gt;0,TRUE,FALSE)</f>
        <v>1</v>
      </c>
      <c r="F10" s="1496"/>
    </row>
    <row r="11" spans="2:6" x14ac:dyDescent="0.2">
      <c r="B11" s="1492"/>
      <c r="C11" s="1501" t="s">
        <v>1139</v>
      </c>
      <c r="D11" s="1501" t="s">
        <v>100</v>
      </c>
      <c r="E11" s="1501" t="b">
        <f>IF((IFERROR(MATCH(D11,'5'!$D$16:$D$76,0),0))&lt;&gt;0,TRUE,FALSE)</f>
        <v>1</v>
      </c>
      <c r="F11" s="1496"/>
    </row>
    <row r="12" spans="2:6" x14ac:dyDescent="0.2">
      <c r="B12" s="1492"/>
      <c r="C12" s="1501" t="s">
        <v>1139</v>
      </c>
      <c r="D12" s="1501" t="s">
        <v>101</v>
      </c>
      <c r="E12" s="1501" t="b">
        <f>IF((IFERROR(MATCH(D12,'5'!$D$16:$D$76,0),0))&lt;&gt;0,TRUE,FALSE)</f>
        <v>1</v>
      </c>
      <c r="F12" s="1496"/>
    </row>
    <row r="13" spans="2:6" x14ac:dyDescent="0.2">
      <c r="B13" s="1492"/>
      <c r="C13" s="1501" t="s">
        <v>1139</v>
      </c>
      <c r="D13" s="1501" t="s">
        <v>102</v>
      </c>
      <c r="E13" s="1501" t="b">
        <f>IF((IFERROR(MATCH(D13,'5'!$D$16:$D$76,0),0))&lt;&gt;0,TRUE,FALSE)</f>
        <v>1</v>
      </c>
      <c r="F13" s="1496"/>
    </row>
    <row r="14" spans="2:6" x14ac:dyDescent="0.2">
      <c r="B14" s="1492"/>
      <c r="C14" s="1501" t="s">
        <v>1139</v>
      </c>
      <c r="D14" s="1501" t="s">
        <v>103</v>
      </c>
      <c r="E14" s="1501" t="b">
        <f>IF((IFERROR(MATCH(D14,'5'!$D$16:$D$76,0),0))&lt;&gt;0,TRUE,FALSE)</f>
        <v>1</v>
      </c>
      <c r="F14" s="1496"/>
    </row>
    <row r="15" spans="2:6" x14ac:dyDescent="0.2">
      <c r="B15" s="1492"/>
      <c r="C15" s="1501" t="s">
        <v>1139</v>
      </c>
      <c r="D15" s="1501" t="s">
        <v>104</v>
      </c>
      <c r="E15" s="1501" t="b">
        <f>IF((IFERROR(MATCH(D15,'5'!$D$16:$D$76,0),0))&lt;&gt;0,TRUE,FALSE)</f>
        <v>1</v>
      </c>
      <c r="F15" s="1496"/>
    </row>
    <row r="16" spans="2:6" x14ac:dyDescent="0.2">
      <c r="B16" s="1492"/>
      <c r="C16" s="1501" t="s">
        <v>1139</v>
      </c>
      <c r="D16" s="1501" t="s">
        <v>105</v>
      </c>
      <c r="E16" s="1501" t="b">
        <f>IF((IFERROR(MATCH(D16,'5'!$D$16:$D$76,0),0))&lt;&gt;0,TRUE,FALSE)</f>
        <v>1</v>
      </c>
      <c r="F16" s="1496"/>
    </row>
    <row r="17" spans="2:8" x14ac:dyDescent="0.2">
      <c r="B17" s="1492"/>
      <c r="C17" s="1501" t="s">
        <v>1139</v>
      </c>
      <c r="D17" s="1501" t="s">
        <v>106</v>
      </c>
      <c r="E17" s="1501" t="b">
        <f>IF((IFERROR(MATCH(D17,'5'!$D$16:$D$76,0),0))&lt;&gt;0,TRUE,FALSE)</f>
        <v>1</v>
      </c>
      <c r="F17" s="1496"/>
    </row>
    <row r="18" spans="2:8" x14ac:dyDescent="0.2">
      <c r="B18" s="1492"/>
      <c r="C18" s="1501" t="s">
        <v>1139</v>
      </c>
      <c r="D18" s="1501" t="s">
        <v>107</v>
      </c>
      <c r="E18" s="1501" t="b">
        <f>IF((IFERROR(MATCH(D18,'5'!$D$16:$D$76,0),0))&lt;&gt;0,TRUE,FALSE)</f>
        <v>1</v>
      </c>
      <c r="F18" s="1496"/>
    </row>
    <row r="19" spans="2:8" x14ac:dyDescent="0.2">
      <c r="B19" s="1492"/>
      <c r="C19" s="1501" t="s">
        <v>1139</v>
      </c>
      <c r="D19" s="1501" t="s">
        <v>108</v>
      </c>
      <c r="E19" s="1501" t="b">
        <f>IF((IFERROR(MATCH(D19,'5'!$D$16:$D$76,0),0))&lt;&gt;0,TRUE,FALSE)</f>
        <v>1</v>
      </c>
      <c r="F19" s="1496"/>
    </row>
    <row r="20" spans="2:8" x14ac:dyDescent="0.2">
      <c r="B20" s="1492"/>
      <c r="C20" s="1501" t="s">
        <v>109</v>
      </c>
      <c r="D20" s="1501" t="s">
        <v>110</v>
      </c>
      <c r="E20" s="1501" t="b">
        <f>IF((IFERROR(MATCH(D20,'5'!$D$16:$D$76,0),0))&lt;&gt;0,TRUE,FALSE)</f>
        <v>1</v>
      </c>
      <c r="F20" s="1496"/>
    </row>
    <row r="21" spans="2:8" x14ac:dyDescent="0.2">
      <c r="B21" s="1492"/>
      <c r="C21" s="1501" t="s">
        <v>109</v>
      </c>
      <c r="D21" s="1501" t="s">
        <v>111</v>
      </c>
      <c r="E21" s="1501" t="b">
        <f>IF((IFERROR(MATCH(D21,'5'!$D$16:$D$76,0),0))&lt;&gt;0,TRUE,FALSE)</f>
        <v>1</v>
      </c>
      <c r="F21" s="1496"/>
    </row>
    <row r="22" spans="2:8" x14ac:dyDescent="0.2">
      <c r="B22" s="1492"/>
      <c r="C22" s="1501" t="s">
        <v>109</v>
      </c>
      <c r="D22" s="1501" t="s">
        <v>112</v>
      </c>
      <c r="E22" s="1501" t="b">
        <f>IF((IFERROR(MATCH(D22,'5'!$D$16:$D$76,0),0))&lt;&gt;0,TRUE,FALSE)</f>
        <v>1</v>
      </c>
      <c r="F22" s="1496"/>
      <c r="H22" s="1502"/>
    </row>
    <row r="23" spans="2:8" x14ac:dyDescent="0.2">
      <c r="B23" s="1492"/>
      <c r="C23" s="1501" t="s">
        <v>109</v>
      </c>
      <c r="D23" s="1501" t="s">
        <v>113</v>
      </c>
      <c r="E23" s="1501" t="b">
        <f>IF((IFERROR(MATCH(D23,'5'!$D$16:$D$76,0),0))&lt;&gt;0,TRUE,FALSE)</f>
        <v>1</v>
      </c>
      <c r="F23" s="1496"/>
    </row>
    <row r="24" spans="2:8" x14ac:dyDescent="0.2">
      <c r="B24" s="1492"/>
      <c r="C24" s="1501" t="s">
        <v>109</v>
      </c>
      <c r="D24" s="1501" t="s">
        <v>114</v>
      </c>
      <c r="E24" s="1501" t="b">
        <f>IF((IFERROR(MATCH(D24,'5'!$D$16:$D$76,0),0))&lt;&gt;0,TRUE,FALSE)</f>
        <v>1</v>
      </c>
      <c r="F24" s="1496"/>
    </row>
    <row r="25" spans="2:8" x14ac:dyDescent="0.2">
      <c r="B25" s="1492"/>
      <c r="C25" s="1501" t="s">
        <v>109</v>
      </c>
      <c r="D25" s="1501" t="s">
        <v>115</v>
      </c>
      <c r="E25" s="1501" t="b">
        <f>IF((IFERROR(MATCH(D25,'5'!$D$16:$D$76,0),0))&lt;&gt;0,TRUE,FALSE)</f>
        <v>1</v>
      </c>
      <c r="F25" s="1496"/>
    </row>
    <row r="26" spans="2:8" x14ac:dyDescent="0.2">
      <c r="B26" s="1492"/>
      <c r="C26" s="1501" t="s">
        <v>109</v>
      </c>
      <c r="D26" s="1501" t="s">
        <v>116</v>
      </c>
      <c r="E26" s="1501" t="b">
        <f>IF((IFERROR(MATCH(D26,'5'!$D$16:$D$76,0),0))&lt;&gt;0,TRUE,FALSE)</f>
        <v>1</v>
      </c>
      <c r="F26" s="1496"/>
    </row>
    <row r="27" spans="2:8" x14ac:dyDescent="0.2">
      <c r="B27" s="1492"/>
      <c r="C27" s="1501" t="s">
        <v>109</v>
      </c>
      <c r="D27" s="1501" t="s">
        <v>117</v>
      </c>
      <c r="E27" s="1501" t="b">
        <f>IF((IFERROR(MATCH(D27,'5'!$D$16:$D$76,0),0))&lt;&gt;0,TRUE,FALSE)</f>
        <v>1</v>
      </c>
      <c r="F27" s="1496"/>
    </row>
    <row r="28" spans="2:8" x14ac:dyDescent="0.2">
      <c r="B28" s="1492"/>
      <c r="C28" s="1501" t="s">
        <v>118</v>
      </c>
      <c r="D28" s="1501" t="s">
        <v>119</v>
      </c>
      <c r="E28" s="1501" t="b">
        <f>IF((IFERROR(MATCH(D28,'5'!$D$16:$D$76,0),0))&lt;&gt;0,TRUE,FALSE)</f>
        <v>1</v>
      </c>
      <c r="F28" s="1496"/>
    </row>
    <row r="29" spans="2:8" x14ac:dyDescent="0.2">
      <c r="B29" s="1492"/>
      <c r="C29" s="1501" t="s">
        <v>120</v>
      </c>
      <c r="D29" s="1501" t="s">
        <v>121</v>
      </c>
      <c r="E29" s="1501" t="b">
        <f>IF((IFERROR(MATCH(D29,'5'!$D$16:$D$76,0),0))&lt;&gt;0,TRUE,FALSE)</f>
        <v>1</v>
      </c>
      <c r="F29" s="1496"/>
    </row>
    <row r="30" spans="2:8" x14ac:dyDescent="0.2">
      <c r="B30" s="1492"/>
      <c r="C30" s="1501" t="s">
        <v>118</v>
      </c>
      <c r="D30" s="1501" t="s">
        <v>122</v>
      </c>
      <c r="E30" s="1501" t="b">
        <f>IF((IFERROR(MATCH(D30,'5'!$D$16:$D$76,0),0))&lt;&gt;0,TRUE,FALSE)</f>
        <v>1</v>
      </c>
      <c r="F30" s="1496"/>
    </row>
    <row r="31" spans="2:8" x14ac:dyDescent="0.2">
      <c r="B31" s="1492"/>
      <c r="C31" s="1501" t="s">
        <v>118</v>
      </c>
      <c r="D31" s="1501" t="s">
        <v>122</v>
      </c>
      <c r="E31" s="1501" t="b">
        <f>IF((IFERROR(MATCH(D31,'5'!$D$16:$D$76,0),0))&lt;&gt;0,TRUE,FALSE)</f>
        <v>1</v>
      </c>
      <c r="F31" s="1496"/>
    </row>
    <row r="32" spans="2:8" x14ac:dyDescent="0.2">
      <c r="B32" s="1492"/>
      <c r="C32" s="1501" t="s">
        <v>118</v>
      </c>
      <c r="D32" s="1501" t="s">
        <v>122</v>
      </c>
      <c r="E32" s="1501" t="b">
        <f>IF((IFERROR(MATCH(D32,'5'!$D$16:$D$76,0),0))&lt;&gt;0,TRUE,FALSE)</f>
        <v>1</v>
      </c>
      <c r="F32" s="1496"/>
    </row>
    <row r="33" spans="2:6" x14ac:dyDescent="0.2">
      <c r="B33" s="1492"/>
      <c r="C33" s="1501" t="s">
        <v>120</v>
      </c>
      <c r="D33" s="1501" t="s">
        <v>678</v>
      </c>
      <c r="E33" s="1501" t="b">
        <f>IF((IFERROR(MATCH(D33,'5'!$D$16:$D$76,0),0))&lt;&gt;0,TRUE,FALSE)</f>
        <v>1</v>
      </c>
      <c r="F33" s="1496"/>
    </row>
    <row r="34" spans="2:6" x14ac:dyDescent="0.2">
      <c r="B34" s="1492"/>
      <c r="C34" s="1501" t="s">
        <v>118</v>
      </c>
      <c r="D34" s="1501" t="s">
        <v>123</v>
      </c>
      <c r="E34" s="1501" t="b">
        <f>IF((IFERROR(MATCH(D34,'5'!$D$16:$D$76,0),0))&lt;&gt;0,TRUE,FALSE)</f>
        <v>1</v>
      </c>
      <c r="F34" s="1496"/>
    </row>
    <row r="35" spans="2:6" x14ac:dyDescent="0.2">
      <c r="B35" s="1492"/>
      <c r="C35" s="1501" t="s">
        <v>118</v>
      </c>
      <c r="D35" s="1501" t="s">
        <v>124</v>
      </c>
      <c r="E35" s="1501" t="b">
        <f>IF((IFERROR(MATCH(D35,'5'!$D$16:$D$76,0),0))&lt;&gt;0,TRUE,FALSE)</f>
        <v>1</v>
      </c>
      <c r="F35" s="1496"/>
    </row>
    <row r="36" spans="2:6" x14ac:dyDescent="0.2">
      <c r="B36" s="1492"/>
      <c r="C36" s="1501" t="s">
        <v>120</v>
      </c>
      <c r="D36" s="1501" t="s">
        <v>677</v>
      </c>
      <c r="E36" s="1501" t="b">
        <f>IF((IFERROR(MATCH(D36,'5'!$D$16:$D$76,0),0))&lt;&gt;0,TRUE,FALSE)</f>
        <v>1</v>
      </c>
      <c r="F36" s="1496"/>
    </row>
    <row r="37" spans="2:6" x14ac:dyDescent="0.2">
      <c r="B37" s="1492"/>
      <c r="C37" s="1501" t="s">
        <v>118</v>
      </c>
      <c r="D37" s="1501" t="s">
        <v>125</v>
      </c>
      <c r="E37" s="1501" t="b">
        <f>IF((IFERROR(MATCH(D37,'5'!$D$16:$D$76,0),0))&lt;&gt;0,TRUE,FALSE)</f>
        <v>1</v>
      </c>
      <c r="F37" s="1496"/>
    </row>
    <row r="38" spans="2:6" x14ac:dyDescent="0.2">
      <c r="B38" s="1492"/>
      <c r="C38" s="1501" t="s">
        <v>118</v>
      </c>
      <c r="D38" s="1501" t="s">
        <v>125</v>
      </c>
      <c r="E38" s="1501" t="b">
        <f>IF((IFERROR(MATCH(D38,'5'!$D$16:$D$76,0),0))&lt;&gt;0,TRUE,FALSE)</f>
        <v>1</v>
      </c>
      <c r="F38" s="1496"/>
    </row>
    <row r="39" spans="2:6" x14ac:dyDescent="0.2">
      <c r="B39" s="1492"/>
      <c r="C39" s="1501" t="s">
        <v>118</v>
      </c>
      <c r="D39" s="1501" t="s">
        <v>125</v>
      </c>
      <c r="E39" s="1501" t="b">
        <f>IF((IFERROR(MATCH(D39,'5'!$D$16:$D$76,0),0))&lt;&gt;0,TRUE,FALSE)</f>
        <v>1</v>
      </c>
      <c r="F39" s="1496"/>
    </row>
    <row r="40" spans="2:6" x14ac:dyDescent="0.2">
      <c r="B40" s="1492"/>
      <c r="C40" s="1501" t="s">
        <v>118</v>
      </c>
      <c r="D40" s="1501" t="s">
        <v>126</v>
      </c>
      <c r="E40" s="1501" t="b">
        <f>IF((IFERROR(MATCH(D40,'5'!$D$16:$D$76,0),0))&lt;&gt;0,TRUE,FALSE)</f>
        <v>1</v>
      </c>
      <c r="F40" s="1496"/>
    </row>
    <row r="41" spans="2:6" x14ac:dyDescent="0.2">
      <c r="B41" s="1492"/>
      <c r="C41" s="1501" t="s">
        <v>118</v>
      </c>
      <c r="D41" s="1501" t="s">
        <v>679</v>
      </c>
      <c r="E41" s="1501" t="b">
        <f>IF((IFERROR(MATCH(D41,'5'!$D$16:$D$76,0),0))&lt;&gt;0,TRUE,FALSE)</f>
        <v>1</v>
      </c>
      <c r="F41" s="1496"/>
    </row>
    <row r="42" spans="2:6" x14ac:dyDescent="0.2">
      <c r="B42" s="1492"/>
      <c r="C42" s="1501" t="s">
        <v>127</v>
      </c>
      <c r="D42" s="1501" t="s">
        <v>128</v>
      </c>
      <c r="E42" s="1501" t="b">
        <f>IF((IFERROR(MATCH(D42,'5'!$D$16:$D$76,0),0))&lt;&gt;0,TRUE,FALSE)</f>
        <v>1</v>
      </c>
      <c r="F42" s="1496"/>
    </row>
    <row r="43" spans="2:6" x14ac:dyDescent="0.2">
      <c r="B43" s="1492"/>
      <c r="C43" s="1501" t="s">
        <v>127</v>
      </c>
      <c r="D43" s="1501" t="s">
        <v>129</v>
      </c>
      <c r="E43" s="1501" t="b">
        <f>IF((IFERROR(MATCH(D43,'5'!$D$16:$D$76,0),0))&lt;&gt;0,TRUE,FALSE)</f>
        <v>1</v>
      </c>
      <c r="F43" s="1496"/>
    </row>
    <row r="44" spans="2:6" x14ac:dyDescent="0.2">
      <c r="B44" s="1492"/>
      <c r="C44" s="1501" t="s">
        <v>127</v>
      </c>
      <c r="D44" s="1501" t="s">
        <v>130</v>
      </c>
      <c r="E44" s="1501" t="b">
        <f>IF((IFERROR(MATCH(D44,'5'!$D$16:$D$76,0),0))&lt;&gt;0,TRUE,FALSE)</f>
        <v>1</v>
      </c>
      <c r="F44" s="1496"/>
    </row>
    <row r="45" spans="2:6" x14ac:dyDescent="0.2">
      <c r="B45" s="1492"/>
      <c r="C45" s="1501" t="s">
        <v>127</v>
      </c>
      <c r="D45" s="1501" t="s">
        <v>131</v>
      </c>
      <c r="E45" s="1501" t="b">
        <f>IF((IFERROR(MATCH(D45,'5'!$D$16:$D$76,0),0))&lt;&gt;0,TRUE,FALSE)</f>
        <v>1</v>
      </c>
      <c r="F45" s="1496"/>
    </row>
    <row r="46" spans="2:6" x14ac:dyDescent="0.2">
      <c r="B46" s="1492"/>
      <c r="C46" s="1501" t="s">
        <v>127</v>
      </c>
      <c r="D46" s="1501" t="s">
        <v>132</v>
      </c>
      <c r="E46" s="1501" t="b">
        <f>IF((IFERROR(MATCH(D46,'5'!$D$16:$D$76,0),0))&lt;&gt;0,TRUE,FALSE)</f>
        <v>1</v>
      </c>
      <c r="F46" s="1496"/>
    </row>
    <row r="47" spans="2:6" ht="15" customHeight="1" x14ac:dyDescent="0.2">
      <c r="B47" s="1492"/>
      <c r="C47" s="1501" t="s">
        <v>127</v>
      </c>
      <c r="D47" s="1501" t="s">
        <v>133</v>
      </c>
      <c r="E47" s="1501" t="b">
        <f>IF((IFERROR(MATCH(D47,'5'!$D$16:$D$76,0),0))&lt;&gt;0,TRUE,FALSE)</f>
        <v>1</v>
      </c>
      <c r="F47" s="1496"/>
    </row>
    <row r="48" spans="2:6" ht="15.75" customHeight="1" x14ac:dyDescent="0.2">
      <c r="B48" s="1492"/>
      <c r="C48" s="1501" t="s">
        <v>127</v>
      </c>
      <c r="D48" s="1501" t="s">
        <v>134</v>
      </c>
      <c r="E48" s="1501" t="b">
        <f>IF((IFERROR(MATCH(D48,'5'!$D$16:$D$76,0),0))&lt;&gt;0,TRUE,FALSE)</f>
        <v>1</v>
      </c>
      <c r="F48" s="1496"/>
    </row>
    <row r="49" spans="2:6" x14ac:dyDescent="0.2">
      <c r="B49" s="1492"/>
      <c r="C49" s="1501" t="s">
        <v>135</v>
      </c>
      <c r="D49" s="1501" t="s">
        <v>136</v>
      </c>
      <c r="E49" s="1501" t="b">
        <f>IF((IFERROR(MATCH(D49,'5'!$D$16:$D$76,0),0))&lt;&gt;0,TRUE,FALSE)</f>
        <v>1</v>
      </c>
      <c r="F49" s="1496"/>
    </row>
    <row r="50" spans="2:6" x14ac:dyDescent="0.2">
      <c r="B50" s="1492"/>
      <c r="C50" s="1501" t="s">
        <v>135</v>
      </c>
      <c r="D50" s="1501" t="s">
        <v>680</v>
      </c>
      <c r="E50" s="1501" t="b">
        <f>IF((IFERROR(MATCH(D50,'5'!$D$16:$D$76,0),0))&lt;&gt;0,TRUE,FALSE)</f>
        <v>1</v>
      </c>
      <c r="F50" s="1496"/>
    </row>
    <row r="51" spans="2:6" x14ac:dyDescent="0.2">
      <c r="B51" s="1492"/>
      <c r="C51" s="1501" t="s">
        <v>135</v>
      </c>
      <c r="D51" s="1501" t="s">
        <v>137</v>
      </c>
      <c r="E51" s="1501" t="b">
        <f>IF((IFERROR(MATCH(D51,'5'!$D$16:$D$76,0),0))&lt;&gt;0,TRUE,FALSE)</f>
        <v>1</v>
      </c>
      <c r="F51" s="1496"/>
    </row>
    <row r="52" spans="2:6" x14ac:dyDescent="0.2">
      <c r="B52" s="1492"/>
      <c r="C52" s="1501" t="s">
        <v>138</v>
      </c>
      <c r="D52" s="1501" t="s">
        <v>139</v>
      </c>
      <c r="E52" s="1501" t="b">
        <f>IF((IFERROR(MATCH(D52,'5'!$D$16:$D$76,0),0))&lt;&gt;0,TRUE,FALSE)</f>
        <v>1</v>
      </c>
      <c r="F52" s="1496"/>
    </row>
    <row r="53" spans="2:6" x14ac:dyDescent="0.2">
      <c r="B53" s="1492"/>
      <c r="C53" s="1501" t="s">
        <v>138</v>
      </c>
      <c r="D53" s="1501" t="s">
        <v>140</v>
      </c>
      <c r="E53" s="1501" t="b">
        <f>IF((IFERROR(MATCH(D53,'5'!$D$16:$D$76,0),0))&lt;&gt;0,TRUE,FALSE)</f>
        <v>1</v>
      </c>
      <c r="F53" s="1496"/>
    </row>
    <row r="54" spans="2:6" x14ac:dyDescent="0.2">
      <c r="B54" s="1492"/>
      <c r="C54" s="1501" t="s">
        <v>138</v>
      </c>
      <c r="D54" s="1501" t="s">
        <v>141</v>
      </c>
      <c r="E54" s="1501" t="b">
        <f>IF((IFERROR(MATCH(D54,'5'!$D$16:$D$76,0),0))&lt;&gt;0,TRUE,FALSE)</f>
        <v>1</v>
      </c>
      <c r="F54" s="1496"/>
    </row>
    <row r="55" spans="2:6" x14ac:dyDescent="0.2">
      <c r="B55" s="1492"/>
      <c r="C55" s="1501" t="s">
        <v>138</v>
      </c>
      <c r="D55" s="1501" t="s">
        <v>142</v>
      </c>
      <c r="E55" s="1501" t="b">
        <f>IF((IFERROR(MATCH(D55,'5'!$D$16:$D$76,0),0))&lt;&gt;0,TRUE,FALSE)</f>
        <v>1</v>
      </c>
      <c r="F55" s="1496"/>
    </row>
    <row r="56" spans="2:6" x14ac:dyDescent="0.2">
      <c r="B56" s="1492"/>
      <c r="C56" s="1501" t="s">
        <v>138</v>
      </c>
      <c r="D56" s="1501" t="s">
        <v>143</v>
      </c>
      <c r="E56" s="1501" t="b">
        <f>IF((IFERROR(MATCH(D56,'5'!$D$16:$D$76,0),0))&lt;&gt;0,TRUE,FALSE)</f>
        <v>1</v>
      </c>
      <c r="F56" s="1496"/>
    </row>
    <row r="57" spans="2:6" x14ac:dyDescent="0.2">
      <c r="B57" s="1492"/>
      <c r="C57" s="1501" t="s">
        <v>138</v>
      </c>
      <c r="D57" s="1501" t="s">
        <v>144</v>
      </c>
      <c r="E57" s="1501" t="b">
        <f>IF((IFERROR(MATCH(D57,'5'!$D$16:$D$76,0),0))&lt;&gt;0,TRUE,FALSE)</f>
        <v>1</v>
      </c>
      <c r="F57" s="1496"/>
    </row>
    <row r="58" spans="2:6" x14ac:dyDescent="0.2">
      <c r="B58" s="1492"/>
      <c r="C58" s="1501" t="s">
        <v>138</v>
      </c>
      <c r="D58" s="1501" t="s">
        <v>145</v>
      </c>
      <c r="E58" s="1501" t="b">
        <f>IF((IFERROR(MATCH(D58,'5'!$D$16:$D$76,0),0))&lt;&gt;0,TRUE,FALSE)</f>
        <v>1</v>
      </c>
      <c r="F58" s="1496"/>
    </row>
    <row r="59" spans="2:6" x14ac:dyDescent="0.2">
      <c r="B59" s="1492"/>
      <c r="C59" s="1501" t="s">
        <v>138</v>
      </c>
      <c r="D59" s="1501" t="s">
        <v>146</v>
      </c>
      <c r="E59" s="1501" t="b">
        <f>IF((IFERROR(MATCH(D59,'5'!$D$16:$D$76,0),0))&lt;&gt;0,TRUE,FALSE)</f>
        <v>1</v>
      </c>
      <c r="F59" s="1496"/>
    </row>
    <row r="60" spans="2:6" x14ac:dyDescent="0.2">
      <c r="B60" s="1492"/>
      <c r="C60" s="1501" t="s">
        <v>138</v>
      </c>
      <c r="D60" s="1501" t="s">
        <v>676</v>
      </c>
      <c r="E60" s="1501" t="b">
        <f>IF((IFERROR(MATCH(D60,'5'!$D$16:$D$76,0),0))&lt;&gt;0,TRUE,FALSE)</f>
        <v>1</v>
      </c>
      <c r="F60" s="1496"/>
    </row>
    <row r="61" spans="2:6" ht="13.5" thickBot="1" x14ac:dyDescent="0.25">
      <c r="B61" s="1503"/>
      <c r="C61" s="1504"/>
      <c r="D61" s="1504"/>
      <c r="E61" s="1504"/>
      <c r="F61" s="1505"/>
    </row>
    <row r="62" spans="2:6" ht="9" customHeight="1" x14ac:dyDescent="0.2"/>
    <row r="64" spans="2:6" ht="13.5" thickBot="1" x14ac:dyDescent="0.25"/>
    <row r="65" spans="5:5" ht="13.5" thickBot="1" x14ac:dyDescent="0.25">
      <c r="E65" s="1506">
        <f>COUNTIF(E7:E60,TRUE)</f>
        <v>54</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Normal="100" workbookViewId="0">
      <selection activeCell="N18" sqref="N18"/>
    </sheetView>
  </sheetViews>
  <sheetFormatPr defaultRowHeight="15" x14ac:dyDescent="0.25"/>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L26"/>
  <sheetViews>
    <sheetView showGridLines="0" workbookViewId="0">
      <selection activeCell="H31" sqref="H31"/>
    </sheetView>
  </sheetViews>
  <sheetFormatPr defaultRowHeight="15" x14ac:dyDescent="0.25"/>
  <cols>
    <col min="1" max="2" width="1.7109375" style="402" customWidth="1"/>
    <col min="3" max="3" width="6" style="1656" bestFit="1" customWidth="1"/>
    <col min="4" max="4" width="29" style="1657" bestFit="1" customWidth="1"/>
    <col min="5" max="5" width="21.7109375" style="402" bestFit="1" customWidth="1"/>
    <col min="6" max="6" width="21.7109375" style="402" customWidth="1"/>
    <col min="7" max="7" width="9.7109375" style="402" bestFit="1" customWidth="1"/>
    <col min="8" max="8" width="26.28515625" style="402" customWidth="1"/>
    <col min="9" max="16384" width="9.140625" style="402"/>
  </cols>
  <sheetData>
    <row r="7" spans="2:12" ht="21.75" thickBot="1" x14ac:dyDescent="0.4">
      <c r="B7" s="1658" t="s">
        <v>669</v>
      </c>
    </row>
    <row r="8" spans="2:12" x14ac:dyDescent="0.25">
      <c r="B8" s="1665"/>
      <c r="C8" s="1666"/>
      <c r="D8" s="1667"/>
      <c r="E8" s="1569"/>
      <c r="F8" s="1569"/>
      <c r="G8" s="1569"/>
      <c r="H8" s="1569"/>
      <c r="I8" s="1570"/>
      <c r="J8" s="1103"/>
      <c r="K8" s="1103"/>
      <c r="L8" s="1103"/>
    </row>
    <row r="9" spans="2:12" ht="30.75" thickBot="1" x14ac:dyDescent="0.3">
      <c r="B9" s="1528"/>
      <c r="C9" s="1105" t="s">
        <v>657</v>
      </c>
      <c r="D9" s="1668" t="s">
        <v>658</v>
      </c>
      <c r="E9" s="1105"/>
      <c r="F9" s="1105"/>
      <c r="G9" s="1669" t="s">
        <v>681</v>
      </c>
      <c r="H9" s="1626" t="s">
        <v>682</v>
      </c>
      <c r="I9" s="1571"/>
      <c r="J9" s="1103"/>
      <c r="K9" s="1103"/>
      <c r="L9" s="1103"/>
    </row>
    <row r="10" spans="2:12" s="1659" customFormat="1" x14ac:dyDescent="0.25">
      <c r="B10" s="1670"/>
      <c r="C10" s="1671">
        <v>3</v>
      </c>
      <c r="D10" s="2138" t="s">
        <v>664</v>
      </c>
      <c r="E10" s="2138"/>
      <c r="F10" s="2138"/>
      <c r="G10" s="1672" t="str">
        <f>IF((COUNTA(Table5[Population Type]))&lt;1,"Concern","OK")</f>
        <v>OK</v>
      </c>
      <c r="H10" s="1660"/>
      <c r="I10" s="1673"/>
      <c r="J10" s="1661"/>
      <c r="K10" s="1661"/>
      <c r="L10" s="1661"/>
    </row>
    <row r="11" spans="2:12" s="1659" customFormat="1" x14ac:dyDescent="0.25">
      <c r="B11" s="1670"/>
      <c r="C11" s="1674"/>
      <c r="D11" s="2139" t="s">
        <v>665</v>
      </c>
      <c r="E11" s="2139"/>
      <c r="F11" s="2139"/>
      <c r="G11" s="1675" t="str">
        <f>IF((COUNTA(Table5[Homeless at Entry?]))&lt;&gt;(COUNTA(Table5[Population Type])),"Concern","OK")</f>
        <v>OK</v>
      </c>
      <c r="H11" s="1662"/>
      <c r="I11" s="1673"/>
      <c r="J11" s="1661"/>
      <c r="K11" s="1661"/>
      <c r="L11" s="1661"/>
    </row>
    <row r="12" spans="2:12" s="1659" customFormat="1" x14ac:dyDescent="0.25">
      <c r="B12" s="1670"/>
      <c r="C12" s="1674"/>
      <c r="D12" s="2139" t="s">
        <v>666</v>
      </c>
      <c r="E12" s="2139"/>
      <c r="F12" s="2139"/>
      <c r="G12" s="1675" t="str">
        <f>IF((COUNTA(Table5[Residency Type]))&lt;&gt;(COUNTA(Table5[Population Type])),"Concern","OK")</f>
        <v>OK</v>
      </c>
      <c r="H12" s="1662"/>
      <c r="I12" s="1673"/>
      <c r="J12" s="1661"/>
      <c r="K12" s="1661"/>
      <c r="L12" s="1661"/>
    </row>
    <row r="13" spans="2:12" s="1659" customFormat="1" x14ac:dyDescent="0.25">
      <c r="B13" s="1670"/>
      <c r="C13" s="1674"/>
      <c r="D13" s="2139" t="s">
        <v>667</v>
      </c>
      <c r="E13" s="2139"/>
      <c r="F13" s="2139"/>
      <c r="G13" s="1675" t="str">
        <f>IF((COUNTA(Table5[Unit 
or Bed]))&lt;1,"Concern","OK")</f>
        <v>OK</v>
      </c>
      <c r="H13" s="1662"/>
      <c r="I13" s="1673"/>
      <c r="J13" s="1661"/>
      <c r="K13" s="1661"/>
      <c r="L13" s="1661"/>
    </row>
    <row r="14" spans="2:12" s="1659" customFormat="1" ht="15.75" thickBot="1" x14ac:dyDescent="0.3">
      <c r="B14" s="1670"/>
      <c r="C14" s="1676"/>
      <c r="D14" s="2142" t="s">
        <v>668</v>
      </c>
      <c r="E14" s="2142"/>
      <c r="F14" s="2142"/>
      <c r="G14" s="1677" t="str">
        <f>IF((COUNTA(Table5[Unit 
or Bed]))&lt;1,"Concern","OK")</f>
        <v>OK</v>
      </c>
      <c r="H14" s="1663"/>
      <c r="I14" s="1673"/>
      <c r="J14" s="1661"/>
      <c r="K14" s="1661"/>
      <c r="L14" s="1661"/>
    </row>
    <row r="15" spans="2:12" s="1659" customFormat="1" ht="15.75" thickBot="1" x14ac:dyDescent="0.3">
      <c r="B15" s="1670"/>
      <c r="C15" s="1674"/>
      <c r="D15" s="2143"/>
      <c r="E15" s="2143"/>
      <c r="F15" s="2143"/>
      <c r="G15" s="1678"/>
      <c r="H15" s="1678"/>
      <c r="I15" s="1673"/>
      <c r="J15" s="1661"/>
      <c r="K15" s="1661"/>
      <c r="L15" s="1661"/>
    </row>
    <row r="16" spans="2:12" x14ac:dyDescent="0.25">
      <c r="B16" s="1528"/>
      <c r="C16" s="1671">
        <v>5</v>
      </c>
      <c r="D16" s="2138" t="s">
        <v>663</v>
      </c>
      <c r="E16" s="2138"/>
      <c r="F16" s="2138"/>
      <c r="G16" s="1672" t="str">
        <f>IF((IFERROR(MATCH("Begin Construction",'5'!D16:D76,0),0))&lt;&gt;0,"OK","Concern")</f>
        <v>OK</v>
      </c>
      <c r="H16" s="1660"/>
      <c r="I16" s="1571"/>
      <c r="J16" s="1103"/>
      <c r="K16" s="1103"/>
      <c r="L16" s="1103"/>
    </row>
    <row r="17" spans="2:12" ht="15.75" thickBot="1" x14ac:dyDescent="0.3">
      <c r="B17" s="1528"/>
      <c r="C17" s="1676"/>
      <c r="D17" s="2142" t="s">
        <v>1137</v>
      </c>
      <c r="E17" s="2142"/>
      <c r="F17" s="2142"/>
      <c r="G17" s="1677" t="str">
        <f>IF('5 Default Check'!E65&gt;=54,"OK","Concern")</f>
        <v>OK</v>
      </c>
      <c r="H17" s="1663"/>
      <c r="I17" s="1571"/>
      <c r="J17" s="1103"/>
      <c r="K17" s="1103"/>
      <c r="L17" s="1103"/>
    </row>
    <row r="18" spans="2:12" ht="15.75" thickBot="1" x14ac:dyDescent="0.3">
      <c r="B18" s="1528"/>
      <c r="C18" s="1674"/>
      <c r="D18" s="2143"/>
      <c r="E18" s="2143"/>
      <c r="F18" s="2143"/>
      <c r="G18" s="1679"/>
      <c r="H18" s="1679"/>
      <c r="I18" s="1571"/>
      <c r="J18" s="1103"/>
      <c r="K18" s="1103"/>
      <c r="L18" s="1103"/>
    </row>
    <row r="19" spans="2:12" ht="15.75" thickBot="1" x14ac:dyDescent="0.3">
      <c r="B19" s="1528"/>
      <c r="C19" s="1680" t="s">
        <v>659</v>
      </c>
      <c r="D19" s="2143" t="s">
        <v>670</v>
      </c>
      <c r="E19" s="2143"/>
      <c r="F19" s="2143"/>
      <c r="G19" s="1681" t="str">
        <f>IF('6A'!J120&lt;&gt;'6A'!J121,"Concern","OK")</f>
        <v>OK</v>
      </c>
      <c r="H19" s="1664"/>
      <c r="I19" s="1571"/>
      <c r="J19" s="1103"/>
      <c r="K19" s="1103"/>
      <c r="L19" s="1103"/>
    </row>
    <row r="20" spans="2:12" ht="15.75" thickBot="1" x14ac:dyDescent="0.3">
      <c r="B20" s="1528"/>
      <c r="C20" s="1674"/>
      <c r="D20" s="2141"/>
      <c r="E20" s="2141"/>
      <c r="F20" s="2141"/>
      <c r="G20" s="1679"/>
      <c r="H20" s="1679"/>
      <c r="I20" s="1571"/>
      <c r="J20" s="1103"/>
      <c r="K20" s="1103"/>
      <c r="L20" s="1103"/>
    </row>
    <row r="21" spans="2:12" x14ac:dyDescent="0.25">
      <c r="B21" s="1528"/>
      <c r="C21" s="1671" t="s">
        <v>660</v>
      </c>
      <c r="D21" s="2141" t="s">
        <v>661</v>
      </c>
      <c r="E21" s="2141"/>
      <c r="F21" s="2141"/>
      <c r="G21" s="1682" t="str">
        <f>IF((COUNTA(#REF!,#REF!))&gt;(COUNTA(#REF!,#REF!)),"Concern","OK")</f>
        <v>OK</v>
      </c>
      <c r="H21" s="1660"/>
      <c r="I21" s="1571"/>
      <c r="J21" s="1103"/>
      <c r="K21" s="1103"/>
      <c r="L21" s="1103"/>
    </row>
    <row r="22" spans="2:12" x14ac:dyDescent="0.25">
      <c r="B22" s="1528"/>
      <c r="C22" s="1674"/>
      <c r="D22" s="2139" t="s">
        <v>672</v>
      </c>
      <c r="E22" s="2139"/>
      <c r="F22" s="2139"/>
      <c r="G22" s="1675" t="str">
        <f>IF((COUNTA(#REF!,#REF!))&gt;(COUNTA(#REF!,#REF!)),"Concern","OK")</f>
        <v>OK</v>
      </c>
      <c r="H22" s="1662"/>
      <c r="I22" s="1571"/>
      <c r="J22" s="1103"/>
      <c r="K22" s="1103"/>
      <c r="L22" s="1103"/>
    </row>
    <row r="23" spans="2:12" x14ac:dyDescent="0.25">
      <c r="B23" s="1528"/>
      <c r="C23" s="1674"/>
      <c r="D23" s="1707" t="s">
        <v>1513</v>
      </c>
      <c r="E23" s="1707"/>
      <c r="F23" s="1707"/>
      <c r="G23" s="1675" t="str">
        <f>IF(((COUNTIF('7A'!J26:J32,"Loan"))+(COUNTIF('7A'!J43:J45,"Loan")))&gt;(COUNTA('7A'!M26:M32)+COUNTA('7A'!M43:M45)),"Concern","OK")</f>
        <v>OK</v>
      </c>
      <c r="H23" s="1662"/>
      <c r="I23" s="1571"/>
      <c r="J23" s="1103"/>
      <c r="K23" s="1103"/>
      <c r="L23" s="1103"/>
    </row>
    <row r="24" spans="2:12" x14ac:dyDescent="0.25">
      <c r="B24" s="1528"/>
      <c r="C24" s="1683"/>
      <c r="D24" s="2139" t="s">
        <v>662</v>
      </c>
      <c r="E24" s="2139"/>
      <c r="F24" s="2139"/>
      <c r="G24" s="1675" t="str">
        <f>IF((COUNTA(#REF!,#REF!))&gt;(COUNTA(#REF!,#REF!)),"Concern","OK")</f>
        <v>OK</v>
      </c>
      <c r="H24" s="1662"/>
      <c r="I24" s="1571"/>
      <c r="J24" s="1103"/>
      <c r="K24" s="1103"/>
      <c r="L24" s="1103"/>
    </row>
    <row r="25" spans="2:12" ht="15.75" thickBot="1" x14ac:dyDescent="0.3">
      <c r="B25" s="1528"/>
      <c r="C25" s="1684"/>
      <c r="D25" s="2140" t="s">
        <v>671</v>
      </c>
      <c r="E25" s="2140"/>
      <c r="F25" s="2140"/>
      <c r="G25" s="1677" t="str">
        <f>IF('6A'!K121&lt;&gt;'7A'!F50,"Concern","OK")</f>
        <v>Concern</v>
      </c>
      <c r="H25" s="1663" t="s">
        <v>2092</v>
      </c>
      <c r="I25" s="1571"/>
      <c r="J25" s="1103"/>
      <c r="K25" s="1103"/>
      <c r="L25" s="1103"/>
    </row>
    <row r="26" spans="2:12" ht="15.75" thickBot="1" x14ac:dyDescent="0.3">
      <c r="B26" s="1532"/>
      <c r="C26" s="1685"/>
      <c r="D26" s="1686"/>
      <c r="E26" s="1579"/>
      <c r="F26" s="1579"/>
      <c r="G26" s="1579"/>
      <c r="H26" s="1579"/>
      <c r="I26" s="1533"/>
      <c r="J26" s="1103"/>
      <c r="K26" s="1103"/>
      <c r="L26" s="1103"/>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154" priority="17" operator="equal">
      <formula>"OK"</formula>
    </cfRule>
    <cfRule type="cellIs" dxfId="153" priority="18" operator="equal">
      <formula>"FAIL"</formula>
    </cfRule>
  </conditionalFormatting>
  <conditionalFormatting sqref="H24">
    <cfRule type="cellIs" dxfId="152" priority="15" operator="equal">
      <formula>"OK"</formula>
    </cfRule>
    <cfRule type="cellIs" dxfId="151" priority="16" operator="equal">
      <formula>"FAIL"</formula>
    </cfRule>
  </conditionalFormatting>
  <conditionalFormatting sqref="H25">
    <cfRule type="cellIs" dxfId="150" priority="13" operator="equal">
      <formula>"OK"</formula>
    </cfRule>
    <cfRule type="cellIs" dxfId="149" priority="14" operator="equal">
      <formula>"FAIL"</formula>
    </cfRule>
  </conditionalFormatting>
  <conditionalFormatting sqref="H21">
    <cfRule type="cellIs" dxfId="148" priority="11" operator="equal">
      <formula>"OK"</formula>
    </cfRule>
    <cfRule type="cellIs" dxfId="147" priority="12" operator="equal">
      <formula>"FAIL"</formula>
    </cfRule>
  </conditionalFormatting>
  <conditionalFormatting sqref="H19">
    <cfRule type="cellIs" dxfId="146" priority="9" operator="equal">
      <formula>"OK"</formula>
    </cfRule>
    <cfRule type="cellIs" dxfId="145" priority="10" operator="equal">
      <formula>"FAIL"</formula>
    </cfRule>
  </conditionalFormatting>
  <conditionalFormatting sqref="G10:G15 G18:G22 G24:G25">
    <cfRule type="containsText" dxfId="144" priority="7" operator="containsText" text="Concern">
      <formula>NOT(ISERROR(SEARCH("Concern",G10)))</formula>
    </cfRule>
    <cfRule type="containsText" dxfId="143" priority="8" operator="containsText" text="OK">
      <formula>NOT(ISERROR(SEARCH("OK",G10)))</formula>
    </cfRule>
  </conditionalFormatting>
  <conditionalFormatting sqref="G17">
    <cfRule type="containsText" dxfId="142" priority="5" operator="containsText" text="Concern">
      <formula>NOT(ISERROR(SEARCH("Concern",G17)))</formula>
    </cfRule>
    <cfRule type="containsText" dxfId="141" priority="6" operator="containsText" text="OK">
      <formula>NOT(ISERROR(SEARCH("OK",G17)))</formula>
    </cfRule>
  </conditionalFormatting>
  <conditionalFormatting sqref="G16">
    <cfRule type="containsText" dxfId="140" priority="3" operator="containsText" text="Concern">
      <formula>NOT(ISERROR(SEARCH("Concern",G16)))</formula>
    </cfRule>
    <cfRule type="containsText" dxfId="139" priority="4" operator="containsText" text="OK">
      <formula>NOT(ISERROR(SEARCH("OK",G16)))</formula>
    </cfRule>
  </conditionalFormatting>
  <conditionalFormatting sqref="G23">
    <cfRule type="containsText" dxfId="138" priority="1" operator="containsText" text="Concern">
      <formula>NOT(ISERROR(SEARCH("Concern",G23)))</formula>
    </cfRule>
    <cfRule type="containsText" dxfId="137"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4"/>
  <sheetViews>
    <sheetView workbookViewId="0">
      <selection activeCell="L23" sqref="L23"/>
    </sheetView>
  </sheetViews>
  <sheetFormatPr defaultRowHeight="15" x14ac:dyDescent="0.25"/>
  <cols>
    <col min="1" max="73" width="4.28515625" customWidth="1"/>
    <col min="74" max="76" width="4.28515625" style="728" customWidth="1"/>
    <col min="77" max="82" width="4.28515625" customWidth="1"/>
    <col min="83" max="83" width="4.28515625" style="728" customWidth="1"/>
    <col min="84" max="84" width="4.28515625" customWidth="1"/>
    <col min="85" max="85" width="4.28515625" style="728" customWidth="1"/>
    <col min="86" max="86" width="4.28515625" customWidth="1"/>
    <col min="87" max="87" width="4.28515625" style="728" customWidth="1"/>
    <col min="88" max="88" width="4.28515625" customWidth="1"/>
    <col min="89" max="89" width="4.28515625" style="728" customWidth="1"/>
    <col min="90" max="102" width="4.28515625" customWidth="1"/>
  </cols>
  <sheetData>
    <row r="1" spans="1:103" x14ac:dyDescent="0.25">
      <c r="A1" s="1767" t="s">
        <v>1540</v>
      </c>
      <c r="B1" s="1767" t="s">
        <v>443</v>
      </c>
      <c r="C1" s="1767" t="s">
        <v>1610</v>
      </c>
      <c r="D1" s="1767" t="s">
        <v>1611</v>
      </c>
      <c r="E1" s="1767" t="s">
        <v>1612</v>
      </c>
      <c r="F1" s="1767" t="s">
        <v>1541</v>
      </c>
      <c r="G1" s="1767" t="s">
        <v>1542</v>
      </c>
      <c r="H1" s="1767" t="s">
        <v>625</v>
      </c>
      <c r="I1" s="1767" t="s">
        <v>1543</v>
      </c>
      <c r="J1" s="1767" t="s">
        <v>483</v>
      </c>
      <c r="K1" s="1767" t="s">
        <v>1544</v>
      </c>
      <c r="L1" s="1768">
        <v>0.3</v>
      </c>
      <c r="M1" s="1768">
        <v>0.4</v>
      </c>
      <c r="N1" s="1768">
        <v>0.5</v>
      </c>
      <c r="O1" s="1768">
        <v>0.6</v>
      </c>
      <c r="P1" s="1767" t="s">
        <v>1545</v>
      </c>
      <c r="Q1" s="1767" t="s">
        <v>1546</v>
      </c>
      <c r="R1" s="1767" t="s">
        <v>1547</v>
      </c>
      <c r="S1" s="1767" t="s">
        <v>1548</v>
      </c>
      <c r="T1" s="1767" t="s">
        <v>1549</v>
      </c>
      <c r="U1" s="1767" t="s">
        <v>571</v>
      </c>
      <c r="V1" s="1767" t="s">
        <v>572</v>
      </c>
      <c r="W1" s="1767" t="s">
        <v>573</v>
      </c>
      <c r="X1" s="1767" t="s">
        <v>574</v>
      </c>
      <c r="Y1" s="1767" t="s">
        <v>1550</v>
      </c>
      <c r="Z1" s="1767" t="s">
        <v>37</v>
      </c>
      <c r="AA1" s="1767" t="s">
        <v>1551</v>
      </c>
      <c r="AB1" s="1767" t="s">
        <v>1552</v>
      </c>
      <c r="AC1" s="1767" t="s">
        <v>571</v>
      </c>
      <c r="AD1" s="1767" t="s">
        <v>572</v>
      </c>
      <c r="AE1" s="1767" t="s">
        <v>573</v>
      </c>
      <c r="AF1" s="1767" t="s">
        <v>574</v>
      </c>
      <c r="AG1" s="1767" t="s">
        <v>1550</v>
      </c>
      <c r="AH1" s="1767" t="s">
        <v>37</v>
      </c>
      <c r="AI1" s="1767" t="s">
        <v>1553</v>
      </c>
      <c r="AJ1" s="1767" t="s">
        <v>1554</v>
      </c>
      <c r="AK1" s="1767" t="s">
        <v>1555</v>
      </c>
      <c r="AL1" s="1767" t="s">
        <v>1556</v>
      </c>
      <c r="AM1" s="1767" t="s">
        <v>1557</v>
      </c>
      <c r="AN1" s="1767" t="s">
        <v>1558</v>
      </c>
      <c r="AO1" s="1767" t="s">
        <v>1559</v>
      </c>
      <c r="AP1" s="1767" t="s">
        <v>1560</v>
      </c>
      <c r="AQ1" s="1767" t="s">
        <v>1561</v>
      </c>
      <c r="AR1" s="1767" t="s">
        <v>1562</v>
      </c>
      <c r="AS1" s="1767" t="s">
        <v>1563</v>
      </c>
      <c r="AT1" s="1767" t="s">
        <v>1564</v>
      </c>
      <c r="AU1" s="1767" t="s">
        <v>1565</v>
      </c>
      <c r="AV1" s="1767" t="s">
        <v>1566</v>
      </c>
      <c r="AW1" s="1767" t="s">
        <v>1567</v>
      </c>
      <c r="AX1" s="1767" t="s">
        <v>1568</v>
      </c>
      <c r="AY1" s="1767" t="s">
        <v>1569</v>
      </c>
      <c r="AZ1" s="1767" t="s">
        <v>1570</v>
      </c>
      <c r="BA1" s="1767" t="s">
        <v>1571</v>
      </c>
      <c r="BB1" s="1767" t="s">
        <v>1572</v>
      </c>
      <c r="BC1" s="1767" t="s">
        <v>1573</v>
      </c>
      <c r="BD1" s="1767" t="s">
        <v>1574</v>
      </c>
      <c r="BE1" s="1767" t="s">
        <v>1575</v>
      </c>
      <c r="BF1" s="1767" t="s">
        <v>1576</v>
      </c>
      <c r="BG1" s="1767" t="s">
        <v>1577</v>
      </c>
      <c r="BH1" s="1767" t="s">
        <v>1578</v>
      </c>
      <c r="BI1" s="1767" t="s">
        <v>1579</v>
      </c>
      <c r="BJ1" s="1767" t="s">
        <v>1580</v>
      </c>
      <c r="BK1" s="1767" t="s">
        <v>1581</v>
      </c>
      <c r="BL1" s="1767" t="s">
        <v>1582</v>
      </c>
      <c r="BM1" s="1767" t="s">
        <v>1583</v>
      </c>
      <c r="BN1" s="1767" t="s">
        <v>1584</v>
      </c>
      <c r="BO1" s="1767" t="s">
        <v>1585</v>
      </c>
      <c r="BP1" s="1767" t="s">
        <v>1586</v>
      </c>
      <c r="BQ1" s="1767" t="s">
        <v>1587</v>
      </c>
      <c r="BR1" s="1767" t="s">
        <v>1588</v>
      </c>
      <c r="BS1" s="1767" t="s">
        <v>1589</v>
      </c>
      <c r="BT1" s="1767" t="s">
        <v>1590</v>
      </c>
      <c r="BU1" s="1767" t="s">
        <v>1615</v>
      </c>
      <c r="BV1" s="1767" t="s">
        <v>1616</v>
      </c>
      <c r="BW1" s="1767" t="s">
        <v>1613</v>
      </c>
      <c r="BX1" s="1767" t="s">
        <v>1614</v>
      </c>
      <c r="BY1" s="1767" t="s">
        <v>1591</v>
      </c>
      <c r="BZ1" s="1767" t="s">
        <v>1592</v>
      </c>
      <c r="CA1" s="1767" t="s">
        <v>1593</v>
      </c>
      <c r="CB1" s="1767" t="s">
        <v>1594</v>
      </c>
      <c r="CC1" s="1767" t="s">
        <v>1595</v>
      </c>
      <c r="CD1" s="1767" t="s">
        <v>1596</v>
      </c>
      <c r="CE1" s="1767" t="s">
        <v>1623</v>
      </c>
      <c r="CF1" s="1767" t="s">
        <v>1617</v>
      </c>
      <c r="CG1" s="1767" t="s">
        <v>1618</v>
      </c>
      <c r="CH1" s="1767" t="s">
        <v>1619</v>
      </c>
      <c r="CI1" s="1767" t="s">
        <v>1620</v>
      </c>
      <c r="CJ1" s="1767" t="s">
        <v>1621</v>
      </c>
      <c r="CK1" s="1767" t="s">
        <v>1622</v>
      </c>
      <c r="CL1" s="1767" t="s">
        <v>1597</v>
      </c>
      <c r="CM1" s="1767" t="s">
        <v>1598</v>
      </c>
      <c r="CN1" s="1767" t="s">
        <v>1599</v>
      </c>
      <c r="CO1" s="1767" t="s">
        <v>1600</v>
      </c>
      <c r="CP1" s="1767" t="s">
        <v>1601</v>
      </c>
      <c r="CQ1" s="1767" t="s">
        <v>1602</v>
      </c>
      <c r="CR1" s="1767" t="s">
        <v>1603</v>
      </c>
      <c r="CS1" s="1767" t="s">
        <v>1604</v>
      </c>
      <c r="CT1" s="1767" t="s">
        <v>1605</v>
      </c>
      <c r="CU1" s="1767" t="s">
        <v>1606</v>
      </c>
      <c r="CV1" s="1767" t="s">
        <v>1607</v>
      </c>
      <c r="CW1" s="1767" t="s">
        <v>1608</v>
      </c>
      <c r="CX1" s="1767" t="s">
        <v>1609</v>
      </c>
      <c r="CY1" s="1766"/>
    </row>
    <row r="2" spans="1:103" x14ac:dyDescent="0.25">
      <c r="A2" t="str">
        <f>'1'!G8</f>
        <v>Beacon Communities, Inc. (dba HumanGood)</v>
      </c>
      <c r="B2" t="str">
        <f>'1'!G15</f>
        <v>Beacon Development Group</v>
      </c>
      <c r="C2" t="str">
        <f>'9A'!D16</f>
        <v>ancel.romero@humangood.org</v>
      </c>
      <c r="D2" t="str">
        <f>'1'!G10</f>
        <v>Brian Lloyd</v>
      </c>
      <c r="E2" t="str">
        <f>'1'!J19</f>
        <v>chrism@beacondevgroup.com</v>
      </c>
      <c r="F2" t="str">
        <f>'1'!G5</f>
        <v>Filipino Community Village</v>
      </c>
      <c r="G2" t="str">
        <f>'1'!G29</f>
        <v>Seattle</v>
      </c>
      <c r="H2" t="str">
        <f>'1'!J29</f>
        <v>King</v>
      </c>
      <c r="I2">
        <f>'1'!G31</f>
        <v>37</v>
      </c>
      <c r="J2" t="str">
        <f>CONCATENATE((IF('1'!F39="X",'1'!E39,"")),", ",(IF('1'!F41="X",'1'!E41,"")),", ",(IF('1'!F43="X",'1'!E43,"")),", ",(IF('1'!F45="X",'1'!E45,"")),", ",(IF('1'!J39="X",'1'!G39,"")),", ",(IF('1'!J41="X",'1'!G41,"")),", ",(IF('1'!J43="X",'1'!G43,"")),", ",(IF('1'!J45="X",'1'!G45,"")),", ",(IF('1'!M39="X",'1'!L39,"")),", ",(IF('1'!M41="X",'1'!L41,"")))</f>
        <v xml:space="preserve">, , New Construction, , , , Demolition/Redevelopment, , Mixed Use , </v>
      </c>
      <c r="K2">
        <f>SUM(L2:R2)</f>
        <v>77</v>
      </c>
      <c r="L2">
        <f>'8A'!L35+'8A'!L36</f>
        <v>20</v>
      </c>
      <c r="M2">
        <f>'8A'!L37+'8A'!L38</f>
        <v>0</v>
      </c>
      <c r="N2">
        <f>'8A'!L39+'8A'!L40</f>
        <v>20</v>
      </c>
      <c r="O2">
        <f>'8A'!L41+'8A'!L42</f>
        <v>36</v>
      </c>
      <c r="P2">
        <f>'8A'!L43+'8A'!L44</f>
        <v>0</v>
      </c>
      <c r="Q2">
        <f>'8A'!L47</f>
        <v>1</v>
      </c>
      <c r="R2">
        <f>'8A'!L46</f>
        <v>0</v>
      </c>
      <c r="T2">
        <f>'8A'!E48+'8A'!F48</f>
        <v>29</v>
      </c>
      <c r="U2">
        <f>'8A'!G48</f>
        <v>47</v>
      </c>
      <c r="V2">
        <f>'8A'!H48</f>
        <v>1</v>
      </c>
      <c r="W2">
        <f>'8A'!I48</f>
        <v>0</v>
      </c>
      <c r="X2">
        <f>'8A'!J48</f>
        <v>0</v>
      </c>
      <c r="Y2">
        <f>'8A'!K48</f>
        <v>0</v>
      </c>
      <c r="Z2">
        <f>'8A'!D48</f>
        <v>0</v>
      </c>
      <c r="AB2">
        <f>AVERAGE('8A'!E51+'8A'!F51)</f>
        <v>408</v>
      </c>
      <c r="AC2">
        <f>'8A'!G51</f>
        <v>579</v>
      </c>
      <c r="AD2" s="728">
        <f>'8A'!H51</f>
        <v>1126</v>
      </c>
      <c r="AE2" s="728">
        <f>'8A'!I51</f>
        <v>0</v>
      </c>
      <c r="AF2" s="728">
        <f>'8A'!J51</f>
        <v>0</v>
      </c>
      <c r="AG2" s="728">
        <f>'8A'!K51</f>
        <v>0</v>
      </c>
      <c r="AH2" s="728">
        <f>AVERAGE('8A'!D51+'8A'!E51)</f>
        <v>0</v>
      </c>
      <c r="AI2" s="1760">
        <f>'2B'!K34</f>
        <v>57454</v>
      </c>
      <c r="AJ2" s="1760">
        <f>'2B'!O34</f>
        <v>72295</v>
      </c>
      <c r="AK2" t="e">
        <f>#REF!</f>
        <v>#REF!</v>
      </c>
      <c r="AL2" s="728" t="e">
        <f>#REF!</f>
        <v>#REF!</v>
      </c>
      <c r="AM2" s="728" t="e">
        <f>#REF!</f>
        <v>#REF!</v>
      </c>
      <c r="AN2" s="728" t="e">
        <f>#REF!</f>
        <v>#REF!</v>
      </c>
      <c r="AO2" s="728" t="e">
        <f>#REF!</f>
        <v>#REF!</v>
      </c>
      <c r="AP2" s="728" t="e">
        <f>#REF!</f>
        <v>#REF!</v>
      </c>
      <c r="AQ2" s="728" t="e">
        <f>#REF!</f>
        <v>#REF!</v>
      </c>
      <c r="AR2" s="728" t="e">
        <f>#REF!</f>
        <v>#REF!</v>
      </c>
      <c r="AT2" s="1761">
        <f>INDEX(Schedule_Dates,MATCH("building permits issued",'5'!D17:D75,0))</f>
        <v>43449</v>
      </c>
      <c r="AU2" s="1761">
        <f>INDEX(Schedule_Dates,MATCH("begin construction",'5'!D17:D75,0))</f>
        <v>43480</v>
      </c>
      <c r="AV2" s="1761">
        <f>INDEX(Schedule_Dates,MATCH("issued certificate of occupancy",'5'!D17:D75,0))</f>
        <v>43905</v>
      </c>
      <c r="AW2" s="1762">
        <f>'6A'!J22</f>
        <v>1100000</v>
      </c>
      <c r="AX2" s="1762">
        <f>'6A'!K22</f>
        <v>874268</v>
      </c>
      <c r="AY2" s="1762">
        <f>'6A'!J36</f>
        <v>1508133</v>
      </c>
      <c r="AZ2" s="1762">
        <f>'6A'!J37</f>
        <v>0</v>
      </c>
      <c r="BA2" s="1762">
        <f>'6A'!J32</f>
        <v>14131164</v>
      </c>
      <c r="BB2" s="1762">
        <f>'6A'!J33</f>
        <v>0</v>
      </c>
      <c r="BC2" s="1762">
        <f>'6A'!J47</f>
        <v>19447341</v>
      </c>
      <c r="BD2" s="1762">
        <f>'6A'!K47</f>
        <v>16619317</v>
      </c>
      <c r="BE2" s="1762">
        <f>'6A'!J58</f>
        <v>1038486</v>
      </c>
      <c r="BF2" s="1762">
        <f>'6A'!J59</f>
        <v>1236488</v>
      </c>
      <c r="BG2" s="1769">
        <f ca="1">SUMIF('6A'!L19:Q20,"*htf*",'6A'!L58:Q58)+SUMIF('6A'!L19:Q20,"*housing trust fund*",'6A'!L58:Q58)</f>
        <v>0</v>
      </c>
      <c r="BH2" s="1769">
        <f ca="1">SUMIF('6A'!L19:Q20,"*htf*",'6A'!L59:Q59)+SUMIF('6A'!L19:Q20,"*housing trust fund*",'6A'!L59:Q59)</f>
        <v>0</v>
      </c>
      <c r="BI2" s="1762">
        <f>'6A'!J90</f>
        <v>365787</v>
      </c>
      <c r="BJ2" s="1762">
        <f>'6A'!K90</f>
        <v>365787</v>
      </c>
      <c r="BK2" s="1762">
        <f>'6A'!J91</f>
        <v>26950</v>
      </c>
      <c r="BL2" s="1762">
        <f>'6A'!K91</f>
        <v>26950</v>
      </c>
      <c r="BM2" s="1762">
        <f>'6A'!J118</f>
        <v>93047</v>
      </c>
      <c r="BN2" s="1762">
        <f>'6A'!K118</f>
        <v>93047</v>
      </c>
      <c r="BO2" t="e">
        <f>IF(BP2&gt;0,"9%",(IF(AND(BP2=0,BQ2&gt;0),"4%",(IF(AND(BP2=0,BQ2=0),"n/a")))))</f>
        <v>#REF!</v>
      </c>
      <c r="BP2" t="e">
        <f>#REF!</f>
        <v>#REF!</v>
      </c>
      <c r="BQ2" t="e">
        <f>#REF!</f>
        <v>#REF!</v>
      </c>
      <c r="BR2">
        <f>'6D'!G40</f>
        <v>1</v>
      </c>
      <c r="BS2" t="str">
        <f>IF('7A'!F22&gt;0,"Y","N")</f>
        <v>Y</v>
      </c>
      <c r="BT2" s="1763">
        <f>SUMIF('7A'!D26:D32,"State - Housing Trust Fund",'7A'!E26:E32)+SUMIF('7A'!D26:D32,"State - Housing Trust Fund",'7A'!F26:F32)</f>
        <v>2000000</v>
      </c>
      <c r="BU2" s="1764">
        <f>SUMIF('7A'!$D26:$D32,"City",'7A'!E26:E32)</f>
        <v>9542254</v>
      </c>
      <c r="BV2" s="1764">
        <f>SUMIF('7A'!$D26:$D32,"City",'7A'!F26:F32)</f>
        <v>0</v>
      </c>
      <c r="BW2" s="1764">
        <f>SUMIF('7A'!$D26:$D32,"County",'7A'!E26:E32)</f>
        <v>0</v>
      </c>
      <c r="BX2" s="1764">
        <f>SUMIF('7A'!$D26:$D32,"County",'7A'!F26:F32)</f>
        <v>0</v>
      </c>
      <c r="BY2" s="1764">
        <f>'7A'!F37</f>
        <v>7172979.8000000007</v>
      </c>
      <c r="BZ2" s="1763">
        <f>SUMIFS('7A'!E26:E32,'7A'!C26:C32,"*cdbg*",'7A'!D26:D32,"State - Other")+SUMIFS('7A'!F26:F32,'7A'!C26:C32,"*cdbg*",'7A'!D26:D32,"State - Other")</f>
        <v>0</v>
      </c>
      <c r="CA2" s="1763">
        <f>'7A'!F39</f>
        <v>23564422.800000001</v>
      </c>
      <c r="CB2" s="1763">
        <f>'7A'!F48</f>
        <v>3738042</v>
      </c>
      <c r="CC2" s="1763">
        <f>'7A'!E33+'7A'!E46</f>
        <v>17304235</v>
      </c>
      <c r="CD2" s="1763">
        <f>'7A'!F33+'7A'!F46</f>
        <v>2825250</v>
      </c>
      <c r="CE2" s="1763">
        <f>((((SUMIFS('7A'!$E26:$E32,'7A'!$D26:$D32,"Bank",'7A'!$D26:$D32,"City",'7A'!$D26:$D32,"County",'7A'!$D26:$D32,"federal",'7A'!$D26:$D32,"GSE*",'7A'!$D26:$D32,"Private",'7A'!$D26:$D32,"Public*",'7A'!$D26:$D32,"Sponsor",'7A'!$D26:$D32,"State - Other",'7A'!$D26:$D32,"historic*",'7A'!$D26:$D32,"other"))+'7A'!F37+(SUMIFS('7A'!$F26:$F32,'7A'!$D26:$D32,"Bank",'7A'!$D26:$D32,"City",'7A'!$D26:$D32,"County",'7A'!$D26:$D32,"federal",'7A'!$D26:$D32,"GSE*",'7A'!$D26:$D32,"Private",'7A'!$D26:$D32,"Public*",'7A'!$D26:$D32,"Sponsor",'7A'!$D26:$D32,"State - Other",'7A'!$D26:$D32,"historic*",'7A'!$D26:$D32,"other"))+(SUMIFS('7A'!E43:E45,'7A'!$D43:$D45,"bank",'7A'!$D43:$D45,"city",'7A'!$D43:$D45,"county",'7A'!$D43:$D45,"federal",'7A'!$D43:$D45,"gse*",'7A'!$D43:$D45,"private",'7A'!$D43:$D45,"public*",'7A'!$D43:$D45,"sponsor",'7A'!$D43:$D45,"state",'7A'!$D43:$D45,"historic*",'7A'!$D43:$D45,"new market*",'7A'!$D43:$D45,"other"))+(SUMIFS('7A'!F43:F45,'7A'!$D43:$D45,"bank",'7A'!$D43:$D45,"city",'7A'!$D43:$D45,"county",'7A'!$D43:$D45,"federal",'7A'!$D43:$D45,"gse*",'7A'!$D43:$D45,"private",'7A'!$D43:$D45,"public*",'7A'!$D43:$D45,"sponsor",'7A'!$D43:$D45,"state",'7A'!$D43:$D45,"historic*",'7A'!$D43:$D45,"new market*",'7A'!$D43:$D45,"other")))))</f>
        <v>7172979.8000000007</v>
      </c>
      <c r="CF2" s="1762">
        <f>'8B'!D30</f>
        <v>0</v>
      </c>
      <c r="CG2" s="1762">
        <f>'8B'!E30</f>
        <v>0</v>
      </c>
      <c r="CH2" s="1762">
        <f>'8B'!D21</f>
        <v>0</v>
      </c>
      <c r="CI2" s="1762">
        <f>'8B'!E21</f>
        <v>0</v>
      </c>
      <c r="CJ2" s="1762">
        <f>'8B'!D39</f>
        <v>0</v>
      </c>
      <c r="CK2" s="1762">
        <f>'8B'!E39</f>
        <v>0</v>
      </c>
      <c r="CL2" s="1763">
        <f>'8D'!H36</f>
        <v>764263.6</v>
      </c>
      <c r="CM2" s="1763">
        <f>'8D'!H70</f>
        <v>243955</v>
      </c>
      <c r="CN2" s="1763">
        <f>'8D'!H71</f>
        <v>47969.279999999999</v>
      </c>
      <c r="CO2" s="1763">
        <f>'8D'!H91</f>
        <v>486216.28</v>
      </c>
      <c r="CP2" s="1763">
        <f>'8D'!H93</f>
        <v>26950</v>
      </c>
      <c r="CQ2" s="1763">
        <f>'8D'!H94</f>
        <v>0</v>
      </c>
      <c r="CR2" s="1763">
        <f>'8D'!I94</f>
        <v>0</v>
      </c>
      <c r="CS2" s="1763">
        <f>'8D'!H97</f>
        <v>0</v>
      </c>
      <c r="CT2" s="1765">
        <f>'8D'!H49</f>
        <v>1.152218974417804</v>
      </c>
      <c r="CU2" s="1763">
        <f>'8D'!H60</f>
        <v>33172.319999999949</v>
      </c>
      <c r="CV2" s="1763">
        <f>'8D'!I60</f>
        <v>34797.783000000054</v>
      </c>
      <c r="CW2" s="1763">
        <f>'8D'!J60</f>
        <v>36301.063624999952</v>
      </c>
      <c r="CX2" t="str">
        <f>IF(CS2=0,"No","Yes")</f>
        <v>No</v>
      </c>
      <c r="CY2" s="1766"/>
    </row>
    <row r="3" spans="1:103" x14ac:dyDescent="0.25">
      <c r="A3" s="1766"/>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c r="AP3" s="1766"/>
      <c r="AQ3" s="1766"/>
      <c r="AR3" s="1766"/>
      <c r="AS3" s="1766"/>
      <c r="AT3" s="1766"/>
      <c r="AU3" s="1766"/>
      <c r="AV3" s="1766"/>
      <c r="AW3" s="1766"/>
      <c r="AX3" s="1766"/>
      <c r="AY3" s="1766"/>
      <c r="AZ3" s="1766"/>
      <c r="BA3" s="1766"/>
      <c r="BB3" s="1766"/>
      <c r="BC3" s="1766"/>
      <c r="BD3" s="1766"/>
      <c r="BE3" s="1766"/>
      <c r="BF3" s="1766"/>
      <c r="BG3" s="1766"/>
      <c r="BH3" s="1766"/>
      <c r="BI3" s="1766"/>
      <c r="BJ3" s="1766"/>
      <c r="BK3" s="1766"/>
      <c r="BL3" s="1766"/>
      <c r="BM3" s="1766"/>
      <c r="BN3" s="1766"/>
      <c r="BO3" s="1766"/>
      <c r="BP3" s="1766"/>
      <c r="BQ3" s="1766"/>
      <c r="BR3" s="1766"/>
      <c r="BS3" s="1766"/>
      <c r="BT3" s="1766"/>
      <c r="BU3" s="1766"/>
      <c r="BV3" s="1766"/>
      <c r="BW3" s="1766"/>
      <c r="BX3" s="1766"/>
      <c r="BY3" s="1766"/>
      <c r="BZ3" s="1766"/>
      <c r="CA3" s="1766"/>
      <c r="CB3" s="1766"/>
      <c r="CC3" s="1766"/>
      <c r="CD3" s="1766"/>
      <c r="CE3" s="1766"/>
      <c r="CF3" s="1766"/>
      <c r="CG3" s="1766"/>
      <c r="CH3" s="1766"/>
      <c r="CI3" s="1766"/>
      <c r="CJ3" s="1766"/>
      <c r="CK3" s="1766"/>
      <c r="CL3" s="1766"/>
      <c r="CM3" s="1766"/>
      <c r="CN3" s="1766"/>
      <c r="CO3" s="1766"/>
      <c r="CP3" s="1766"/>
      <c r="CQ3" s="1766"/>
      <c r="CR3" s="1766"/>
      <c r="CS3" s="1766"/>
      <c r="CT3" s="1766"/>
      <c r="CU3" s="1766"/>
      <c r="CV3" s="1766"/>
      <c r="CW3" s="1766"/>
      <c r="CX3" s="1766"/>
      <c r="CY3" s="1766"/>
    </row>
    <row r="4" spans="1:103" x14ac:dyDescent="0.25">
      <c r="AC4" s="728"/>
    </row>
    <row r="5" spans="1:103" x14ac:dyDescent="0.25">
      <c r="K5" s="728" t="str">
        <f>IF('1'!I39="X",'1'!H39,"")</f>
        <v/>
      </c>
      <c r="L5" s="728"/>
      <c r="M5" s="728" t="str">
        <f>IF('1'!K39="X",'1'!J39,"")</f>
        <v/>
      </c>
      <c r="N5" s="728" t="str">
        <f>IF('1'!L39="X",'1'!K39,"")</f>
        <v/>
      </c>
      <c r="AC5" s="728"/>
    </row>
    <row r="6" spans="1:103" x14ac:dyDescent="0.25">
      <c r="AC6" s="728"/>
    </row>
    <row r="7" spans="1:103" x14ac:dyDescent="0.25">
      <c r="AC7" s="728"/>
    </row>
    <row r="8" spans="1:103" x14ac:dyDescent="0.25">
      <c r="AC8" s="728"/>
    </row>
    <row r="9" spans="1:103" x14ac:dyDescent="0.25">
      <c r="AC9" s="728"/>
    </row>
    <row r="10" spans="1:103" x14ac:dyDescent="0.25">
      <c r="AC10" s="728"/>
      <c r="AK10" s="728"/>
    </row>
    <row r="11" spans="1:103" x14ac:dyDescent="0.25">
      <c r="AK11" s="728"/>
    </row>
    <row r="12" spans="1:103" x14ac:dyDescent="0.25">
      <c r="AK12" s="728"/>
    </row>
    <row r="13" spans="1:103" x14ac:dyDescent="0.25">
      <c r="BQ13" s="728"/>
    </row>
    <row r="14" spans="1:103" x14ac:dyDescent="0.25">
      <c r="BQ14" s="7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zoomScaleNormal="100" workbookViewId="0">
      <selection activeCell="L47" sqref="L47"/>
    </sheetView>
  </sheetViews>
  <sheetFormatPr defaultRowHeight="15" x14ac:dyDescent="0.25"/>
  <cols>
    <col min="1" max="1" width="2.85546875" style="402" customWidth="1"/>
    <col min="2" max="3" width="1.42578125" style="402" customWidth="1"/>
    <col min="4" max="4" width="11" style="402" customWidth="1"/>
    <col min="5" max="5" width="9.140625" style="402"/>
    <col min="6" max="6" width="4" style="402" customWidth="1"/>
    <col min="7" max="9" width="9.140625" style="402"/>
    <col min="10" max="10" width="4" style="402" customWidth="1"/>
    <col min="11" max="12" width="9.140625" style="402"/>
    <col min="13" max="13" width="4" style="402" bestFit="1" customWidth="1"/>
    <col min="14" max="14" width="6" style="402" customWidth="1"/>
    <col min="15" max="15" width="9.140625" style="402"/>
    <col min="16" max="17" width="1.42578125" style="402" customWidth="1"/>
    <col min="18" max="16384" width="9.140625" style="402"/>
  </cols>
  <sheetData>
    <row r="1" spans="2:17" ht="15.75" thickBot="1" x14ac:dyDescent="0.3"/>
    <row r="2" spans="2:17" ht="7.5" customHeight="1" x14ac:dyDescent="0.25">
      <c r="B2" s="368"/>
      <c r="C2" s="369"/>
      <c r="D2" s="369"/>
      <c r="E2" s="369"/>
      <c r="F2" s="369"/>
      <c r="G2" s="369"/>
      <c r="H2" s="369"/>
      <c r="I2" s="369"/>
      <c r="J2" s="369"/>
      <c r="K2" s="369"/>
      <c r="L2" s="369"/>
      <c r="M2" s="369"/>
      <c r="N2" s="369"/>
      <c r="O2" s="369"/>
      <c r="P2" s="369"/>
      <c r="Q2" s="404"/>
    </row>
    <row r="3" spans="2:17" ht="18.75" x14ac:dyDescent="0.3">
      <c r="B3" s="370"/>
      <c r="C3" s="2144" t="s">
        <v>1147</v>
      </c>
      <c r="D3" s="2144"/>
      <c r="E3" s="2144"/>
      <c r="F3" s="2144"/>
      <c r="G3" s="2144"/>
      <c r="H3" s="2144"/>
      <c r="I3" s="2144"/>
      <c r="J3" s="2144"/>
      <c r="K3" s="2144"/>
      <c r="L3" s="2144"/>
      <c r="M3" s="2144"/>
      <c r="N3" s="2144"/>
      <c r="O3" s="2144"/>
      <c r="P3" s="2144"/>
      <c r="Q3" s="405"/>
    </row>
    <row r="4" spans="2:17" x14ac:dyDescent="0.25">
      <c r="B4" s="370"/>
      <c r="C4" s="130"/>
      <c r="D4" s="130"/>
      <c r="E4" s="130"/>
      <c r="F4" s="130"/>
      <c r="G4" s="130"/>
      <c r="H4" s="130"/>
      <c r="I4" s="130"/>
      <c r="J4" s="130"/>
      <c r="K4" s="130"/>
      <c r="L4" s="130"/>
      <c r="M4" s="130"/>
      <c r="N4" s="130"/>
      <c r="O4" s="130"/>
      <c r="P4" s="130"/>
      <c r="Q4" s="405"/>
    </row>
    <row r="5" spans="2:17" ht="18.75" x14ac:dyDescent="0.3">
      <c r="B5" s="370"/>
      <c r="C5" s="162" t="s">
        <v>0</v>
      </c>
      <c r="D5" s="17"/>
      <c r="E5" s="429"/>
      <c r="F5" s="429"/>
      <c r="G5" s="2162" t="s">
        <v>1860</v>
      </c>
      <c r="H5" s="2162"/>
      <c r="I5" s="2162"/>
      <c r="J5" s="2162"/>
      <c r="K5" s="2162"/>
      <c r="L5" s="2162"/>
      <c r="M5" s="2162"/>
      <c r="N5" s="2162"/>
      <c r="O5" s="2162"/>
      <c r="P5" s="130"/>
      <c r="Q5" s="405"/>
    </row>
    <row r="6" spans="2:17" ht="3.75" customHeight="1" x14ac:dyDescent="0.25">
      <c r="B6" s="370"/>
      <c r="C6" s="134"/>
      <c r="D6" s="429"/>
      <c r="E6" s="429"/>
      <c r="F6" s="429"/>
      <c r="G6" s="371"/>
      <c r="H6" s="371"/>
      <c r="I6" s="371"/>
      <c r="J6" s="371"/>
      <c r="K6" s="371"/>
      <c r="L6" s="371"/>
      <c r="M6" s="371"/>
      <c r="N6" s="371"/>
      <c r="O6" s="371"/>
      <c r="P6" s="130"/>
      <c r="Q6" s="405"/>
    </row>
    <row r="7" spans="2:17" x14ac:dyDescent="0.25">
      <c r="B7" s="370"/>
      <c r="C7" s="372" t="s">
        <v>1</v>
      </c>
      <c r="D7" s="429"/>
      <c r="E7" s="429"/>
      <c r="F7" s="429"/>
      <c r="G7" s="371"/>
      <c r="H7" s="371"/>
      <c r="I7" s="371"/>
      <c r="J7" s="371"/>
      <c r="K7" s="371"/>
      <c r="L7" s="371"/>
      <c r="M7" s="371"/>
      <c r="N7" s="371"/>
      <c r="O7" s="371"/>
      <c r="P7" s="130"/>
      <c r="Q7" s="405"/>
    </row>
    <row r="8" spans="2:17" x14ac:dyDescent="0.25">
      <c r="B8" s="370"/>
      <c r="C8" s="373" t="s">
        <v>2</v>
      </c>
      <c r="D8" s="429"/>
      <c r="E8" s="429"/>
      <c r="F8" s="429"/>
      <c r="G8" s="2163" t="s">
        <v>1864</v>
      </c>
      <c r="H8" s="2163"/>
      <c r="I8" s="2163"/>
      <c r="J8" s="2163"/>
      <c r="K8" s="2163"/>
      <c r="L8" s="2163"/>
      <c r="M8" s="2163"/>
      <c r="N8" s="2163"/>
      <c r="O8" s="2163"/>
      <c r="P8" s="130"/>
      <c r="Q8" s="405"/>
    </row>
    <row r="9" spans="2:17" ht="3.75" customHeight="1" x14ac:dyDescent="0.25">
      <c r="B9" s="370"/>
      <c r="C9" s="373"/>
      <c r="D9" s="429"/>
      <c r="E9" s="429"/>
      <c r="F9" s="429"/>
      <c r="G9" s="371"/>
      <c r="H9" s="371"/>
      <c r="I9" s="371"/>
      <c r="J9" s="371"/>
      <c r="K9" s="371"/>
      <c r="L9" s="371"/>
      <c r="M9" s="371"/>
      <c r="N9" s="371"/>
      <c r="O9" s="371"/>
      <c r="P9" s="130"/>
      <c r="Q9" s="405"/>
    </row>
    <row r="10" spans="2:17" x14ac:dyDescent="0.25">
      <c r="B10" s="370"/>
      <c r="C10" s="373" t="s">
        <v>3</v>
      </c>
      <c r="D10" s="429"/>
      <c r="E10" s="429"/>
      <c r="F10" s="429"/>
      <c r="G10" s="2158" t="s">
        <v>1865</v>
      </c>
      <c r="H10" s="2158"/>
      <c r="I10" s="2158"/>
      <c r="J10" s="2158"/>
      <c r="K10" s="2158"/>
      <c r="L10" s="2158"/>
      <c r="M10" s="2158"/>
      <c r="N10" s="2158"/>
      <c r="O10" s="2158"/>
      <c r="P10" s="130"/>
      <c r="Q10" s="405"/>
    </row>
    <row r="11" spans="2:17" ht="3.75" customHeight="1" x14ac:dyDescent="0.25">
      <c r="B11" s="370"/>
      <c r="C11" s="374"/>
      <c r="D11" s="429"/>
      <c r="E11" s="429"/>
      <c r="F11" s="429"/>
      <c r="G11" s="371"/>
      <c r="H11" s="371"/>
      <c r="I11" s="371"/>
      <c r="J11" s="371"/>
      <c r="K11" s="371"/>
      <c r="L11" s="371"/>
      <c r="M11" s="371"/>
      <c r="N11" s="371"/>
      <c r="O11" s="371"/>
      <c r="P11" s="130"/>
      <c r="Q11" s="405"/>
    </row>
    <row r="12" spans="2:17" x14ac:dyDescent="0.25">
      <c r="B12" s="370"/>
      <c r="C12" s="373" t="s">
        <v>4</v>
      </c>
      <c r="D12" s="429"/>
      <c r="E12" s="429"/>
      <c r="F12" s="429"/>
      <c r="G12" s="2158" t="s">
        <v>1866</v>
      </c>
      <c r="H12" s="2158"/>
      <c r="I12" s="375" t="s">
        <v>5</v>
      </c>
      <c r="J12" s="2159" t="s">
        <v>1867</v>
      </c>
      <c r="K12" s="2159"/>
      <c r="L12" s="2159"/>
      <c r="M12" s="2159"/>
      <c r="N12" s="2159"/>
      <c r="O12" s="2159"/>
      <c r="P12" s="130"/>
      <c r="Q12" s="405"/>
    </row>
    <row r="13" spans="2:17" ht="3.75" customHeight="1" x14ac:dyDescent="0.25">
      <c r="B13" s="370"/>
      <c r="C13" s="373"/>
      <c r="D13" s="429"/>
      <c r="E13" s="429"/>
      <c r="F13" s="429"/>
      <c r="G13" s="371"/>
      <c r="H13" s="371"/>
      <c r="I13" s="371"/>
      <c r="J13" s="371"/>
      <c r="K13" s="371"/>
      <c r="L13" s="371"/>
      <c r="M13" s="371"/>
      <c r="N13" s="371"/>
      <c r="O13" s="371"/>
      <c r="P13" s="130"/>
      <c r="Q13" s="405"/>
    </row>
    <row r="14" spans="2:17" x14ac:dyDescent="0.25">
      <c r="B14" s="370"/>
      <c r="C14" s="372" t="s">
        <v>6</v>
      </c>
      <c r="D14" s="429"/>
      <c r="E14" s="429"/>
      <c r="F14" s="429"/>
      <c r="G14" s="371"/>
      <c r="H14" s="371"/>
      <c r="I14" s="371"/>
      <c r="J14" s="371"/>
      <c r="K14" s="371"/>
      <c r="L14" s="371"/>
      <c r="M14" s="371"/>
      <c r="N14" s="371"/>
      <c r="O14" s="371"/>
      <c r="P14" s="130"/>
      <c r="Q14" s="405"/>
    </row>
    <row r="15" spans="2:17" x14ac:dyDescent="0.25">
      <c r="B15" s="370"/>
      <c r="C15" s="373" t="s">
        <v>7</v>
      </c>
      <c r="D15" s="429"/>
      <c r="E15" s="429"/>
      <c r="F15" s="429"/>
      <c r="G15" s="2163" t="s">
        <v>1868</v>
      </c>
      <c r="H15" s="2163"/>
      <c r="I15" s="2163"/>
      <c r="J15" s="2163"/>
      <c r="K15" s="2163"/>
      <c r="L15" s="2163"/>
      <c r="M15" s="2163"/>
      <c r="N15" s="2163"/>
      <c r="O15" s="2163"/>
      <c r="P15" s="130"/>
      <c r="Q15" s="405"/>
    </row>
    <row r="16" spans="2:17" ht="3.75" customHeight="1" x14ac:dyDescent="0.25">
      <c r="B16" s="370"/>
      <c r="C16" s="373"/>
      <c r="D16" s="429"/>
      <c r="E16" s="429"/>
      <c r="F16" s="429"/>
      <c r="G16" s="377"/>
      <c r="H16" s="377"/>
      <c r="I16" s="371"/>
      <c r="J16" s="377"/>
      <c r="K16" s="371"/>
      <c r="L16" s="371"/>
      <c r="M16" s="371"/>
      <c r="N16" s="371"/>
      <c r="O16" s="371"/>
      <c r="P16" s="130"/>
      <c r="Q16" s="405"/>
    </row>
    <row r="17" spans="2:17" x14ac:dyDescent="0.25">
      <c r="B17" s="370"/>
      <c r="C17" s="373" t="s">
        <v>8</v>
      </c>
      <c r="D17" s="429"/>
      <c r="E17" s="429"/>
      <c r="F17" s="429"/>
      <c r="G17" s="2158" t="s">
        <v>1869</v>
      </c>
      <c r="H17" s="2158"/>
      <c r="I17" s="2158"/>
      <c r="J17" s="2158"/>
      <c r="K17" s="2158"/>
      <c r="L17" s="2158"/>
      <c r="M17" s="2158"/>
      <c r="N17" s="2158"/>
      <c r="O17" s="2158"/>
      <c r="P17" s="130"/>
      <c r="Q17" s="405"/>
    </row>
    <row r="18" spans="2:17" ht="3.75" customHeight="1" x14ac:dyDescent="0.25">
      <c r="B18" s="370"/>
      <c r="C18" s="374"/>
      <c r="D18" s="429"/>
      <c r="E18" s="429"/>
      <c r="F18" s="429"/>
      <c r="G18" s="377"/>
      <c r="H18" s="377"/>
      <c r="I18" s="371"/>
      <c r="J18" s="377"/>
      <c r="K18" s="371"/>
      <c r="L18" s="371"/>
      <c r="M18" s="371"/>
      <c r="N18" s="371"/>
      <c r="O18" s="371"/>
      <c r="P18" s="130"/>
      <c r="Q18" s="405"/>
    </row>
    <row r="19" spans="2:17" x14ac:dyDescent="0.25">
      <c r="B19" s="370"/>
      <c r="C19" s="373" t="s">
        <v>4</v>
      </c>
      <c r="D19" s="429"/>
      <c r="E19" s="429"/>
      <c r="F19" s="429"/>
      <c r="G19" s="2158" t="s">
        <v>1870</v>
      </c>
      <c r="H19" s="2158"/>
      <c r="I19" s="375" t="s">
        <v>5</v>
      </c>
      <c r="J19" s="2159" t="s">
        <v>1871</v>
      </c>
      <c r="K19" s="2159"/>
      <c r="L19" s="2159"/>
      <c r="M19" s="2159"/>
      <c r="N19" s="2159"/>
      <c r="O19" s="2159"/>
      <c r="P19" s="130"/>
      <c r="Q19" s="405"/>
    </row>
    <row r="20" spans="2:17" ht="3.75" customHeight="1" x14ac:dyDescent="0.25">
      <c r="B20" s="370"/>
      <c r="C20" s="373"/>
      <c r="D20" s="429"/>
      <c r="E20" s="429"/>
      <c r="F20" s="429"/>
      <c r="G20" s="371"/>
      <c r="H20" s="371"/>
      <c r="I20" s="371"/>
      <c r="J20" s="371"/>
      <c r="K20" s="371"/>
      <c r="L20" s="371"/>
      <c r="M20" s="371"/>
      <c r="N20" s="371"/>
      <c r="O20" s="371"/>
      <c r="P20" s="130"/>
      <c r="Q20" s="405"/>
    </row>
    <row r="21" spans="2:17" x14ac:dyDescent="0.25">
      <c r="B21" s="370"/>
      <c r="C21" s="130"/>
      <c r="D21" s="429" t="s">
        <v>9</v>
      </c>
      <c r="E21" s="429"/>
      <c r="F21" s="429"/>
      <c r="G21" s="429"/>
      <c r="H21" s="429"/>
      <c r="I21" s="429"/>
      <c r="J21" s="429"/>
      <c r="K21" s="429"/>
      <c r="L21" s="400" t="s">
        <v>558</v>
      </c>
      <c r="M21" s="1976"/>
      <c r="N21" s="429"/>
      <c r="O21" s="429"/>
      <c r="P21" s="130"/>
      <c r="Q21" s="405"/>
    </row>
    <row r="22" spans="2:17" ht="7.5" customHeight="1" x14ac:dyDescent="0.25">
      <c r="B22" s="370"/>
      <c r="C22" s="130"/>
      <c r="D22" s="429"/>
      <c r="E22" s="429"/>
      <c r="F22" s="429"/>
      <c r="G22" s="429"/>
      <c r="H22" s="429"/>
      <c r="I22" s="429"/>
      <c r="J22" s="429"/>
      <c r="K22" s="429"/>
      <c r="L22" s="379"/>
      <c r="M22" s="429"/>
      <c r="N22" s="379"/>
      <c r="O22" s="429"/>
      <c r="P22" s="130"/>
      <c r="Q22" s="405"/>
    </row>
    <row r="23" spans="2:17" x14ac:dyDescent="0.25">
      <c r="B23" s="370"/>
      <c r="C23" s="162" t="s">
        <v>10</v>
      </c>
      <c r="D23" s="429"/>
      <c r="E23" s="429"/>
      <c r="F23" s="429"/>
      <c r="G23" s="2158" t="s">
        <v>1872</v>
      </c>
      <c r="H23" s="2158"/>
      <c r="I23" s="2158"/>
      <c r="J23" s="2158"/>
      <c r="K23" s="2158"/>
      <c r="L23" s="2158"/>
      <c r="M23" s="2158"/>
      <c r="N23" s="2158"/>
      <c r="O23" s="2158"/>
      <c r="P23" s="130"/>
      <c r="Q23" s="405"/>
    </row>
    <row r="24" spans="2:17" x14ac:dyDescent="0.25">
      <c r="B24" s="370"/>
      <c r="C24" s="130"/>
      <c r="D24" s="429"/>
      <c r="E24" s="429"/>
      <c r="F24" s="429"/>
      <c r="G24" s="377"/>
      <c r="H24" s="377"/>
      <c r="I24" s="377"/>
      <c r="J24" s="377"/>
      <c r="K24" s="377"/>
      <c r="L24" s="377"/>
      <c r="M24" s="377"/>
      <c r="N24" s="377"/>
      <c r="O24" s="377"/>
      <c r="P24" s="130"/>
      <c r="Q24" s="405"/>
    </row>
    <row r="25" spans="2:17" ht="15.75" thickBot="1" x14ac:dyDescent="0.3">
      <c r="B25" s="370"/>
      <c r="C25" s="380" t="s">
        <v>11</v>
      </c>
      <c r="D25" s="381"/>
      <c r="E25" s="381"/>
      <c r="F25" s="381"/>
      <c r="G25" s="381"/>
      <c r="H25" s="381"/>
      <c r="I25" s="381"/>
      <c r="J25" s="381"/>
      <c r="K25" s="381"/>
      <c r="L25" s="381"/>
      <c r="M25" s="381"/>
      <c r="N25" s="381"/>
      <c r="O25" s="381"/>
      <c r="P25" s="130"/>
      <c r="Q25" s="405"/>
    </row>
    <row r="26" spans="2:17" ht="3.75" customHeight="1" x14ac:dyDescent="0.25">
      <c r="B26" s="370"/>
      <c r="C26" s="382"/>
      <c r="D26" s="383"/>
      <c r="E26" s="429"/>
      <c r="F26" s="429"/>
      <c r="G26" s="371"/>
      <c r="H26" s="371"/>
      <c r="I26" s="371"/>
      <c r="J26" s="371"/>
      <c r="K26" s="371"/>
      <c r="L26" s="371"/>
      <c r="M26" s="371"/>
      <c r="N26" s="371"/>
      <c r="O26" s="371"/>
      <c r="P26" s="130"/>
      <c r="Q26" s="405"/>
    </row>
    <row r="27" spans="2:17" x14ac:dyDescent="0.25">
      <c r="B27" s="370"/>
      <c r="C27" s="382"/>
      <c r="D27" s="2145" t="s">
        <v>12</v>
      </c>
      <c r="E27" s="2145"/>
      <c r="F27" s="429"/>
      <c r="G27" s="2158" t="s">
        <v>1877</v>
      </c>
      <c r="H27" s="2158"/>
      <c r="I27" s="2158"/>
      <c r="J27" s="2158"/>
      <c r="K27" s="2158"/>
      <c r="L27" s="2158"/>
      <c r="M27" s="2158"/>
      <c r="N27" s="2158"/>
      <c r="O27" s="2158"/>
      <c r="P27" s="130"/>
      <c r="Q27" s="405"/>
    </row>
    <row r="28" spans="2:17" ht="3.75" customHeight="1" x14ac:dyDescent="0.25">
      <c r="B28" s="370"/>
      <c r="C28" s="373"/>
      <c r="D28" s="1957"/>
      <c r="E28" s="429"/>
      <c r="F28" s="429"/>
      <c r="G28" s="377"/>
      <c r="H28" s="377"/>
      <c r="I28" s="377"/>
      <c r="J28" s="377"/>
      <c r="K28" s="377"/>
      <c r="L28" s="377"/>
      <c r="M28" s="377"/>
      <c r="N28" s="377"/>
      <c r="O28" s="377"/>
      <c r="P28" s="130"/>
      <c r="Q28" s="405"/>
    </row>
    <row r="29" spans="2:17" x14ac:dyDescent="0.25">
      <c r="B29" s="370"/>
      <c r="C29" s="373"/>
      <c r="D29" s="1957" t="s">
        <v>13</v>
      </c>
      <c r="E29" s="429"/>
      <c r="F29" s="429"/>
      <c r="G29" s="2159" t="s">
        <v>1862</v>
      </c>
      <c r="H29" s="2159"/>
      <c r="I29" s="375" t="s">
        <v>14</v>
      </c>
      <c r="J29" s="2158" t="s">
        <v>1266</v>
      </c>
      <c r="K29" s="2158"/>
      <c r="L29" s="375" t="s">
        <v>15</v>
      </c>
      <c r="M29" s="2158">
        <v>98118</v>
      </c>
      <c r="N29" s="2158"/>
      <c r="O29" s="2158"/>
      <c r="P29" s="130"/>
      <c r="Q29" s="405"/>
    </row>
    <row r="30" spans="2:17" ht="3.75" customHeight="1" x14ac:dyDescent="0.25">
      <c r="B30" s="370"/>
      <c r="C30" s="382"/>
      <c r="D30" s="1957"/>
      <c r="E30" s="429"/>
      <c r="F30" s="429"/>
      <c r="G30" s="371"/>
      <c r="H30" s="371"/>
      <c r="I30" s="371"/>
      <c r="J30" s="371"/>
      <c r="K30" s="371"/>
      <c r="L30" s="371"/>
      <c r="M30" s="371"/>
      <c r="N30" s="371"/>
      <c r="O30" s="371"/>
      <c r="P30" s="130"/>
      <c r="Q30" s="405"/>
    </row>
    <row r="31" spans="2:17" x14ac:dyDescent="0.25">
      <c r="B31" s="370"/>
      <c r="C31" s="382"/>
      <c r="D31" s="1957" t="s">
        <v>16</v>
      </c>
      <c r="E31" s="429"/>
      <c r="F31" s="429"/>
      <c r="G31" s="2158">
        <v>37</v>
      </c>
      <c r="H31" s="2158"/>
      <c r="I31" s="429"/>
      <c r="J31" s="429"/>
      <c r="K31" s="375" t="s">
        <v>17</v>
      </c>
      <c r="L31" s="2158">
        <v>9</v>
      </c>
      <c r="M31" s="2158"/>
      <c r="N31" s="2158"/>
      <c r="O31" s="2158"/>
      <c r="P31" s="130"/>
      <c r="Q31" s="405"/>
    </row>
    <row r="32" spans="2:17" ht="3.75" customHeight="1" x14ac:dyDescent="0.25">
      <c r="B32" s="370"/>
      <c r="C32" s="382"/>
      <c r="D32" s="1957"/>
      <c r="E32" s="429"/>
      <c r="F32" s="429"/>
      <c r="G32" s="371"/>
      <c r="H32" s="371"/>
      <c r="I32" s="371"/>
      <c r="J32" s="371"/>
      <c r="K32" s="371"/>
      <c r="L32" s="371"/>
      <c r="M32" s="371"/>
      <c r="N32" s="371"/>
      <c r="O32" s="371"/>
      <c r="P32" s="130"/>
      <c r="Q32" s="405"/>
    </row>
    <row r="33" spans="2:17" x14ac:dyDescent="0.25">
      <c r="B33" s="370"/>
      <c r="C33" s="382"/>
      <c r="D33" s="1957" t="s">
        <v>18</v>
      </c>
      <c r="E33" s="429"/>
      <c r="F33" s="429"/>
      <c r="G33" s="1960">
        <v>103</v>
      </c>
      <c r="H33" s="375" t="s">
        <v>19</v>
      </c>
      <c r="I33" s="1961">
        <v>47.550401000000001</v>
      </c>
      <c r="J33" s="429"/>
      <c r="K33" s="375" t="s">
        <v>20</v>
      </c>
      <c r="L33" s="2160">
        <v>-122.286477</v>
      </c>
      <c r="M33" s="2158"/>
      <c r="N33" s="2158"/>
      <c r="O33" s="2158"/>
      <c r="P33" s="130"/>
      <c r="Q33" s="405"/>
    </row>
    <row r="34" spans="2:17" ht="3.75" customHeight="1" x14ac:dyDescent="0.25">
      <c r="B34" s="370"/>
      <c r="C34" s="328"/>
      <c r="D34" s="1957"/>
      <c r="E34" s="429"/>
      <c r="F34" s="429"/>
      <c r="G34" s="371"/>
      <c r="H34" s="371"/>
      <c r="I34" s="371"/>
      <c r="J34" s="371"/>
      <c r="K34" s="371"/>
      <c r="L34" s="371"/>
      <c r="M34" s="371"/>
      <c r="N34" s="371"/>
      <c r="O34" s="371"/>
      <c r="P34" s="130"/>
      <c r="Q34" s="405"/>
    </row>
    <row r="35" spans="2:17" x14ac:dyDescent="0.25">
      <c r="B35" s="370"/>
      <c r="C35" s="382"/>
      <c r="D35" s="1957" t="s">
        <v>21</v>
      </c>
      <c r="E35" s="429"/>
      <c r="F35" s="429"/>
      <c r="G35" s="2158" t="s">
        <v>1878</v>
      </c>
      <c r="H35" s="2158"/>
      <c r="I35" s="2158"/>
      <c r="J35" s="2158"/>
      <c r="K35" s="2158"/>
      <c r="L35" s="2158"/>
      <c r="M35" s="2158"/>
      <c r="N35" s="2158"/>
      <c r="O35" s="2158"/>
      <c r="P35" s="130"/>
      <c r="Q35" s="405"/>
    </row>
    <row r="36" spans="2:17" ht="7.5" customHeight="1" x14ac:dyDescent="0.25">
      <c r="B36" s="370"/>
      <c r="C36" s="328"/>
      <c r="D36" s="429"/>
      <c r="E36" s="429"/>
      <c r="F36" s="429"/>
      <c r="G36" s="371"/>
      <c r="H36" s="371"/>
      <c r="I36" s="371"/>
      <c r="J36" s="371"/>
      <c r="K36" s="371"/>
      <c r="L36" s="371"/>
      <c r="M36" s="371"/>
      <c r="N36" s="371"/>
      <c r="O36" s="371"/>
      <c r="P36" s="130"/>
      <c r="Q36" s="405"/>
    </row>
    <row r="37" spans="2:17" ht="15.75" thickBot="1" x14ac:dyDescent="0.3">
      <c r="B37" s="370"/>
      <c r="C37" s="380" t="s">
        <v>498</v>
      </c>
      <c r="D37" s="381"/>
      <c r="E37" s="381"/>
      <c r="F37" s="381"/>
      <c r="G37" s="381"/>
      <c r="H37" s="381"/>
      <c r="I37" s="381"/>
      <c r="J37" s="381"/>
      <c r="K37" s="381"/>
      <c r="L37" s="381"/>
      <c r="M37" s="381"/>
      <c r="N37" s="381"/>
      <c r="O37" s="381"/>
      <c r="P37" s="130"/>
      <c r="Q37" s="405"/>
    </row>
    <row r="38" spans="2:17" ht="3.75" customHeight="1" x14ac:dyDescent="0.25">
      <c r="B38" s="370"/>
      <c r="C38" s="130"/>
      <c r="D38" s="429"/>
      <c r="E38" s="1957"/>
      <c r="F38" s="1957"/>
      <c r="G38" s="1957"/>
      <c r="H38" s="1957"/>
      <c r="I38" s="1957"/>
      <c r="J38" s="1957"/>
      <c r="K38" s="1957"/>
      <c r="L38" s="429"/>
      <c r="M38" s="429"/>
      <c r="N38" s="429"/>
      <c r="O38" s="429"/>
      <c r="P38" s="130"/>
      <c r="Q38" s="405"/>
    </row>
    <row r="39" spans="2:17" x14ac:dyDescent="0.25">
      <c r="B39" s="370"/>
      <c r="C39" s="130"/>
      <c r="D39" s="429"/>
      <c r="E39" s="1958" t="s">
        <v>22</v>
      </c>
      <c r="F39" s="401"/>
      <c r="G39" s="2156" t="s">
        <v>23</v>
      </c>
      <c r="H39" s="2146"/>
      <c r="I39" s="2157"/>
      <c r="J39" s="401"/>
      <c r="K39" s="379"/>
      <c r="L39" s="1958" t="s">
        <v>24</v>
      </c>
      <c r="M39" s="401" t="s">
        <v>580</v>
      </c>
      <c r="N39" s="384"/>
      <c r="O39" s="429"/>
      <c r="P39" s="130"/>
      <c r="Q39" s="405"/>
    </row>
    <row r="40" spans="2:17" ht="3.75" customHeight="1" x14ac:dyDescent="0.25">
      <c r="B40" s="370"/>
      <c r="C40" s="130"/>
      <c r="D40" s="429"/>
      <c r="E40" s="1958"/>
      <c r="F40" s="385"/>
      <c r="G40" s="2146"/>
      <c r="H40" s="2146"/>
      <c r="I40" s="2146"/>
      <c r="J40" s="386"/>
      <c r="K40" s="385"/>
      <c r="L40" s="1957"/>
      <c r="M40" s="1957"/>
      <c r="N40" s="384"/>
      <c r="O40" s="429"/>
      <c r="P40" s="130"/>
      <c r="Q40" s="405"/>
    </row>
    <row r="41" spans="2:17" x14ac:dyDescent="0.25">
      <c r="B41" s="370"/>
      <c r="C41" s="130"/>
      <c r="D41" s="429"/>
      <c r="E41" s="1958" t="s">
        <v>25</v>
      </c>
      <c r="F41" s="401"/>
      <c r="G41" s="2156" t="s">
        <v>26</v>
      </c>
      <c r="H41" s="2146"/>
      <c r="I41" s="2157"/>
      <c r="J41" s="401"/>
      <c r="K41" s="387"/>
      <c r="L41" s="1958" t="s">
        <v>27</v>
      </c>
      <c r="M41" s="401"/>
      <c r="N41" s="384"/>
      <c r="O41" s="429"/>
      <c r="P41" s="130"/>
      <c r="Q41" s="405"/>
    </row>
    <row r="42" spans="2:17" ht="3.75" customHeight="1" x14ac:dyDescent="0.25">
      <c r="B42" s="370"/>
      <c r="C42" s="130"/>
      <c r="D42" s="429"/>
      <c r="E42" s="1958"/>
      <c r="F42" s="385"/>
      <c r="G42" s="2146"/>
      <c r="H42" s="2146"/>
      <c r="I42" s="2146"/>
      <c r="J42" s="386"/>
      <c r="K42" s="385"/>
      <c r="L42" s="429"/>
      <c r="M42" s="429"/>
      <c r="N42" s="429"/>
      <c r="O42" s="429"/>
      <c r="P42" s="130"/>
      <c r="Q42" s="405"/>
    </row>
    <row r="43" spans="2:17" x14ac:dyDescent="0.25">
      <c r="B43" s="370"/>
      <c r="C43" s="130"/>
      <c r="D43" s="429"/>
      <c r="E43" s="1958" t="s">
        <v>28</v>
      </c>
      <c r="F43" s="401" t="s">
        <v>580</v>
      </c>
      <c r="G43" s="2156" t="s">
        <v>29</v>
      </c>
      <c r="H43" s="2146"/>
      <c r="I43" s="2157"/>
      <c r="J43" s="401" t="s">
        <v>580</v>
      </c>
      <c r="K43" s="379"/>
      <c r="L43" s="385"/>
      <c r="M43" s="385"/>
      <c r="N43" s="429"/>
      <c r="O43" s="429"/>
      <c r="P43" s="130"/>
      <c r="Q43" s="405"/>
    </row>
    <row r="44" spans="2:17" ht="3.75" customHeight="1" x14ac:dyDescent="0.25">
      <c r="B44" s="370"/>
      <c r="C44" s="130"/>
      <c r="D44" s="429"/>
      <c r="E44" s="385"/>
      <c r="F44" s="385"/>
      <c r="G44" s="385"/>
      <c r="H44" s="385"/>
      <c r="I44" s="385"/>
      <c r="J44" s="385"/>
      <c r="K44" s="385"/>
      <c r="L44" s="429"/>
      <c r="M44" s="429"/>
      <c r="N44" s="429"/>
      <c r="O44" s="429"/>
      <c r="P44" s="130"/>
      <c r="Q44" s="405"/>
    </row>
    <row r="45" spans="2:17" x14ac:dyDescent="0.25">
      <c r="B45" s="370"/>
      <c r="C45" s="130"/>
      <c r="D45" s="429"/>
      <c r="E45" s="1959" t="s">
        <v>30</v>
      </c>
      <c r="F45" s="401"/>
      <c r="G45" s="2156" t="s">
        <v>31</v>
      </c>
      <c r="H45" s="2146"/>
      <c r="I45" s="2157"/>
      <c r="J45" s="401"/>
      <c r="K45" s="388"/>
      <c r="L45" s="429"/>
      <c r="M45" s="429"/>
      <c r="N45" s="429"/>
      <c r="O45" s="429"/>
      <c r="P45" s="130"/>
      <c r="Q45" s="405"/>
    </row>
    <row r="46" spans="2:17" ht="3.75" customHeight="1" x14ac:dyDescent="0.25">
      <c r="B46" s="370"/>
      <c r="C46" s="130"/>
      <c r="D46" s="429"/>
      <c r="E46" s="1958"/>
      <c r="F46" s="379"/>
      <c r="G46" s="1958"/>
      <c r="H46" s="1958"/>
      <c r="I46" s="1958"/>
      <c r="J46" s="388"/>
      <c r="K46" s="388"/>
      <c r="L46" s="429"/>
      <c r="M46" s="429"/>
      <c r="N46" s="429"/>
      <c r="O46" s="429"/>
      <c r="P46" s="130"/>
      <c r="Q46" s="405"/>
    </row>
    <row r="47" spans="2:17" x14ac:dyDescent="0.25">
      <c r="B47" s="370"/>
      <c r="C47" s="130"/>
      <c r="D47" s="429" t="s">
        <v>32</v>
      </c>
      <c r="E47" s="429"/>
      <c r="F47" s="429"/>
      <c r="G47" s="385"/>
      <c r="H47" s="429"/>
      <c r="I47" s="389"/>
      <c r="J47" s="388"/>
      <c r="K47" s="388"/>
      <c r="L47" s="429"/>
      <c r="M47" s="429"/>
      <c r="N47" s="429"/>
      <c r="O47" s="429"/>
      <c r="P47" s="130"/>
      <c r="Q47" s="405"/>
    </row>
    <row r="48" spans="2:17" ht="3.75" customHeight="1" x14ac:dyDescent="0.25">
      <c r="B48" s="370"/>
      <c r="C48" s="130"/>
      <c r="D48" s="429"/>
      <c r="E48" s="1957"/>
      <c r="F48" s="385"/>
      <c r="G48" s="385"/>
      <c r="H48" s="429"/>
      <c r="I48" s="389"/>
      <c r="J48" s="388"/>
      <c r="K48" s="388"/>
      <c r="L48" s="429"/>
      <c r="M48" s="429"/>
      <c r="N48" s="429"/>
      <c r="O48" s="429"/>
      <c r="P48" s="130"/>
      <c r="Q48" s="405"/>
    </row>
    <row r="49" spans="2:17" x14ac:dyDescent="0.25">
      <c r="B49" s="370"/>
      <c r="C49" s="130"/>
      <c r="D49" s="2147" t="s">
        <v>1873</v>
      </c>
      <c r="E49" s="2148"/>
      <c r="F49" s="2148"/>
      <c r="G49" s="2148"/>
      <c r="H49" s="2148"/>
      <c r="I49" s="2148"/>
      <c r="J49" s="2148"/>
      <c r="K49" s="2148"/>
      <c r="L49" s="2148"/>
      <c r="M49" s="2148"/>
      <c r="N49" s="2148"/>
      <c r="O49" s="2149"/>
      <c r="P49" s="130"/>
      <c r="Q49" s="405"/>
    </row>
    <row r="50" spans="2:17" x14ac:dyDescent="0.25">
      <c r="B50" s="370"/>
      <c r="C50" s="130"/>
      <c r="D50" s="2150"/>
      <c r="E50" s="2151"/>
      <c r="F50" s="2151"/>
      <c r="G50" s="2151"/>
      <c r="H50" s="2151"/>
      <c r="I50" s="2151"/>
      <c r="J50" s="2151"/>
      <c r="K50" s="2151"/>
      <c r="L50" s="2151"/>
      <c r="M50" s="2151"/>
      <c r="N50" s="2151"/>
      <c r="O50" s="2152"/>
      <c r="P50" s="130"/>
      <c r="Q50" s="405"/>
    </row>
    <row r="51" spans="2:17" x14ac:dyDescent="0.25">
      <c r="B51" s="370"/>
      <c r="C51" s="130"/>
      <c r="D51" s="2150"/>
      <c r="E51" s="2151"/>
      <c r="F51" s="2151"/>
      <c r="G51" s="2151"/>
      <c r="H51" s="2151"/>
      <c r="I51" s="2151"/>
      <c r="J51" s="2151"/>
      <c r="K51" s="2151"/>
      <c r="L51" s="2151"/>
      <c r="M51" s="2151"/>
      <c r="N51" s="2151"/>
      <c r="O51" s="2152"/>
      <c r="P51" s="130"/>
      <c r="Q51" s="405"/>
    </row>
    <row r="52" spans="2:17" x14ac:dyDescent="0.25">
      <c r="B52" s="370"/>
      <c r="C52" s="130"/>
      <c r="D52" s="2150"/>
      <c r="E52" s="2151"/>
      <c r="F52" s="2151"/>
      <c r="G52" s="2151"/>
      <c r="H52" s="2151"/>
      <c r="I52" s="2151"/>
      <c r="J52" s="2151"/>
      <c r="K52" s="2151"/>
      <c r="L52" s="2151"/>
      <c r="M52" s="2151"/>
      <c r="N52" s="2151"/>
      <c r="O52" s="2152"/>
      <c r="P52" s="130"/>
      <c r="Q52" s="405"/>
    </row>
    <row r="53" spans="2:17" x14ac:dyDescent="0.25">
      <c r="B53" s="370"/>
      <c r="C53" s="130"/>
      <c r="D53" s="2153"/>
      <c r="E53" s="2154"/>
      <c r="F53" s="2154"/>
      <c r="G53" s="2154"/>
      <c r="H53" s="2154"/>
      <c r="I53" s="2154"/>
      <c r="J53" s="2154"/>
      <c r="K53" s="2154"/>
      <c r="L53" s="2154"/>
      <c r="M53" s="2154"/>
      <c r="N53" s="2154"/>
      <c r="O53" s="2155"/>
      <c r="P53" s="130"/>
      <c r="Q53" s="405"/>
    </row>
    <row r="54" spans="2:17" ht="15" customHeight="1" thickBot="1" x14ac:dyDescent="0.3">
      <c r="B54" s="370"/>
      <c r="C54" s="130"/>
      <c r="D54" s="390"/>
      <c r="E54" s="390"/>
      <c r="F54" s="391"/>
      <c r="G54" s="390"/>
      <c r="H54" s="391"/>
      <c r="I54" s="391"/>
      <c r="J54" s="391"/>
      <c r="K54" s="391"/>
      <c r="L54" s="391"/>
      <c r="M54" s="391"/>
      <c r="N54" s="391"/>
      <c r="O54" s="391"/>
      <c r="P54" s="130"/>
      <c r="Q54" s="405"/>
    </row>
    <row r="55" spans="2:17" ht="15" customHeight="1" thickBot="1" x14ac:dyDescent="0.3">
      <c r="B55" s="370"/>
      <c r="C55" s="130"/>
      <c r="D55" s="392" t="s">
        <v>33</v>
      </c>
      <c r="E55" s="390"/>
      <c r="F55" s="685">
        <v>1</v>
      </c>
      <c r="G55" s="393" t="str">
        <f>IF(F55&gt;1,"STOP!","")</f>
        <v/>
      </c>
      <c r="H55" s="2161" t="str">
        <f>IF(G55="STOP!","Projects incorporating more than one Site must submit a multiple-Site set of Forms. Please contact Sean Harrington via email at sean.harrington@commerce.wa.gov to request a set tailored for your Project","")</f>
        <v/>
      </c>
      <c r="I55" s="2161"/>
      <c r="J55" s="2161"/>
      <c r="K55" s="2161"/>
      <c r="L55" s="2161"/>
      <c r="M55" s="2161"/>
      <c r="N55" s="2161"/>
      <c r="O55" s="394"/>
      <c r="P55" s="130"/>
      <c r="Q55" s="405"/>
    </row>
    <row r="56" spans="2:17" ht="15" customHeight="1" thickBot="1" x14ac:dyDescent="0.3">
      <c r="B56" s="370"/>
      <c r="C56" s="130"/>
      <c r="D56" s="390"/>
      <c r="E56" s="390"/>
      <c r="F56" s="391"/>
      <c r="G56" s="390"/>
      <c r="H56" s="2161"/>
      <c r="I56" s="2161"/>
      <c r="J56" s="2161"/>
      <c r="K56" s="2161"/>
      <c r="L56" s="2161"/>
      <c r="M56" s="2161"/>
      <c r="N56" s="2161"/>
      <c r="O56" s="394"/>
      <c r="P56" s="130"/>
      <c r="Q56" s="405"/>
    </row>
    <row r="57" spans="2:17" ht="15" customHeight="1" thickTop="1" thickBot="1" x14ac:dyDescent="0.3">
      <c r="B57" s="370"/>
      <c r="C57" s="130"/>
      <c r="D57" s="162" t="s">
        <v>35</v>
      </c>
      <c r="E57" s="429"/>
      <c r="F57" s="395">
        <f>'2A'!L22</f>
        <v>77</v>
      </c>
      <c r="G57" s="429"/>
      <c r="H57" s="2161"/>
      <c r="I57" s="2161"/>
      <c r="J57" s="2161"/>
      <c r="K57" s="2161"/>
      <c r="L57" s="2161"/>
      <c r="M57" s="2161"/>
      <c r="N57" s="2161"/>
      <c r="O57" s="394"/>
      <c r="P57" s="130"/>
      <c r="Q57" s="405"/>
    </row>
    <row r="58" spans="2:17" ht="15" customHeight="1" thickTop="1" x14ac:dyDescent="0.25">
      <c r="B58" s="370"/>
      <c r="C58" s="130"/>
      <c r="D58" s="396"/>
      <c r="E58" s="130"/>
      <c r="F58" s="429"/>
      <c r="G58" s="429"/>
      <c r="H58" s="2161"/>
      <c r="I58" s="2161"/>
      <c r="J58" s="2161"/>
      <c r="K58" s="2161"/>
      <c r="L58" s="2161"/>
      <c r="M58" s="2161"/>
      <c r="N58" s="2161"/>
      <c r="O58" s="394"/>
      <c r="P58" s="130"/>
      <c r="Q58" s="405"/>
    </row>
    <row r="59" spans="2:17" ht="15" customHeight="1" x14ac:dyDescent="0.25">
      <c r="B59" s="370"/>
      <c r="C59" s="130"/>
      <c r="D59" s="130"/>
      <c r="E59" s="397"/>
      <c r="F59" s="398"/>
      <c r="G59" s="397"/>
      <c r="H59" s="397"/>
      <c r="I59" s="397"/>
      <c r="J59" s="399"/>
      <c r="K59" s="399"/>
      <c r="L59" s="130"/>
      <c r="M59" s="130"/>
      <c r="N59" s="130"/>
      <c r="O59" s="130"/>
      <c r="P59" s="130"/>
      <c r="Q59" s="405"/>
    </row>
    <row r="60" spans="2:17" ht="3.75" customHeight="1" thickBot="1" x14ac:dyDescent="0.3">
      <c r="B60" s="1985"/>
      <c r="C60" s="1986"/>
      <c r="D60" s="1986"/>
      <c r="E60" s="1986"/>
      <c r="F60" s="1987"/>
      <c r="G60" s="1986"/>
      <c r="H60" s="1986"/>
      <c r="I60" s="1986"/>
      <c r="J60" s="1986"/>
      <c r="K60" s="1988"/>
      <c r="L60" s="1987"/>
      <c r="M60" s="1987"/>
      <c r="N60" s="1987"/>
      <c r="O60" s="1986"/>
      <c r="P60" s="1986"/>
      <c r="Q60" s="1989"/>
    </row>
  </sheetData>
  <sheetProtection algorithmName="SHA-512" hashValue="48vD18/c2GQZJgqIpS+AT7Jdlp8oI8xdN+NlA7eMjpG70ov32TNTWQpHG27h4laknMir8xMsv5Z+vN/o6OZeLg==" saltValue="YoigJSoEXjAfr86XDfeFlA==" spinCount="100000" sheet="1" formatCells="0" formatColumns="0" formatRows="0"/>
  <mergeCells count="28">
    <mergeCell ref="G35:O35"/>
    <mergeCell ref="H55:N58"/>
    <mergeCell ref="G5:O5"/>
    <mergeCell ref="G8:O8"/>
    <mergeCell ref="G10:O10"/>
    <mergeCell ref="G15:O15"/>
    <mergeCell ref="G17:O17"/>
    <mergeCell ref="G23:O23"/>
    <mergeCell ref="G12:H12"/>
    <mergeCell ref="J12:O12"/>
    <mergeCell ref="G19:H19"/>
    <mergeCell ref="J19:O19"/>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s>
  <conditionalFormatting sqref="F39 F41 F43 F45 J39 J41 J43 J45 M39 M41">
    <cfRule type="cellIs" dxfId="136"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2016
Version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zoomScaleNormal="100" workbookViewId="0">
      <selection activeCell="N8" sqref="N8"/>
    </sheetView>
  </sheetViews>
  <sheetFormatPr defaultRowHeight="15" x14ac:dyDescent="0.25"/>
  <cols>
    <col min="1" max="2" width="1.7109375" style="402" customWidth="1"/>
    <col min="3" max="3" width="11" style="402" customWidth="1"/>
    <col min="4" max="5" width="14" style="402" bestFit="1" customWidth="1"/>
    <col min="6" max="6" width="17.7109375" style="402" customWidth="1"/>
    <col min="7" max="7" width="14.7109375" style="402" bestFit="1" customWidth="1"/>
    <col min="8" max="8" width="11.5703125" style="402" customWidth="1"/>
    <col min="9" max="11" width="10.140625" style="402" customWidth="1"/>
    <col min="12" max="13" width="12.140625" style="402" customWidth="1"/>
    <col min="14" max="14" width="13.42578125" style="402" customWidth="1"/>
    <col min="15" max="16" width="1.7109375" style="402" customWidth="1"/>
    <col min="17" max="16384" width="9.140625" style="402"/>
  </cols>
  <sheetData>
    <row r="1" spans="2:15" ht="9" customHeight="1" thickBot="1" x14ac:dyDescent="0.3"/>
    <row r="2" spans="2:15" ht="9" customHeight="1" x14ac:dyDescent="0.25">
      <c r="B2" s="407"/>
      <c r="C2" s="408"/>
      <c r="D2" s="408"/>
      <c r="E2" s="408"/>
      <c r="F2" s="408"/>
      <c r="G2" s="408"/>
      <c r="H2" s="409"/>
      <c r="I2" s="408"/>
      <c r="J2" s="408"/>
      <c r="K2" s="408"/>
      <c r="L2" s="408"/>
      <c r="M2" s="408"/>
      <c r="N2" s="408"/>
      <c r="O2" s="410"/>
    </row>
    <row r="3" spans="2:15" ht="18.75" x14ac:dyDescent="0.3">
      <c r="B3" s="411"/>
      <c r="C3" s="2144" t="s">
        <v>44</v>
      </c>
      <c r="D3" s="2144"/>
      <c r="E3" s="2144"/>
      <c r="F3" s="2144"/>
      <c r="G3" s="2144"/>
      <c r="H3" s="2144"/>
      <c r="I3" s="2144"/>
      <c r="J3" s="2144"/>
      <c r="K3" s="2144"/>
      <c r="L3" s="2144"/>
      <c r="M3" s="2144"/>
      <c r="N3" s="2144"/>
      <c r="O3" s="412"/>
    </row>
    <row r="4" spans="2:15" x14ac:dyDescent="0.25">
      <c r="B4" s="411"/>
      <c r="C4" s="413"/>
      <c r="D4" s="413"/>
      <c r="E4" s="413"/>
      <c r="F4" s="413"/>
      <c r="G4" s="413"/>
      <c r="H4" s="144"/>
      <c r="I4" s="413"/>
      <c r="J4" s="413"/>
      <c r="K4" s="413"/>
      <c r="L4" s="413"/>
      <c r="M4" s="413"/>
      <c r="N4" s="413"/>
      <c r="O4" s="412"/>
    </row>
    <row r="5" spans="2:15" ht="15.75" thickBot="1" x14ac:dyDescent="0.3">
      <c r="B5" s="411"/>
      <c r="C5" s="2164" t="str">
        <f>IF('1'!G5="","Enter Project Name on Form 1",(CONCATENATE("Project Name: ",'1'!G5)))</f>
        <v>Project Name: Filipino Community Village</v>
      </c>
      <c r="D5" s="2164"/>
      <c r="E5" s="2164"/>
      <c r="F5" s="2164"/>
      <c r="G5" s="2164"/>
      <c r="H5" s="2164"/>
      <c r="I5" s="2164"/>
      <c r="J5" s="2164"/>
      <c r="K5" s="1976"/>
      <c r="L5" s="413"/>
      <c r="M5" s="413"/>
      <c r="N5" s="413"/>
      <c r="O5" s="412"/>
    </row>
    <row r="6" spans="2:15" ht="15.75" thickBot="1" x14ac:dyDescent="0.3">
      <c r="B6" s="411"/>
      <c r="C6" s="413"/>
      <c r="D6" s="413"/>
      <c r="E6" s="413"/>
      <c r="F6" s="413"/>
      <c r="G6" s="413"/>
      <c r="H6" s="144"/>
      <c r="I6" s="413"/>
      <c r="J6" s="413"/>
      <c r="K6" s="413"/>
      <c r="L6" s="413"/>
      <c r="M6" s="413"/>
      <c r="N6" s="413"/>
      <c r="O6" s="412"/>
    </row>
    <row r="7" spans="2:15" ht="60" x14ac:dyDescent="0.25">
      <c r="B7" s="411"/>
      <c r="C7" s="1051" t="s">
        <v>500</v>
      </c>
      <c r="D7" s="1523" t="s">
        <v>592</v>
      </c>
      <c r="E7" s="1523" t="s">
        <v>593</v>
      </c>
      <c r="F7" s="1052" t="s">
        <v>45</v>
      </c>
      <c r="G7" s="1053" t="s">
        <v>46</v>
      </c>
      <c r="H7" s="1054" t="s">
        <v>48</v>
      </c>
      <c r="I7" s="1053" t="s">
        <v>49</v>
      </c>
      <c r="J7" s="1053" t="s">
        <v>50</v>
      </c>
      <c r="K7" s="1055" t="s">
        <v>51</v>
      </c>
      <c r="L7" s="1056" t="s">
        <v>42</v>
      </c>
      <c r="M7" s="1054" t="s">
        <v>47</v>
      </c>
      <c r="N7" s="1057" t="s">
        <v>1850</v>
      </c>
      <c r="O7" s="412"/>
    </row>
    <row r="8" spans="2:15" ht="24.75" x14ac:dyDescent="0.25">
      <c r="B8" s="411"/>
      <c r="C8" s="1046">
        <v>1</v>
      </c>
      <c r="D8" s="1095" t="s">
        <v>1861</v>
      </c>
      <c r="E8" s="1095" t="s">
        <v>1862</v>
      </c>
      <c r="F8" s="815" t="s">
        <v>586</v>
      </c>
      <c r="G8" s="816" t="s">
        <v>28</v>
      </c>
      <c r="H8" s="817" t="s">
        <v>559</v>
      </c>
      <c r="I8" s="817">
        <v>76</v>
      </c>
      <c r="J8" s="817">
        <v>0</v>
      </c>
      <c r="K8" s="818">
        <v>1</v>
      </c>
      <c r="L8" s="819">
        <f>SUM(I8:K8)</f>
        <v>77</v>
      </c>
      <c r="M8" s="1687" t="s">
        <v>1863</v>
      </c>
      <c r="N8" s="1048">
        <v>43905</v>
      </c>
      <c r="O8" s="412"/>
    </row>
    <row r="9" spans="2:15" x14ac:dyDescent="0.25">
      <c r="B9" s="411"/>
      <c r="C9" s="1047"/>
      <c r="D9" s="1096"/>
      <c r="E9" s="1096"/>
      <c r="F9" s="820"/>
      <c r="G9" s="821"/>
      <c r="H9" s="822"/>
      <c r="I9" s="822"/>
      <c r="J9" s="822"/>
      <c r="K9" s="823"/>
      <c r="L9" s="824">
        <f t="shared" ref="L9:L21" si="0">SUM(I9:K9)</f>
        <v>0</v>
      </c>
      <c r="M9" s="1688"/>
      <c r="N9" s="1049"/>
      <c r="O9" s="412"/>
    </row>
    <row r="10" spans="2:15" x14ac:dyDescent="0.25">
      <c r="B10" s="411"/>
      <c r="C10" s="1047"/>
      <c r="D10" s="1096"/>
      <c r="E10" s="1096"/>
      <c r="F10" s="820"/>
      <c r="G10" s="821"/>
      <c r="H10" s="822"/>
      <c r="I10" s="822"/>
      <c r="J10" s="822"/>
      <c r="K10" s="823"/>
      <c r="L10" s="824">
        <f t="shared" si="0"/>
        <v>0</v>
      </c>
      <c r="M10" s="1688"/>
      <c r="N10" s="1049"/>
      <c r="O10" s="412"/>
    </row>
    <row r="11" spans="2:15" x14ac:dyDescent="0.25">
      <c r="B11" s="411"/>
      <c r="C11" s="1047"/>
      <c r="D11" s="1096"/>
      <c r="E11" s="1096"/>
      <c r="F11" s="820"/>
      <c r="G11" s="821"/>
      <c r="H11" s="822"/>
      <c r="I11" s="822"/>
      <c r="J11" s="822"/>
      <c r="K11" s="823"/>
      <c r="L11" s="824">
        <f t="shared" si="0"/>
        <v>0</v>
      </c>
      <c r="M11" s="1688"/>
      <c r="N11" s="1049"/>
      <c r="O11" s="412"/>
    </row>
    <row r="12" spans="2:15" x14ac:dyDescent="0.25">
      <c r="B12" s="411"/>
      <c r="C12" s="1047"/>
      <c r="D12" s="1096"/>
      <c r="E12" s="1096"/>
      <c r="F12" s="820"/>
      <c r="G12" s="821"/>
      <c r="H12" s="822"/>
      <c r="I12" s="822"/>
      <c r="J12" s="822"/>
      <c r="K12" s="823"/>
      <c r="L12" s="824">
        <f t="shared" si="0"/>
        <v>0</v>
      </c>
      <c r="M12" s="1688"/>
      <c r="N12" s="1049"/>
      <c r="O12" s="412"/>
    </row>
    <row r="13" spans="2:15" x14ac:dyDescent="0.25">
      <c r="B13" s="411"/>
      <c r="C13" s="1047"/>
      <c r="D13" s="1096"/>
      <c r="E13" s="1096"/>
      <c r="F13" s="820"/>
      <c r="G13" s="821"/>
      <c r="H13" s="822"/>
      <c r="I13" s="822"/>
      <c r="J13" s="822"/>
      <c r="K13" s="823"/>
      <c r="L13" s="825">
        <f t="shared" si="0"/>
        <v>0</v>
      </c>
      <c r="M13" s="1688"/>
      <c r="N13" s="1049"/>
      <c r="O13" s="412"/>
    </row>
    <row r="14" spans="2:15" x14ac:dyDescent="0.25">
      <c r="B14" s="411"/>
      <c r="C14" s="2068"/>
      <c r="D14" s="1096"/>
      <c r="E14" s="1096"/>
      <c r="F14" s="820"/>
      <c r="G14" s="826"/>
      <c r="H14" s="827"/>
      <c r="I14" s="827"/>
      <c r="J14" s="827"/>
      <c r="K14" s="828"/>
      <c r="L14" s="825">
        <f t="shared" si="0"/>
        <v>0</v>
      </c>
      <c r="M14" s="1688"/>
      <c r="N14" s="1049"/>
      <c r="O14" s="412"/>
    </row>
    <row r="15" spans="2:15" x14ac:dyDescent="0.25">
      <c r="B15" s="411"/>
      <c r="C15" s="1047"/>
      <c r="D15" s="1096"/>
      <c r="E15" s="1096"/>
      <c r="F15" s="820"/>
      <c r="G15" s="821"/>
      <c r="H15" s="822"/>
      <c r="I15" s="822"/>
      <c r="J15" s="822"/>
      <c r="K15" s="823"/>
      <c r="L15" s="824">
        <f t="shared" si="0"/>
        <v>0</v>
      </c>
      <c r="M15" s="1688"/>
      <c r="N15" s="1049"/>
      <c r="O15" s="412"/>
    </row>
    <row r="16" spans="2:15" x14ac:dyDescent="0.25">
      <c r="B16" s="411"/>
      <c r="C16" s="1047"/>
      <c r="D16" s="1096"/>
      <c r="E16" s="1096"/>
      <c r="F16" s="820"/>
      <c r="G16" s="821"/>
      <c r="H16" s="822"/>
      <c r="I16" s="822"/>
      <c r="J16" s="822"/>
      <c r="K16" s="823"/>
      <c r="L16" s="824">
        <f t="shared" si="0"/>
        <v>0</v>
      </c>
      <c r="M16" s="2067"/>
      <c r="N16" s="1049"/>
      <c r="O16" s="412"/>
    </row>
    <row r="17" spans="2:15" x14ac:dyDescent="0.25">
      <c r="B17" s="411"/>
      <c r="C17" s="1047"/>
      <c r="D17" s="1096"/>
      <c r="E17" s="1096"/>
      <c r="F17" s="820"/>
      <c r="G17" s="821"/>
      <c r="H17" s="822"/>
      <c r="I17" s="822"/>
      <c r="J17" s="822"/>
      <c r="K17" s="823"/>
      <c r="L17" s="824">
        <f t="shared" si="0"/>
        <v>0</v>
      </c>
      <c r="M17" s="1688"/>
      <c r="N17" s="1049"/>
      <c r="O17" s="412"/>
    </row>
    <row r="18" spans="2:15" x14ac:dyDescent="0.25">
      <c r="B18" s="411"/>
      <c r="C18" s="1047"/>
      <c r="D18" s="1096"/>
      <c r="E18" s="1096"/>
      <c r="F18" s="820"/>
      <c r="G18" s="821"/>
      <c r="H18" s="822"/>
      <c r="I18" s="822"/>
      <c r="J18" s="822"/>
      <c r="K18" s="823"/>
      <c r="L18" s="824">
        <f t="shared" si="0"/>
        <v>0</v>
      </c>
      <c r="M18" s="1688"/>
      <c r="N18" s="1049"/>
      <c r="O18" s="412"/>
    </row>
    <row r="19" spans="2:15" x14ac:dyDescent="0.25">
      <c r="B19" s="411"/>
      <c r="C19" s="1047"/>
      <c r="D19" s="1096"/>
      <c r="E19" s="1096"/>
      <c r="F19" s="820"/>
      <c r="G19" s="821"/>
      <c r="H19" s="822"/>
      <c r="I19" s="822"/>
      <c r="J19" s="822"/>
      <c r="K19" s="823"/>
      <c r="L19" s="824">
        <f t="shared" si="0"/>
        <v>0</v>
      </c>
      <c r="M19" s="1688"/>
      <c r="N19" s="1049"/>
      <c r="O19" s="412"/>
    </row>
    <row r="20" spans="2:15" x14ac:dyDescent="0.25">
      <c r="B20" s="411"/>
      <c r="C20" s="2068"/>
      <c r="D20" s="1096"/>
      <c r="E20" s="1096"/>
      <c r="F20" s="820"/>
      <c r="G20" s="826"/>
      <c r="H20" s="827"/>
      <c r="I20" s="827"/>
      <c r="J20" s="827"/>
      <c r="K20" s="828"/>
      <c r="L20" s="825">
        <f t="shared" si="0"/>
        <v>0</v>
      </c>
      <c r="M20" s="1688"/>
      <c r="N20" s="1049"/>
      <c r="O20" s="412"/>
    </row>
    <row r="21" spans="2:15" ht="15.75" thickBot="1" x14ac:dyDescent="0.3">
      <c r="B21" s="411"/>
      <c r="C21" s="2069"/>
      <c r="D21" s="1097"/>
      <c r="E21" s="1097"/>
      <c r="F21" s="829"/>
      <c r="G21" s="830"/>
      <c r="H21" s="831"/>
      <c r="I21" s="831"/>
      <c r="J21" s="831"/>
      <c r="K21" s="833"/>
      <c r="L21" s="832">
        <f t="shared" si="0"/>
        <v>0</v>
      </c>
      <c r="M21" s="1689"/>
      <c r="N21" s="1050"/>
      <c r="O21" s="412"/>
    </row>
    <row r="22" spans="2:15" ht="16.5" thickTop="1" thickBot="1" x14ac:dyDescent="0.3">
      <c r="B22" s="1524"/>
      <c r="C22" s="1516" t="s">
        <v>1144</v>
      </c>
      <c r="D22" s="733"/>
      <c r="E22" s="733"/>
      <c r="F22" s="733"/>
      <c r="G22" s="734"/>
      <c r="H22" s="732" t="s">
        <v>40</v>
      </c>
      <c r="I22" s="415">
        <f>SUM(I8:I21)</f>
        <v>76</v>
      </c>
      <c r="J22" s="416">
        <f>SUM(J8:J21)</f>
        <v>0</v>
      </c>
      <c r="K22" s="417">
        <f>SUM(K8:K21)</f>
        <v>1</v>
      </c>
      <c r="L22" s="418">
        <f>SUM(L8:L21)</f>
        <v>77</v>
      </c>
      <c r="M22" s="730"/>
      <c r="N22" s="731"/>
      <c r="O22" s="1525"/>
    </row>
    <row r="23" spans="2:15" ht="15.75" thickBot="1" x14ac:dyDescent="0.3">
      <c r="B23" s="1526"/>
      <c r="C23" s="1527"/>
      <c r="D23" s="1527"/>
      <c r="E23" s="1527"/>
      <c r="F23" s="1527"/>
      <c r="G23" s="1527"/>
      <c r="H23" s="1527"/>
      <c r="I23" s="1527"/>
      <c r="J23" s="1527"/>
      <c r="K23" s="1527"/>
      <c r="L23" s="1527"/>
      <c r="M23" s="1527"/>
      <c r="N23" s="1527"/>
      <c r="O23" s="420"/>
    </row>
  </sheetData>
  <sheetProtection algorithmName="SHA-512" hashValue="9aNH+yTnRI299OeH5egYWyddRBsly/3QiE+xz66UOh+ojkqj08P045R4nS8gE4A0/Z2vbQMhUhrxT5QpbRyx8A==" saltValue="fnb8F4XOkoTrawduY7PqBw==" spinCount="100000" sheet="1" formatCells="0" formatColumns="0" formatRows="0"/>
  <mergeCells count="2">
    <mergeCell ref="C3:N3"/>
    <mergeCell ref="C5:J5"/>
  </mergeCells>
  <dataValidations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2016
Version: 1.0</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topLeftCell="A13" zoomScaleNormal="100" workbookViewId="0">
      <selection activeCell="R27" sqref="R27"/>
    </sheetView>
  </sheetViews>
  <sheetFormatPr defaultRowHeight="15" x14ac:dyDescent="0.25"/>
  <cols>
    <col min="1" max="2" width="1.7109375" style="402" customWidth="1"/>
    <col min="3" max="11" width="11" style="402" customWidth="1"/>
    <col min="12" max="12" width="1.140625" style="402" customWidth="1"/>
    <col min="13" max="15" width="12" style="402" customWidth="1"/>
    <col min="16" max="16" width="1.7109375" style="402" customWidth="1"/>
    <col min="17" max="16384" width="9.140625" style="402"/>
  </cols>
  <sheetData>
    <row r="11" spans="2:16" ht="15.75" thickBot="1" x14ac:dyDescent="0.3"/>
    <row r="12" spans="2:16" ht="9" customHeight="1" x14ac:dyDescent="0.25">
      <c r="B12" s="200"/>
      <c r="C12" s="422"/>
      <c r="D12" s="422"/>
      <c r="E12" s="422"/>
      <c r="F12" s="422"/>
      <c r="G12" s="422"/>
      <c r="H12" s="422"/>
      <c r="I12" s="422"/>
      <c r="J12" s="422"/>
      <c r="K12" s="422"/>
      <c r="L12" s="422"/>
      <c r="M12" s="422"/>
      <c r="N12" s="422"/>
      <c r="O12" s="422"/>
      <c r="P12" s="423"/>
    </row>
    <row r="13" spans="2:16" ht="18.75" x14ac:dyDescent="0.25">
      <c r="B13" s="4"/>
      <c r="C13" s="2165" t="s">
        <v>52</v>
      </c>
      <c r="D13" s="2165"/>
      <c r="E13" s="2165"/>
      <c r="F13" s="2165"/>
      <c r="G13" s="2165"/>
      <c r="H13" s="2165"/>
      <c r="I13" s="2165"/>
      <c r="J13" s="2165"/>
      <c r="K13" s="2165"/>
      <c r="L13" s="2165"/>
      <c r="M13" s="2165"/>
      <c r="N13" s="2165"/>
      <c r="O13" s="2165"/>
      <c r="P13" s="3"/>
    </row>
    <row r="14" spans="2:16" ht="15" customHeight="1" x14ac:dyDescent="0.25">
      <c r="B14" s="4"/>
      <c r="C14" s="1"/>
      <c r="D14" s="1"/>
      <c r="E14" s="424"/>
      <c r="F14" s="424"/>
      <c r="G14" s="424"/>
      <c r="H14" s="424"/>
      <c r="I14" s="424"/>
      <c r="J14" s="424"/>
      <c r="K14" s="1"/>
      <c r="L14" s="1"/>
      <c r="M14" s="1"/>
      <c r="N14" s="1"/>
      <c r="O14" s="1"/>
      <c r="P14" s="3"/>
    </row>
    <row r="15" spans="2:16" ht="15.75" thickBot="1" x14ac:dyDescent="0.3">
      <c r="B15" s="143"/>
      <c r="C15" s="2168" t="str">
        <f>IF('1'!G5="","Enter Project Name on Form 1",(CONCATENATE("Project Name: ",'1'!G5)))</f>
        <v>Project Name: Filipino Community Village</v>
      </c>
      <c r="D15" s="2168"/>
      <c r="E15" s="2168"/>
      <c r="F15" s="2168"/>
      <c r="G15" s="2168"/>
      <c r="H15" s="2168"/>
      <c r="I15" s="2168"/>
      <c r="J15" s="2168"/>
      <c r="K15" s="2168"/>
      <c r="L15" s="147"/>
      <c r="M15" s="144"/>
      <c r="N15" s="144"/>
      <c r="O15" s="144"/>
      <c r="P15" s="145"/>
    </row>
    <row r="16" spans="2:16" s="421" customFormat="1" ht="15.75" thickBot="1" x14ac:dyDescent="0.3">
      <c r="B16" s="143"/>
      <c r="C16" s="425"/>
      <c r="D16" s="425"/>
      <c r="E16" s="425"/>
      <c r="F16" s="425"/>
      <c r="G16" s="425"/>
      <c r="H16" s="425"/>
      <c r="I16" s="425"/>
      <c r="J16" s="425"/>
      <c r="K16" s="425"/>
      <c r="L16" s="425"/>
      <c r="M16" s="144"/>
      <c r="N16" s="144"/>
      <c r="O16" s="144"/>
      <c r="P16" s="145"/>
    </row>
    <row r="17" spans="2:16" ht="16.5" thickBot="1" x14ac:dyDescent="0.3">
      <c r="B17" s="143"/>
      <c r="C17" s="425"/>
      <c r="D17" s="2169" t="s">
        <v>53</v>
      </c>
      <c r="E17" s="2170"/>
      <c r="F17" s="2170"/>
      <c r="G17" s="2170"/>
      <c r="H17" s="2170"/>
      <c r="I17" s="2170"/>
      <c r="J17" s="2170"/>
      <c r="K17" s="2171"/>
      <c r="L17" s="686"/>
      <c r="M17" s="2166" t="s">
        <v>54</v>
      </c>
      <c r="N17" s="2167"/>
      <c r="O17" s="1088" t="s">
        <v>55</v>
      </c>
      <c r="P17" s="1089"/>
    </row>
    <row r="18" spans="2:16" ht="39" customHeight="1" thickBot="1" x14ac:dyDescent="0.3">
      <c r="B18" s="1528"/>
      <c r="C18" s="1529"/>
      <c r="D18" s="2172" t="s">
        <v>56</v>
      </c>
      <c r="E18" s="2174" t="s">
        <v>61</v>
      </c>
      <c r="F18" s="2174" t="s">
        <v>62</v>
      </c>
      <c r="G18" s="2174" t="s">
        <v>50</v>
      </c>
      <c r="H18" s="2174" t="s">
        <v>63</v>
      </c>
      <c r="I18" s="2174" t="s">
        <v>64</v>
      </c>
      <c r="J18" s="2174" t="s">
        <v>65</v>
      </c>
      <c r="K18" s="2180" t="s">
        <v>66</v>
      </c>
      <c r="L18" s="2182"/>
      <c r="M18" s="2174" t="s">
        <v>57</v>
      </c>
      <c r="N18" s="2176" t="s">
        <v>58</v>
      </c>
      <c r="O18" s="2178" t="s">
        <v>59</v>
      </c>
      <c r="P18" s="1530"/>
    </row>
    <row r="19" spans="2:16" ht="15.75" thickBot="1" x14ac:dyDescent="0.3">
      <c r="B19" s="1528"/>
      <c r="C19" s="1531" t="s">
        <v>60</v>
      </c>
      <c r="D19" s="2173"/>
      <c r="E19" s="2175"/>
      <c r="F19" s="2175"/>
      <c r="G19" s="2175"/>
      <c r="H19" s="2175"/>
      <c r="I19" s="2175"/>
      <c r="J19" s="2175"/>
      <c r="K19" s="2181"/>
      <c r="L19" s="2183"/>
      <c r="M19" s="2175"/>
      <c r="N19" s="2177"/>
      <c r="O19" s="2179"/>
      <c r="P19" s="1530"/>
    </row>
    <row r="20" spans="2:16" x14ac:dyDescent="0.25">
      <c r="B20" s="426"/>
      <c r="C20" s="1990">
        <f>'2A'!C8</f>
        <v>1</v>
      </c>
      <c r="D20" s="834">
        <v>3</v>
      </c>
      <c r="E20" s="2098">
        <v>39045</v>
      </c>
      <c r="F20" s="2099">
        <v>1126</v>
      </c>
      <c r="G20" s="2099">
        <v>0</v>
      </c>
      <c r="H20" s="2099">
        <v>4410</v>
      </c>
      <c r="I20" s="2099">
        <f>8875+3998</f>
        <v>12873</v>
      </c>
      <c r="J20" s="838">
        <v>0</v>
      </c>
      <c r="K20" s="835">
        <f>SUM(E20:J20)</f>
        <v>57454</v>
      </c>
      <c r="L20" s="836"/>
      <c r="M20" s="837">
        <v>1</v>
      </c>
      <c r="N20" s="838">
        <f>4833+9008+1000</f>
        <v>14841</v>
      </c>
      <c r="O20" s="1058">
        <f>K20+N20</f>
        <v>72295</v>
      </c>
      <c r="P20" s="3"/>
    </row>
    <row r="21" spans="2:16" x14ac:dyDescent="0.25">
      <c r="B21" s="426"/>
      <c r="C21" s="1991">
        <f>'2A'!C9</f>
        <v>0</v>
      </c>
      <c r="D21" s="839"/>
      <c r="E21" s="840"/>
      <c r="F21" s="841"/>
      <c r="G21" s="841"/>
      <c r="H21" s="841"/>
      <c r="I21" s="841"/>
      <c r="J21" s="842"/>
      <c r="K21" s="843">
        <f t="shared" ref="K21:K33" si="0">SUM(E21:J21)</f>
        <v>0</v>
      </c>
      <c r="L21" s="844"/>
      <c r="M21" s="845"/>
      <c r="N21" s="846"/>
      <c r="O21" s="1059">
        <f t="shared" ref="O21:O33" si="1">K21+N21</f>
        <v>0</v>
      </c>
      <c r="P21" s="3"/>
    </row>
    <row r="22" spans="2:16" x14ac:dyDescent="0.25">
      <c r="B22" s="426"/>
      <c r="C22" s="1991">
        <f>'2A'!C10</f>
        <v>0</v>
      </c>
      <c r="D22" s="839"/>
      <c r="E22" s="840"/>
      <c r="F22" s="841"/>
      <c r="G22" s="841"/>
      <c r="H22" s="841"/>
      <c r="I22" s="841"/>
      <c r="J22" s="842"/>
      <c r="K22" s="843">
        <f t="shared" si="0"/>
        <v>0</v>
      </c>
      <c r="L22" s="844"/>
      <c r="M22" s="845"/>
      <c r="N22" s="846"/>
      <c r="O22" s="1059">
        <f t="shared" si="1"/>
        <v>0</v>
      </c>
      <c r="P22" s="3"/>
    </row>
    <row r="23" spans="2:16" x14ac:dyDescent="0.25">
      <c r="B23" s="426"/>
      <c r="C23" s="1991">
        <f>'2A'!C11</f>
        <v>0</v>
      </c>
      <c r="D23" s="847"/>
      <c r="E23" s="848"/>
      <c r="F23" s="849"/>
      <c r="G23" s="849"/>
      <c r="H23" s="849"/>
      <c r="I23" s="849"/>
      <c r="J23" s="846"/>
      <c r="K23" s="843">
        <f t="shared" si="0"/>
        <v>0</v>
      </c>
      <c r="L23" s="844"/>
      <c r="M23" s="845"/>
      <c r="N23" s="846"/>
      <c r="O23" s="1059">
        <f t="shared" si="1"/>
        <v>0</v>
      </c>
      <c r="P23" s="3"/>
    </row>
    <row r="24" spans="2:16" x14ac:dyDescent="0.25">
      <c r="B24" s="426"/>
      <c r="C24" s="1991">
        <f>'2A'!C12</f>
        <v>0</v>
      </c>
      <c r="D24" s="839"/>
      <c r="E24" s="840"/>
      <c r="F24" s="841"/>
      <c r="G24" s="841"/>
      <c r="H24" s="841"/>
      <c r="I24" s="841"/>
      <c r="J24" s="842"/>
      <c r="K24" s="843">
        <f t="shared" si="0"/>
        <v>0</v>
      </c>
      <c r="L24" s="844"/>
      <c r="M24" s="845"/>
      <c r="N24" s="846"/>
      <c r="O24" s="1059">
        <f t="shared" si="1"/>
        <v>0</v>
      </c>
      <c r="P24" s="3"/>
    </row>
    <row r="25" spans="2:16" x14ac:dyDescent="0.25">
      <c r="B25" s="426"/>
      <c r="C25" s="1991">
        <f>'2A'!C13</f>
        <v>0</v>
      </c>
      <c r="D25" s="847"/>
      <c r="E25" s="848"/>
      <c r="F25" s="849"/>
      <c r="G25" s="849"/>
      <c r="H25" s="849"/>
      <c r="I25" s="849"/>
      <c r="J25" s="846"/>
      <c r="K25" s="843">
        <f t="shared" si="0"/>
        <v>0</v>
      </c>
      <c r="L25" s="844"/>
      <c r="M25" s="845"/>
      <c r="N25" s="846"/>
      <c r="O25" s="1059">
        <f t="shared" si="1"/>
        <v>0</v>
      </c>
      <c r="P25" s="3"/>
    </row>
    <row r="26" spans="2:16" x14ac:dyDescent="0.25">
      <c r="B26" s="426"/>
      <c r="C26" s="1992">
        <f>'2A'!C14</f>
        <v>0</v>
      </c>
      <c r="D26" s="839"/>
      <c r="E26" s="840"/>
      <c r="F26" s="841"/>
      <c r="G26" s="841"/>
      <c r="H26" s="841"/>
      <c r="I26" s="841"/>
      <c r="J26" s="842"/>
      <c r="K26" s="843">
        <f t="shared" si="0"/>
        <v>0</v>
      </c>
      <c r="L26" s="844"/>
      <c r="M26" s="845"/>
      <c r="N26" s="846"/>
      <c r="O26" s="1059">
        <f t="shared" si="1"/>
        <v>0</v>
      </c>
      <c r="P26" s="3"/>
    </row>
    <row r="27" spans="2:16" x14ac:dyDescent="0.25">
      <c r="B27" s="426"/>
      <c r="C27" s="1991">
        <f>'2A'!C15</f>
        <v>0</v>
      </c>
      <c r="D27" s="847"/>
      <c r="E27" s="848"/>
      <c r="F27" s="849"/>
      <c r="G27" s="849"/>
      <c r="H27" s="849"/>
      <c r="I27" s="849"/>
      <c r="J27" s="846"/>
      <c r="K27" s="843">
        <f t="shared" si="0"/>
        <v>0</v>
      </c>
      <c r="L27" s="844"/>
      <c r="M27" s="845"/>
      <c r="N27" s="846"/>
      <c r="O27" s="1059">
        <f t="shared" si="1"/>
        <v>0</v>
      </c>
      <c r="P27" s="3"/>
    </row>
    <row r="28" spans="2:16" x14ac:dyDescent="0.25">
      <c r="B28" s="426"/>
      <c r="C28" s="1991">
        <f>'2A'!C16</f>
        <v>0</v>
      </c>
      <c r="D28" s="839"/>
      <c r="E28" s="840"/>
      <c r="F28" s="841"/>
      <c r="G28" s="841"/>
      <c r="H28" s="841"/>
      <c r="I28" s="841"/>
      <c r="J28" s="842"/>
      <c r="K28" s="843">
        <f t="shared" si="0"/>
        <v>0</v>
      </c>
      <c r="L28" s="844"/>
      <c r="M28" s="845"/>
      <c r="N28" s="846"/>
      <c r="O28" s="1059">
        <f t="shared" si="1"/>
        <v>0</v>
      </c>
      <c r="P28" s="3"/>
    </row>
    <row r="29" spans="2:16" x14ac:dyDescent="0.25">
      <c r="B29" s="426"/>
      <c r="C29" s="1991">
        <f>'2A'!C17</f>
        <v>0</v>
      </c>
      <c r="D29" s="847"/>
      <c r="E29" s="848"/>
      <c r="F29" s="849"/>
      <c r="G29" s="849"/>
      <c r="H29" s="849"/>
      <c r="I29" s="849"/>
      <c r="J29" s="846"/>
      <c r="K29" s="843">
        <f t="shared" si="0"/>
        <v>0</v>
      </c>
      <c r="L29" s="844"/>
      <c r="M29" s="845"/>
      <c r="N29" s="846"/>
      <c r="O29" s="1059">
        <f t="shared" si="1"/>
        <v>0</v>
      </c>
      <c r="P29" s="3"/>
    </row>
    <row r="30" spans="2:16" x14ac:dyDescent="0.25">
      <c r="B30" s="426"/>
      <c r="C30" s="1991">
        <f>'2A'!C18</f>
        <v>0</v>
      </c>
      <c r="D30" s="839"/>
      <c r="E30" s="840"/>
      <c r="F30" s="841"/>
      <c r="G30" s="841"/>
      <c r="H30" s="841"/>
      <c r="I30" s="841"/>
      <c r="J30" s="842"/>
      <c r="K30" s="843">
        <f t="shared" si="0"/>
        <v>0</v>
      </c>
      <c r="L30" s="844"/>
      <c r="M30" s="845"/>
      <c r="N30" s="846"/>
      <c r="O30" s="1059">
        <f t="shared" si="1"/>
        <v>0</v>
      </c>
      <c r="P30" s="3"/>
    </row>
    <row r="31" spans="2:16" x14ac:dyDescent="0.25">
      <c r="B31" s="426"/>
      <c r="C31" s="1991">
        <f>'2A'!C19</f>
        <v>0</v>
      </c>
      <c r="D31" s="847"/>
      <c r="E31" s="848"/>
      <c r="F31" s="849"/>
      <c r="G31" s="849"/>
      <c r="H31" s="849"/>
      <c r="I31" s="849"/>
      <c r="J31" s="846"/>
      <c r="K31" s="843">
        <f t="shared" si="0"/>
        <v>0</v>
      </c>
      <c r="L31" s="844"/>
      <c r="M31" s="845"/>
      <c r="N31" s="846"/>
      <c r="O31" s="1059">
        <f t="shared" si="1"/>
        <v>0</v>
      </c>
      <c r="P31" s="3"/>
    </row>
    <row r="32" spans="2:16" x14ac:dyDescent="0.25">
      <c r="B32" s="426"/>
      <c r="C32" s="1992">
        <f>'2A'!C20</f>
        <v>0</v>
      </c>
      <c r="D32" s="839"/>
      <c r="E32" s="840"/>
      <c r="F32" s="841"/>
      <c r="G32" s="841"/>
      <c r="H32" s="841"/>
      <c r="I32" s="841"/>
      <c r="J32" s="842"/>
      <c r="K32" s="843">
        <f t="shared" si="0"/>
        <v>0</v>
      </c>
      <c r="L32" s="844"/>
      <c r="M32" s="845"/>
      <c r="N32" s="846"/>
      <c r="O32" s="1059">
        <f t="shared" si="1"/>
        <v>0</v>
      </c>
      <c r="P32" s="3"/>
    </row>
    <row r="33" spans="2:16" ht="15.75" thickBot="1" x14ac:dyDescent="0.3">
      <c r="B33" s="426"/>
      <c r="C33" s="1993">
        <f>'2A'!C21</f>
        <v>0</v>
      </c>
      <c r="D33" s="851"/>
      <c r="E33" s="852"/>
      <c r="F33" s="853"/>
      <c r="G33" s="853"/>
      <c r="H33" s="853"/>
      <c r="I33" s="853"/>
      <c r="J33" s="854"/>
      <c r="K33" s="855">
        <f t="shared" si="0"/>
        <v>0</v>
      </c>
      <c r="L33" s="850"/>
      <c r="M33" s="856"/>
      <c r="N33" s="857"/>
      <c r="O33" s="1060">
        <f t="shared" si="1"/>
        <v>0</v>
      </c>
      <c r="P33" s="3"/>
    </row>
    <row r="34" spans="2:16" ht="16.5" thickTop="1" thickBot="1" x14ac:dyDescent="0.3">
      <c r="B34" s="426"/>
      <c r="C34" s="427" t="s">
        <v>67</v>
      </c>
      <c r="D34" s="687"/>
      <c r="E34" s="858">
        <f t="shared" ref="E34:K34" si="2">SUM(E20:E33)</f>
        <v>39045</v>
      </c>
      <c r="F34" s="859">
        <f t="shared" si="2"/>
        <v>1126</v>
      </c>
      <c r="G34" s="859">
        <f t="shared" si="2"/>
        <v>0</v>
      </c>
      <c r="H34" s="859">
        <f t="shared" si="2"/>
        <v>4410</v>
      </c>
      <c r="I34" s="859">
        <f t="shared" si="2"/>
        <v>12873</v>
      </c>
      <c r="J34" s="860">
        <f t="shared" si="2"/>
        <v>0</v>
      </c>
      <c r="K34" s="692">
        <f t="shared" si="2"/>
        <v>57454</v>
      </c>
      <c r="L34" s="689"/>
      <c r="M34" s="690"/>
      <c r="N34" s="688">
        <f>SUM(N20:N33)</f>
        <v>14841</v>
      </c>
      <c r="O34" s="691">
        <f>SUM(O20:O33)</f>
        <v>72295</v>
      </c>
      <c r="P34" s="3"/>
    </row>
    <row r="35" spans="2:16" ht="15.75" thickBot="1" x14ac:dyDescent="0.3">
      <c r="B35" s="1532"/>
      <c r="C35" s="6"/>
      <c r="D35" s="6"/>
      <c r="E35" s="6"/>
      <c r="F35" s="6"/>
      <c r="G35" s="6"/>
      <c r="H35" s="6"/>
      <c r="I35" s="6"/>
      <c r="J35" s="6"/>
      <c r="K35" s="6"/>
      <c r="L35" s="6"/>
      <c r="M35" s="428"/>
      <c r="N35" s="428"/>
      <c r="O35" s="428"/>
      <c r="P35" s="1533"/>
    </row>
  </sheetData>
  <sheetProtection algorithmName="SHA-512" hashValue="P/mLEl/gOL3OW/Z/6degK5R8NrX0hDBxjtIosjmciqMjRBgRcd0uoA197C1Dg3nC/2S3iaV/gtIF+SJMAigW3w==" saltValue="lToein2JQCMBoEk9b3tXPA==" spinCount="100000" sheet="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2016
Version: 1.0</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4"/>
  <sheetViews>
    <sheetView showGridLines="0" topLeftCell="A131" zoomScaleNormal="100" zoomScaleSheetLayoutView="70" zoomScalePageLayoutView="70" workbookViewId="0">
      <selection activeCell="N17" sqref="N17"/>
    </sheetView>
  </sheetViews>
  <sheetFormatPr defaultColWidth="9.140625" defaultRowHeight="15" x14ac:dyDescent="0.25"/>
  <cols>
    <col min="1" max="4" width="1.7109375" style="1300" customWidth="1"/>
    <col min="5" max="5" width="14.28515625" style="1300" customWidth="1"/>
    <col min="6" max="6" width="16.28515625" style="1300" customWidth="1"/>
    <col min="7" max="7" width="4" style="1300" customWidth="1"/>
    <col min="8" max="8" width="36" style="1300" customWidth="1"/>
    <col min="9" max="9" width="38.85546875" style="1300" bestFit="1" customWidth="1"/>
    <col min="10" max="10" width="8.42578125" style="1300" bestFit="1" customWidth="1"/>
    <col min="11" max="11" width="3.28515625" style="1300" hidden="1" customWidth="1"/>
    <col min="12" max="13" width="1.7109375" style="1300" customWidth="1"/>
    <col min="14" max="16384" width="9.140625" style="1300"/>
  </cols>
  <sheetData>
    <row r="10" spans="2:12" ht="6.75" customHeight="1" x14ac:dyDescent="0.25"/>
    <row r="11" spans="2:12" ht="6.75" customHeight="1" thickBot="1" x14ac:dyDescent="0.3"/>
    <row r="12" spans="2:12" s="2110" customFormat="1" ht="7.5" customHeight="1" x14ac:dyDescent="0.25">
      <c r="B12" s="1301"/>
      <c r="C12" s="1302"/>
      <c r="D12" s="1302"/>
      <c r="E12" s="1302"/>
      <c r="F12" s="1302"/>
      <c r="G12" s="1302"/>
      <c r="H12" s="1302"/>
      <c r="I12" s="1302"/>
      <c r="J12" s="1302"/>
      <c r="K12" s="1302"/>
      <c r="L12" s="1303"/>
    </row>
    <row r="13" spans="2:12" s="2110" customFormat="1" ht="18.75" x14ac:dyDescent="0.3">
      <c r="B13" s="1304"/>
      <c r="C13" s="2244" t="s">
        <v>685</v>
      </c>
      <c r="D13" s="2244"/>
      <c r="E13" s="2244"/>
      <c r="F13" s="2244"/>
      <c r="G13" s="2244"/>
      <c r="H13" s="2244"/>
      <c r="I13" s="2244"/>
      <c r="J13" s="2244"/>
      <c r="L13" s="1305"/>
    </row>
    <row r="14" spans="2:12" s="2110" customFormat="1" ht="7.5" customHeight="1" x14ac:dyDescent="0.3">
      <c r="B14" s="1304"/>
      <c r="E14" s="1306"/>
      <c r="F14" s="1306"/>
      <c r="G14" s="1306"/>
      <c r="H14" s="1306"/>
      <c r="I14" s="1306"/>
      <c r="J14" s="1306"/>
      <c r="L14" s="1305"/>
    </row>
    <row r="15" spans="2:12" s="2110" customFormat="1" x14ac:dyDescent="0.25">
      <c r="B15" s="1304"/>
      <c r="C15" s="1307"/>
      <c r="D15" s="2245"/>
      <c r="E15" s="2245"/>
      <c r="F15" s="2245"/>
      <c r="G15" s="2245"/>
      <c r="H15" s="2245"/>
      <c r="I15" s="2245"/>
      <c r="J15" s="2245"/>
      <c r="L15" s="1305"/>
    </row>
    <row r="16" spans="2:12" s="2110" customFormat="1" ht="3.75" customHeight="1" x14ac:dyDescent="0.25">
      <c r="B16" s="1304"/>
      <c r="C16" s="1307"/>
      <c r="L16" s="1305"/>
    </row>
    <row r="17" spans="2:16" s="2110" customFormat="1" x14ac:dyDescent="0.25">
      <c r="B17" s="1304"/>
      <c r="C17" s="1307"/>
      <c r="K17" s="500"/>
      <c r="L17" s="568"/>
      <c r="M17" s="500"/>
      <c r="N17" s="500"/>
      <c r="O17" s="500"/>
      <c r="P17" s="500"/>
    </row>
    <row r="18" spans="2:16" ht="15.75" x14ac:dyDescent="0.25">
      <c r="B18" s="1304"/>
      <c r="C18" s="1307"/>
      <c r="D18" s="2110"/>
      <c r="E18" s="1308" t="s">
        <v>0</v>
      </c>
      <c r="F18" s="2246" t="s">
        <v>1879</v>
      </c>
      <c r="G18" s="2246"/>
      <c r="H18" s="2246"/>
      <c r="I18" s="2246"/>
      <c r="K18" s="429"/>
      <c r="L18" s="201"/>
    </row>
    <row r="19" spans="2:16" ht="7.5" customHeight="1" x14ac:dyDescent="0.25">
      <c r="B19" s="1304"/>
      <c r="C19" s="1307"/>
      <c r="D19" s="2110"/>
      <c r="H19" s="429"/>
      <c r="J19" s="429"/>
      <c r="K19" s="429"/>
      <c r="L19" s="201"/>
    </row>
    <row r="20" spans="2:16" x14ac:dyDescent="0.25">
      <c r="B20" s="1304"/>
      <c r="C20" s="1307"/>
      <c r="D20" s="2110"/>
      <c r="E20" s="2119" t="s">
        <v>1880</v>
      </c>
      <c r="F20" s="2247" t="s">
        <v>1881</v>
      </c>
      <c r="G20" s="2248"/>
      <c r="H20" s="2248"/>
      <c r="I20" s="2248"/>
      <c r="J20" s="1309"/>
      <c r="K20" s="429"/>
      <c r="L20" s="201"/>
    </row>
    <row r="21" spans="2:16" ht="7.5" customHeight="1" x14ac:dyDescent="0.25">
      <c r="B21" s="1304"/>
      <c r="C21" s="1307"/>
      <c r="D21" s="2110"/>
      <c r="H21" s="2117"/>
      <c r="I21" s="1310"/>
      <c r="J21" s="1309"/>
      <c r="K21" s="429"/>
      <c r="L21" s="201"/>
    </row>
    <row r="22" spans="2:16" x14ac:dyDescent="0.25">
      <c r="B22" s="1304"/>
      <c r="C22" s="1307"/>
      <c r="D22" s="2110"/>
      <c r="J22" s="1309"/>
      <c r="K22" s="429"/>
      <c r="L22" s="201"/>
    </row>
    <row r="23" spans="2:16" x14ac:dyDescent="0.25">
      <c r="B23" s="1304"/>
      <c r="C23" s="1307"/>
      <c r="D23" s="2110"/>
      <c r="H23" s="2117"/>
      <c r="I23" s="1310"/>
      <c r="J23" s="1309"/>
      <c r="K23" s="429"/>
      <c r="L23" s="201"/>
    </row>
    <row r="24" spans="2:16" x14ac:dyDescent="0.25">
      <c r="B24" s="1304"/>
      <c r="C24" s="1307"/>
      <c r="D24" s="2110"/>
      <c r="E24" s="17" t="s">
        <v>686</v>
      </c>
      <c r="F24" s="2242" t="s">
        <v>836</v>
      </c>
      <c r="G24" s="2243"/>
      <c r="H24" s="2117"/>
      <c r="I24" s="1310"/>
      <c r="J24" s="1309"/>
      <c r="K24" s="429"/>
      <c r="L24" s="201"/>
    </row>
    <row r="25" spans="2:16" ht="3.75" customHeight="1" x14ac:dyDescent="0.25">
      <c r="B25" s="1304"/>
      <c r="C25" s="1307"/>
      <c r="D25" s="2110"/>
      <c r="E25" s="429"/>
      <c r="F25" s="429"/>
      <c r="G25" s="217"/>
      <c r="H25" s="2117"/>
      <c r="I25" s="2117"/>
      <c r="J25" s="2117"/>
      <c r="K25" s="429"/>
      <c r="L25" s="201"/>
    </row>
    <row r="26" spans="2:16" x14ac:dyDescent="0.25">
      <c r="B26" s="1304"/>
      <c r="C26" s="1307"/>
      <c r="D26" s="2110"/>
      <c r="E26" s="17" t="s">
        <v>687</v>
      </c>
      <c r="F26" s="2242" t="s">
        <v>28</v>
      </c>
      <c r="G26" s="2243"/>
      <c r="H26" s="2117"/>
      <c r="I26" s="1310"/>
      <c r="J26" s="1309"/>
      <c r="K26" s="429"/>
      <c r="L26" s="201"/>
    </row>
    <row r="27" spans="2:16" x14ac:dyDescent="0.25">
      <c r="B27" s="1304"/>
      <c r="C27" s="1307"/>
      <c r="D27" s="2110"/>
      <c r="E27" s="429"/>
      <c r="F27" s="429"/>
      <c r="G27" s="217"/>
      <c r="H27" s="429"/>
      <c r="I27" s="1310"/>
      <c r="J27" s="1309"/>
      <c r="K27" s="429"/>
      <c r="L27" s="201"/>
    </row>
    <row r="28" spans="2:16" x14ac:dyDescent="0.25">
      <c r="B28" s="1304"/>
      <c r="C28" s="1307"/>
      <c r="D28" s="2110"/>
      <c r="E28" s="1311" t="s">
        <v>688</v>
      </c>
      <c r="F28" s="1311"/>
      <c r="G28" s="1311"/>
      <c r="H28" s="1311"/>
      <c r="K28" s="2110"/>
      <c r="L28" s="1305"/>
    </row>
    <row r="29" spans="2:16" x14ac:dyDescent="0.25">
      <c r="B29" s="1304"/>
      <c r="C29" s="1307"/>
      <c r="D29" s="2110"/>
      <c r="E29" s="1312" t="s">
        <v>689</v>
      </c>
      <c r="F29" s="1313" t="s">
        <v>690</v>
      </c>
      <c r="G29" s="1314"/>
      <c r="H29" s="1314"/>
      <c r="I29" s="1315" t="s">
        <v>691</v>
      </c>
      <c r="J29" s="1316" t="s">
        <v>692</v>
      </c>
      <c r="K29" s="2110"/>
      <c r="L29" s="1305"/>
      <c r="P29" s="577"/>
    </row>
    <row r="30" spans="2:16" x14ac:dyDescent="0.25">
      <c r="B30" s="1304"/>
      <c r="C30" s="1307"/>
      <c r="D30" s="2110"/>
      <c r="E30" s="1317" t="s">
        <v>693</v>
      </c>
      <c r="F30" s="2230" t="s">
        <v>694</v>
      </c>
      <c r="G30" s="2215"/>
      <c r="H30" s="2216"/>
      <c r="I30" s="1318" t="str">
        <f t="array" ref="I30">IFERROR(INDEX('[1]ESDS-Reference Table'!G1:G493,MATCH(1,('[1]ESDS-Reference Table'!F1:F493=E30)*('[1]ESDS-Reference Table'!H1:H493=F24)*('[1]ESDS-Reference Table'!I1:I493=F26),0)),"Select Region and Activity")</f>
        <v>Mandatory</v>
      </c>
      <c r="J30" s="1319" t="s">
        <v>1882</v>
      </c>
      <c r="K30" s="2110">
        <f>N(J30)</f>
        <v>0</v>
      </c>
      <c r="L30" s="1305"/>
      <c r="N30" s="384"/>
    </row>
    <row r="31" spans="2:16" x14ac:dyDescent="0.25">
      <c r="B31" s="1304"/>
      <c r="C31" s="1307"/>
      <c r="D31" s="2110"/>
      <c r="E31" s="1320" t="s">
        <v>695</v>
      </c>
      <c r="F31" s="2231" t="s">
        <v>696</v>
      </c>
      <c r="G31" s="2232"/>
      <c r="H31" s="2233"/>
      <c r="I31" s="1321" t="str">
        <f t="array" ref="I31">IFERROR(INDEX('[1]ESDS-Reference Table'!G1:G493,MATCH(1,('[1]ESDS-Reference Table'!F1:F493=E31)*('[1]ESDS-Reference Table'!H1:H493=F24)*('[1]ESDS-Reference Table'!I1:I493=F26),0)),"Select Region and Activity")</f>
        <v>0,2,4,6,8 or 10</v>
      </c>
      <c r="J31" s="1319"/>
      <c r="K31" s="2110"/>
      <c r="L31" s="1305"/>
      <c r="N31" s="384"/>
    </row>
    <row r="32" spans="2:16" x14ac:dyDescent="0.25">
      <c r="B32" s="1304"/>
      <c r="C32" s="1307"/>
      <c r="D32" s="2110"/>
      <c r="E32" s="1322">
        <v>1.2</v>
      </c>
      <c r="F32" s="2234" t="s">
        <v>697</v>
      </c>
      <c r="G32" s="2235"/>
      <c r="H32" s="2236"/>
      <c r="I32" s="1323" t="str">
        <f t="array" ref="I32">IFERROR(INDEX('[1]ESDS-Reference Table'!G1:G493,MATCH(1,('[1]ESDS-Reference Table'!F1:F493=E32)*('[1]ESDS-Reference Table'!H1:H493=F24)*('[1]ESDS-Reference Table'!I1:I493=F26),0)),"Select Region and Activity")</f>
        <v>up to 3</v>
      </c>
      <c r="J32" s="1319">
        <v>2</v>
      </c>
      <c r="K32" s="2110">
        <f>N(J32)</f>
        <v>2</v>
      </c>
      <c r="L32" s="1305"/>
    </row>
    <row r="33" spans="2:15" x14ac:dyDescent="0.25">
      <c r="B33" s="1304"/>
      <c r="C33" s="1307"/>
      <c r="D33" s="2110"/>
      <c r="E33" s="1324" t="s">
        <v>698</v>
      </c>
      <c r="F33" s="2231" t="s">
        <v>699</v>
      </c>
      <c r="G33" s="2232"/>
      <c r="H33" s="2233"/>
      <c r="I33" s="1323" t="str">
        <f t="array" ref="I33">IFERROR(INDEX('[1]ESDS-Reference Table'!G1:G493,MATCH(1,('[1]ESDS-Reference Table'!F1:F493=E33)*('[1]ESDS-Reference Table'!H1:H493=F24)*('[1]ESDS-Reference Table'!I1:I493=F26),0)),"Select Region and Activity")</f>
        <v>Mandatory</v>
      </c>
      <c r="J33" s="1319" t="s">
        <v>1882</v>
      </c>
      <c r="K33" s="2110"/>
      <c r="L33" s="1305"/>
    </row>
    <row r="34" spans="2:15" x14ac:dyDescent="0.25">
      <c r="B34" s="1304"/>
      <c r="C34" s="1307"/>
      <c r="D34" s="2110"/>
      <c r="E34" s="1322" t="s">
        <v>700</v>
      </c>
      <c r="F34" s="2237" t="s">
        <v>701</v>
      </c>
      <c r="G34" s="2235"/>
      <c r="H34" s="2236"/>
      <c r="I34" s="1323" t="str">
        <f t="array" ref="I34">IFERROR(INDEX('[1]ESDS-Reference Table'!G1:G493,MATCH(1,('[1]ESDS-Reference Table'!F1:F493=E34)*('[1]ESDS-Reference Table'!H1:H493=F24)*('[1]ESDS-Reference Table'!I1:I493=F26),0)),"Select Region and Activity")</f>
        <v>up to 12 (2 point increments)</v>
      </c>
      <c r="J34" s="1319">
        <v>6</v>
      </c>
      <c r="K34" s="2110"/>
      <c r="L34" s="1305"/>
    </row>
    <row r="35" spans="2:15" x14ac:dyDescent="0.25">
      <c r="B35" s="1304"/>
      <c r="C35" s="1307"/>
      <c r="D35" s="2110"/>
      <c r="E35" s="1322">
        <v>1.4</v>
      </c>
      <c r="F35" s="2238" t="s">
        <v>702</v>
      </c>
      <c r="G35" s="2239"/>
      <c r="H35" s="2240"/>
      <c r="I35" s="1323" t="str">
        <f t="array" ref="I35">IFERROR(INDEX('[1]ESDS-Reference Table'!G1:G493,MATCH(1,('[1]ESDS-Reference Table'!F1:F493=E35)*('[1]ESDS-Reference Table'!H1:H493=F24)*('[1]ESDS-Reference Table'!I1:I493=F26),0)),"Select Region and Activity")</f>
        <v>0,3 or 6</v>
      </c>
      <c r="J35" s="1319">
        <v>0</v>
      </c>
      <c r="K35" s="2110"/>
      <c r="L35" s="1305"/>
    </row>
    <row r="36" spans="2:15" x14ac:dyDescent="0.25">
      <c r="B36" s="1304"/>
      <c r="C36" s="1307"/>
      <c r="D36" s="2110"/>
      <c r="E36" s="1325" t="s">
        <v>34</v>
      </c>
      <c r="F36" s="1326"/>
      <c r="G36" s="1327"/>
      <c r="H36" s="1327"/>
      <c r="I36" s="1328" t="s">
        <v>703</v>
      </c>
      <c r="J36" s="1329">
        <f>SUM(J30:J35)</f>
        <v>8</v>
      </c>
      <c r="K36" s="2110"/>
      <c r="L36" s="1305"/>
    </row>
    <row r="37" spans="2:15" s="2110" customFormat="1" ht="7.5" customHeight="1" x14ac:dyDescent="0.25">
      <c r="B37" s="1304"/>
      <c r="C37" s="1307"/>
      <c r="E37" s="1330"/>
      <c r="F37" s="1330"/>
      <c r="G37" s="1330"/>
      <c r="H37" s="1330"/>
      <c r="I37" s="1331"/>
      <c r="J37" s="1332"/>
      <c r="L37" s="1305"/>
      <c r="O37" s="1300"/>
    </row>
    <row r="38" spans="2:15" s="2110" customFormat="1" x14ac:dyDescent="0.25">
      <c r="B38" s="1304"/>
      <c r="C38" s="1307"/>
      <c r="E38" s="1333" t="s">
        <v>704</v>
      </c>
      <c r="F38" s="1333"/>
      <c r="G38" s="1333"/>
      <c r="H38" s="1333"/>
      <c r="I38" s="1331"/>
      <c r="L38" s="1305"/>
      <c r="O38" s="1300"/>
    </row>
    <row r="39" spans="2:15" x14ac:dyDescent="0.25">
      <c r="B39" s="1304"/>
      <c r="C39" s="1307"/>
      <c r="D39" s="2110"/>
      <c r="E39" s="1312" t="s">
        <v>689</v>
      </c>
      <c r="F39" s="1313" t="s">
        <v>690</v>
      </c>
      <c r="G39" s="1314"/>
      <c r="H39" s="1314"/>
      <c r="I39" s="1315" t="s">
        <v>691</v>
      </c>
      <c r="J39" s="1316" t="s">
        <v>692</v>
      </c>
      <c r="K39" s="2110"/>
      <c r="L39" s="1305"/>
    </row>
    <row r="40" spans="2:15" x14ac:dyDescent="0.25">
      <c r="B40" s="1304"/>
      <c r="C40" s="1307"/>
      <c r="D40" s="2110"/>
      <c r="E40" s="1334">
        <v>2.1</v>
      </c>
      <c r="F40" s="2241" t="s">
        <v>705</v>
      </c>
      <c r="G40" s="2185"/>
      <c r="H40" s="2229"/>
      <c r="I40" s="384" t="str">
        <f t="array" ref="I40">IFERROR(INDEX('[1]ESDS-Reference Table'!G1:G493,MATCH(1,('[1]ESDS-Reference Table'!F1:F493=E40)*('[1]ESDS-Reference Table'!H1:H493=F24)*('[1]ESDS-Reference Table'!I1:I493=F26),0)),"Select Region and Activity")</f>
        <v>Mandatory</v>
      </c>
      <c r="J40" s="1319" t="s">
        <v>1882</v>
      </c>
      <c r="K40" s="2110">
        <f t="shared" ref="K40:K50" si="0">N(J40)</f>
        <v>0</v>
      </c>
      <c r="L40" s="1305"/>
    </row>
    <row r="41" spans="2:15" x14ac:dyDescent="0.25">
      <c r="B41" s="1304"/>
      <c r="C41" s="1307"/>
      <c r="D41" s="2110"/>
      <c r="E41" s="1335">
        <v>2.2000000000000002</v>
      </c>
      <c r="F41" s="2224" t="s">
        <v>706</v>
      </c>
      <c r="G41" s="2188"/>
      <c r="H41" s="2217"/>
      <c r="I41" s="1336" t="str">
        <f t="array" ref="I41">IFERROR(INDEX('[1]ESDS-Reference Table'!G1:G493,MATCH(1,('[1]ESDS-Reference Table'!F1:F493=E41)*('[1]ESDS-Reference Table'!H1:H493=F24)*('[1]ESDS-Reference Table'!I1:I493=F26),0)),"Select Region and Activity")</f>
        <v>Mandatory</v>
      </c>
      <c r="J41" s="1319" t="s">
        <v>580</v>
      </c>
      <c r="K41" s="2110">
        <f t="shared" si="0"/>
        <v>0</v>
      </c>
      <c r="L41" s="1337"/>
      <c r="N41" s="384"/>
    </row>
    <row r="42" spans="2:15" x14ac:dyDescent="0.25">
      <c r="B42" s="1304"/>
      <c r="C42" s="1307"/>
      <c r="D42" s="2110"/>
      <c r="E42" s="1335">
        <v>2.2999999999999998</v>
      </c>
      <c r="F42" s="2224" t="s">
        <v>707</v>
      </c>
      <c r="G42" s="2188"/>
      <c r="H42" s="2217"/>
      <c r="I42" s="1336" t="str">
        <f t="array" ref="I42">IFERROR(INDEX('[1]ESDS-Reference Table'!G1:G493,MATCH(1,('[1]ESDS-Reference Table'!F1:F493=E42)*('[1]ESDS-Reference Table'!H1:H493=F24)*('[1]ESDS-Reference Table'!I1:I493=F26),0)),"Select Region and Activity")</f>
        <v>Mandatory</v>
      </c>
      <c r="J42" s="1319" t="s">
        <v>1882</v>
      </c>
      <c r="K42" s="2110">
        <f t="shared" si="0"/>
        <v>0</v>
      </c>
      <c r="L42" s="1305"/>
    </row>
    <row r="43" spans="2:15" x14ac:dyDescent="0.25">
      <c r="B43" s="1304"/>
      <c r="C43" s="1307"/>
      <c r="D43" s="2110"/>
      <c r="E43" s="1335">
        <v>2.4</v>
      </c>
      <c r="F43" s="2224" t="s">
        <v>708</v>
      </c>
      <c r="G43" s="2188"/>
      <c r="H43" s="2217"/>
      <c r="I43" s="1336" t="str">
        <f t="array" ref="I43">IFERROR(INDEX('[1]ESDS-Reference Table'!G1:G493,MATCH(1,('[1]ESDS-Reference Table'!F1:F493=E43)*('[1]ESDS-Reference Table'!H1:H493=F24)*('[1]ESDS-Reference Table'!I1:I493=F26),0)),"Select Region and Activity")</f>
        <v>0 or 5</v>
      </c>
      <c r="J43" s="1319">
        <v>5</v>
      </c>
      <c r="K43" s="2110">
        <f t="shared" si="0"/>
        <v>5</v>
      </c>
      <c r="L43" s="1305"/>
      <c r="N43" s="384"/>
    </row>
    <row r="44" spans="2:15" ht="15" customHeight="1" x14ac:dyDescent="0.25">
      <c r="B44" s="1304"/>
      <c r="C44" s="1307"/>
      <c r="D44" s="2110"/>
      <c r="E44" s="1335">
        <v>2.5</v>
      </c>
      <c r="F44" s="2224" t="s">
        <v>709</v>
      </c>
      <c r="G44" s="2188"/>
      <c r="H44" s="2217"/>
      <c r="I44" s="1336" t="str">
        <f t="array" ref="I44">IFERROR(INDEX('[1]ESDS-Reference Table'!G1:G493,MATCH(1,('[1]ESDS-Reference Table'!F1:F493=E44)*('[1]ESDS-Reference Table'!H1:H493=F24)*('[1]ESDS-Reference Table'!I1:I493=F26),0)),"Select Region and Activity")</f>
        <v xml:space="preserve">Mandatory, +5 </v>
      </c>
      <c r="J44" s="1319">
        <v>5</v>
      </c>
      <c r="K44" s="2110">
        <f t="shared" si="0"/>
        <v>5</v>
      </c>
      <c r="L44" s="1305"/>
    </row>
    <row r="45" spans="2:15" x14ac:dyDescent="0.25">
      <c r="B45" s="1304"/>
      <c r="C45" s="1307"/>
      <c r="D45" s="2110"/>
      <c r="E45" s="1335">
        <v>2.6</v>
      </c>
      <c r="F45" s="2224" t="s">
        <v>710</v>
      </c>
      <c r="G45" s="2188"/>
      <c r="H45" s="2217"/>
      <c r="I45" s="1336" t="str">
        <f t="array" ref="I45">IFERROR(INDEX('[1]ESDS-Reference Table'!G1:G493,MATCH(1,('[1]ESDS-Reference Table'!F1:F493=E45)*('[1]ESDS-Reference Table'!H1:H493=F24)*('[1]ESDS-Reference Table'!I1:I493=F26),0)),"Select Region and Activity")</f>
        <v>Mandatory</v>
      </c>
      <c r="J45" s="1319" t="s">
        <v>1882</v>
      </c>
      <c r="K45" s="2110">
        <f t="shared" si="0"/>
        <v>0</v>
      </c>
      <c r="L45" s="1305"/>
    </row>
    <row r="46" spans="2:15" x14ac:dyDescent="0.25">
      <c r="B46" s="1304"/>
      <c r="C46" s="1307"/>
      <c r="D46" s="2110"/>
      <c r="E46" s="1338" t="s">
        <v>711</v>
      </c>
      <c r="F46" s="2224" t="s">
        <v>712</v>
      </c>
      <c r="G46" s="2188"/>
      <c r="H46" s="2217"/>
      <c r="I46" s="1336" t="str">
        <f t="array" ref="I46">IFERROR(INDEX('[1]ESDS-Reference Table'!G1:G493,MATCH(1,('[1]ESDS-Reference Table'!F1:F493=E46)*('[1]ESDS-Reference Table'!H1:H493=F24)*('[1]ESDS-Reference Table'!I1:I493=F26),0)),"Select Region and Activity")</f>
        <v>Mandatory</v>
      </c>
      <c r="J46" s="1319" t="s">
        <v>1882</v>
      </c>
      <c r="K46" s="2110">
        <f t="shared" si="0"/>
        <v>0</v>
      </c>
      <c r="L46" s="1305"/>
      <c r="N46" s="384"/>
    </row>
    <row r="47" spans="2:15" s="2120" customFormat="1" x14ac:dyDescent="0.25">
      <c r="B47" s="1339"/>
      <c r="C47" s="1307"/>
      <c r="D47" s="437"/>
      <c r="E47" s="1338" t="s">
        <v>713</v>
      </c>
      <c r="F47" s="2225" t="s">
        <v>714</v>
      </c>
      <c r="G47" s="2226"/>
      <c r="H47" s="2227"/>
      <c r="I47" s="1336" t="str">
        <f t="array" ref="I47">IFERROR(INDEX('[1]ESDS-Reference Table'!G1:G493,MATCH(1,('[1]ESDS-Reference Table'!F1:F493=E47)*('[1]ESDS-Reference Table'!H1:H493=F24)*('[1]ESDS-Reference Table'!I1:I493=F26),0)),"Select Region and Activity")</f>
        <v>0,3 or 5 -Tribal Only</v>
      </c>
      <c r="J47" s="1319" t="s">
        <v>548</v>
      </c>
      <c r="K47" s="2110">
        <f t="shared" si="0"/>
        <v>0</v>
      </c>
      <c r="L47" s="1340"/>
      <c r="N47" s="384"/>
    </row>
    <row r="48" spans="2:15" x14ac:dyDescent="0.25">
      <c r="B48" s="1304"/>
      <c r="C48" s="1307"/>
      <c r="D48" s="2110"/>
      <c r="E48" s="1335">
        <v>2.8</v>
      </c>
      <c r="F48" s="2224" t="s">
        <v>715</v>
      </c>
      <c r="G48" s="2188"/>
      <c r="H48" s="2217"/>
      <c r="I48" s="1336" t="str">
        <f t="array" ref="I48">IFERROR(INDEX('[1]ESDS-Reference Table'!G1:G493,MATCH(1,('[1]ESDS-Reference Table'!F1:F493=E48)*('[1]ESDS-Reference Table'!H1:H493=F24)*('[1]ESDS-Reference Table'!I1:I493=F26),0)),"Select Region and Activity")</f>
        <v>0 or 2</v>
      </c>
      <c r="J48" s="1319">
        <v>0</v>
      </c>
      <c r="K48" s="2110">
        <f t="shared" si="0"/>
        <v>0</v>
      </c>
      <c r="L48" s="1305"/>
    </row>
    <row r="49" spans="1:15" x14ac:dyDescent="0.25">
      <c r="B49" s="1304"/>
      <c r="C49" s="1307"/>
      <c r="D49" s="2110"/>
      <c r="E49" s="1335">
        <v>2.9</v>
      </c>
      <c r="F49" s="2224" t="s">
        <v>716</v>
      </c>
      <c r="G49" s="2188"/>
      <c r="H49" s="2217"/>
      <c r="I49" s="1336" t="str">
        <f t="array" ref="I49">IFERROR(INDEX('[1]ESDS-Reference Table'!G1:G493,MATCH(1,('[1]ESDS-Reference Table'!F1:F493=E49)*('[1]ESDS-Reference Table'!H1:H493=F24)*('[1]ESDS-Reference Table'!I1:I493=F26),0)),"Select Region and Activity")</f>
        <v>0 or 5</v>
      </c>
      <c r="J49" s="1319">
        <v>0</v>
      </c>
      <c r="K49" s="2110">
        <f t="shared" si="0"/>
        <v>0</v>
      </c>
      <c r="L49" s="1305"/>
    </row>
    <row r="50" spans="1:15" x14ac:dyDescent="0.25">
      <c r="B50" s="1304"/>
      <c r="C50" s="1307"/>
      <c r="D50" s="2110"/>
      <c r="E50" s="1341" t="s">
        <v>717</v>
      </c>
      <c r="F50" s="2212" t="s">
        <v>718</v>
      </c>
      <c r="G50" s="2192"/>
      <c r="H50" s="2213"/>
      <c r="I50" s="384" t="str">
        <f t="array" ref="I50">IFERROR(INDEX('[1]ESDS-Reference Table'!G1:G493,MATCH(1,('[1]ESDS-Reference Table'!F1:F493=E50)*('[1]ESDS-Reference Table'!H1:H493=F24)*('[1]ESDS-Reference Table'!I1:I493=F26),0)),"Select Region and Activity")</f>
        <v>0 or 3</v>
      </c>
      <c r="J50" s="1319">
        <v>0</v>
      </c>
      <c r="K50" s="2110">
        <f t="shared" si="0"/>
        <v>0</v>
      </c>
      <c r="L50" s="1305"/>
    </row>
    <row r="51" spans="1:15" x14ac:dyDescent="0.25">
      <c r="B51" s="1304"/>
      <c r="C51" s="1307"/>
      <c r="D51" s="2110"/>
      <c r="E51" s="1325" t="s">
        <v>34</v>
      </c>
      <c r="F51" s="1326"/>
      <c r="G51" s="1327"/>
      <c r="H51" s="1327"/>
      <c r="I51" s="1328" t="s">
        <v>719</v>
      </c>
      <c r="J51" s="1329">
        <f>SUM(J40:J50)</f>
        <v>10</v>
      </c>
      <c r="K51" s="2110"/>
      <c r="L51" s="1305"/>
    </row>
    <row r="52" spans="1:15" s="2110" customFormat="1" ht="7.5" customHeight="1" x14ac:dyDescent="0.25">
      <c r="B52" s="1304"/>
      <c r="C52" s="1307"/>
      <c r="E52" s="1330"/>
      <c r="F52" s="1332"/>
      <c r="G52" s="1330"/>
      <c r="H52" s="1330"/>
      <c r="I52" s="1331"/>
      <c r="J52" s="1332"/>
      <c r="L52" s="1305"/>
      <c r="O52" s="1300"/>
    </row>
    <row r="53" spans="1:15" s="2110" customFormat="1" x14ac:dyDescent="0.25">
      <c r="B53" s="1304"/>
      <c r="C53" s="1307"/>
      <c r="E53" s="1333" t="s">
        <v>720</v>
      </c>
      <c r="G53" s="1333"/>
      <c r="H53" s="1333"/>
      <c r="I53" s="1331"/>
      <c r="L53" s="1305"/>
      <c r="O53" s="1300"/>
    </row>
    <row r="54" spans="1:15" x14ac:dyDescent="0.25">
      <c r="B54" s="1304"/>
      <c r="C54" s="1307"/>
      <c r="D54" s="2110"/>
      <c r="E54" s="1312" t="s">
        <v>689</v>
      </c>
      <c r="F54" s="1313" t="s">
        <v>690</v>
      </c>
      <c r="G54" s="1314"/>
      <c r="H54" s="1314"/>
      <c r="I54" s="1315" t="s">
        <v>691</v>
      </c>
      <c r="J54" s="1316" t="s">
        <v>692</v>
      </c>
      <c r="K54" s="2110"/>
      <c r="L54" s="1305"/>
    </row>
    <row r="55" spans="1:15" x14ac:dyDescent="0.25">
      <c r="B55" s="1304"/>
      <c r="C55" s="1307"/>
      <c r="D55" s="2110"/>
      <c r="E55" s="1342">
        <v>3.1</v>
      </c>
      <c r="F55" s="2228" t="s">
        <v>721</v>
      </c>
      <c r="G55" s="2185"/>
      <c r="H55" s="2229"/>
      <c r="I55" s="1343" t="str">
        <f t="array" ref="I55">IFERROR(INDEX('[1]ESDS-Reference Table'!G1:G493,MATCH(1,('[1]ESDS-Reference Table'!F1:F493=E55)*('[1]ESDS-Reference Table'!H1:H493=F24)*('[1]ESDS-Reference Table'!I1:I493=F26),0)),"Select Region and Activity")</f>
        <v>Mandatory</v>
      </c>
      <c r="J55" s="1319" t="s">
        <v>1882</v>
      </c>
      <c r="K55" s="2110">
        <f t="shared" ref="K55:K62" si="1">N(J55)</f>
        <v>0</v>
      </c>
      <c r="L55" s="1305"/>
    </row>
    <row r="56" spans="1:15" x14ac:dyDescent="0.25">
      <c r="B56" s="1304"/>
      <c r="C56" s="1307"/>
      <c r="D56" s="2110"/>
      <c r="E56" s="1344">
        <v>3.2</v>
      </c>
      <c r="F56" s="2223" t="s">
        <v>722</v>
      </c>
      <c r="G56" s="2188"/>
      <c r="H56" s="2217"/>
      <c r="I56" s="1323" t="str">
        <f t="array" ref="I56">IFERROR(INDEX('[1]ESDS-Reference Table'!G1:G493,MATCH(1,('[1]ESDS-Reference Table'!F1:F493=E56)*('[1]ESDS-Reference Table'!H1:H493=F24)*('[1]ESDS-Reference Table'!I1:I493=F26),0)),"Select Region and Activity")</f>
        <v>Mandatory</v>
      </c>
      <c r="J56" s="1319" t="s">
        <v>1882</v>
      </c>
      <c r="K56" s="2110">
        <f t="shared" si="1"/>
        <v>0</v>
      </c>
      <c r="L56" s="1305"/>
    </row>
    <row r="57" spans="1:15" ht="15" customHeight="1" x14ac:dyDescent="0.25">
      <c r="B57" s="1304"/>
      <c r="C57" s="1307"/>
      <c r="D57" s="2110"/>
      <c r="E57" s="1335" t="s">
        <v>723</v>
      </c>
      <c r="F57" s="2223" t="s">
        <v>396</v>
      </c>
      <c r="G57" s="2188"/>
      <c r="H57" s="2217"/>
      <c r="I57" s="1323" t="str">
        <f t="array" ref="I57">IFERROR(INDEX('[1]ESDS-Reference Table'!G1:G493,MATCH(1,('[1]ESDS-Reference Table'!F1:F493=E57)*('[1]ESDS-Reference Table'!H1:H493=F24)*('[1]ESDS-Reference Table'!I1:I493=F26),0)),"Select Region and Activity")</f>
        <v>Mandatory, if providing Landscaping</v>
      </c>
      <c r="J57" s="1319" t="s">
        <v>1882</v>
      </c>
      <c r="K57" s="2110">
        <f t="shared" si="1"/>
        <v>0</v>
      </c>
      <c r="L57" s="1305"/>
    </row>
    <row r="58" spans="1:15" x14ac:dyDescent="0.25">
      <c r="B58" s="1304"/>
      <c r="C58" s="1307"/>
      <c r="D58" s="2110"/>
      <c r="E58" s="1335" t="s">
        <v>724</v>
      </c>
      <c r="F58" s="2223" t="s">
        <v>396</v>
      </c>
      <c r="G58" s="2188"/>
      <c r="H58" s="2217"/>
      <c r="I58" s="1323" t="str">
        <f t="array" ref="I58">IFERROR(INDEX('[1]ESDS-Reference Table'!G1:G493,MATCH(1,('[1]ESDS-Reference Table'!F1:F493=E58)*('[1]ESDS-Reference Table'!H1:H493=F24)*('[1]ESDS-Reference Table'!I1:I493=F26),0)),"Select Region and Activity")</f>
        <v>0 or 5</v>
      </c>
      <c r="J58" s="1319">
        <v>0</v>
      </c>
      <c r="K58" s="2110">
        <f t="shared" si="1"/>
        <v>0</v>
      </c>
      <c r="L58" s="1305"/>
    </row>
    <row r="59" spans="1:15" x14ac:dyDescent="0.25">
      <c r="B59" s="1304"/>
      <c r="C59" s="1307"/>
      <c r="D59" s="2110"/>
      <c r="E59" s="1335" t="s">
        <v>725</v>
      </c>
      <c r="F59" s="2223" t="s">
        <v>726</v>
      </c>
      <c r="G59" s="2188"/>
      <c r="H59" s="2217"/>
      <c r="I59" s="1323" t="str">
        <f t="array" ref="I59">IFERROR(INDEX('[1]ESDS-Reference Table'!G1:G493,MATCH(1,('[1]ESDS-Reference Table'!F1:F493=E59)*('[1]ESDS-Reference Table'!H1:H493=F24)*('[1]ESDS-Reference Table'!I1:I493=F26),0)),"Select Region and Activity")</f>
        <v>up to 5</v>
      </c>
      <c r="J59" s="1319">
        <v>0</v>
      </c>
      <c r="K59" s="2110">
        <f t="shared" si="1"/>
        <v>0</v>
      </c>
      <c r="L59" s="1305"/>
    </row>
    <row r="60" spans="1:15" ht="15" customHeight="1" x14ac:dyDescent="0.25">
      <c r="B60" s="1304"/>
      <c r="C60" s="1307"/>
      <c r="D60" s="2110"/>
      <c r="E60" s="1344">
        <v>3.4</v>
      </c>
      <c r="F60" s="2223" t="s">
        <v>727</v>
      </c>
      <c r="G60" s="2188"/>
      <c r="H60" s="2217"/>
      <c r="I60" s="1323" t="str">
        <f t="array" ref="I60">IFERROR(INDEX('[1]ESDS-Reference Table'!G1:G493,MATCH(1,('[1]ESDS-Reference Table'!F1:F493=E60)*('[1]ESDS-Reference Table'!H1:H493=F24)*('[1]ESDS-Reference Table'!I1:I493=F26),0)),"Select Region and Activity")</f>
        <v>Mandatory, if installing irrigation</v>
      </c>
      <c r="J60" s="1319" t="s">
        <v>1882</v>
      </c>
      <c r="K60" s="2110">
        <f t="shared" si="1"/>
        <v>0</v>
      </c>
      <c r="L60" s="1305"/>
    </row>
    <row r="61" spans="1:15" x14ac:dyDescent="0.25">
      <c r="B61" s="1304"/>
      <c r="C61" s="1307"/>
      <c r="D61" s="2110"/>
      <c r="E61" s="1344">
        <v>3.5</v>
      </c>
      <c r="F61" s="2223" t="s">
        <v>728</v>
      </c>
      <c r="G61" s="2188"/>
      <c r="H61" s="2217"/>
      <c r="I61" s="1323" t="str">
        <f t="array" ref="I61">IFERROR(INDEX('[1]ESDS-Reference Table'!G1:G493,MATCH(1,('[1]ESDS-Reference Table'!F1:F493=E61)*('[1]ESDS-Reference Table'!H1:H493=F24)*('[1]ESDS-Reference Table'!I1:I493=F26),0)),"Select Region and Activity")</f>
        <v>0,2,4 or 6</v>
      </c>
      <c r="J61" s="1319">
        <v>0</v>
      </c>
      <c r="K61" s="2110">
        <f t="shared" si="1"/>
        <v>0</v>
      </c>
      <c r="L61" s="1305"/>
    </row>
    <row r="62" spans="1:15" x14ac:dyDescent="0.25">
      <c r="B62" s="1304"/>
      <c r="C62" s="1307"/>
      <c r="D62" s="2110"/>
      <c r="E62" s="1344">
        <v>3.6</v>
      </c>
      <c r="F62" s="2212" t="s">
        <v>729</v>
      </c>
      <c r="G62" s="2192"/>
      <c r="H62" s="2213"/>
      <c r="I62" s="1345" t="str">
        <f t="array" ref="I62">IFERROR(INDEX('[1]ESDS-Reference Table'!G1:G493,MATCH(1,('[1]ESDS-Reference Table'!F1:F493=E62)*('[1]ESDS-Reference Table'!H1:H493=F24)*('[1]ESDS-Reference Table'!I1:I493=F26),0)),"Select Region and Activity")</f>
        <v>Mandatory</v>
      </c>
      <c r="J62" s="1319" t="s">
        <v>1882</v>
      </c>
      <c r="K62" s="2110">
        <f t="shared" si="1"/>
        <v>0</v>
      </c>
      <c r="L62" s="1305"/>
    </row>
    <row r="63" spans="1:15" x14ac:dyDescent="0.25">
      <c r="A63" s="2110"/>
      <c r="B63" s="1304"/>
      <c r="C63" s="1307"/>
      <c r="D63" s="2110"/>
      <c r="E63" s="1325" t="s">
        <v>34</v>
      </c>
      <c r="F63" s="1326"/>
      <c r="G63" s="1327"/>
      <c r="H63" s="1327"/>
      <c r="I63" s="1328" t="s">
        <v>730</v>
      </c>
      <c r="J63" s="1329">
        <f>SUM(J55:J62)</f>
        <v>0</v>
      </c>
      <c r="K63" s="2110"/>
      <c r="L63" s="1305"/>
    </row>
    <row r="64" spans="1:15" ht="7.5" customHeight="1" x14ac:dyDescent="0.25">
      <c r="A64" s="2110"/>
      <c r="B64" s="1304"/>
      <c r="C64" s="1307"/>
      <c r="D64" s="2110"/>
      <c r="E64" s="1330"/>
      <c r="F64" s="1332"/>
      <c r="G64" s="1330"/>
      <c r="H64" s="1330"/>
      <c r="I64" s="1331"/>
      <c r="J64" s="1332"/>
      <c r="K64" s="2110"/>
      <c r="L64" s="1305"/>
    </row>
    <row r="65" spans="1:14" x14ac:dyDescent="0.25">
      <c r="A65" s="2110"/>
      <c r="B65" s="1304"/>
      <c r="C65" s="1307"/>
      <c r="D65" s="2110"/>
      <c r="E65" s="1333" t="s">
        <v>731</v>
      </c>
      <c r="F65" s="2110"/>
      <c r="G65" s="1333"/>
      <c r="H65" s="1333"/>
      <c r="I65" s="1331"/>
      <c r="J65" s="2110"/>
      <c r="K65" s="2110"/>
      <c r="L65" s="1305"/>
    </row>
    <row r="66" spans="1:14" x14ac:dyDescent="0.25">
      <c r="A66" s="2110"/>
      <c r="B66" s="1304"/>
      <c r="C66" s="1307"/>
      <c r="D66" s="2110"/>
      <c r="E66" s="1346" t="s">
        <v>689</v>
      </c>
      <c r="F66" s="1347" t="s">
        <v>690</v>
      </c>
      <c r="G66" s="1348"/>
      <c r="H66" s="1348"/>
      <c r="I66" s="1349" t="s">
        <v>691</v>
      </c>
      <c r="J66" s="1350" t="s">
        <v>692</v>
      </c>
      <c r="K66" s="2110"/>
      <c r="L66" s="1305"/>
    </row>
    <row r="67" spans="1:14" x14ac:dyDescent="0.25">
      <c r="A67" s="2110"/>
      <c r="B67" s="1304"/>
      <c r="C67" s="1307"/>
      <c r="D67" s="2110"/>
      <c r="E67" s="1351" t="s">
        <v>732</v>
      </c>
      <c r="F67" s="2214" t="s">
        <v>733</v>
      </c>
      <c r="G67" s="2215"/>
      <c r="H67" s="2216"/>
      <c r="I67" s="1352" t="str">
        <f t="array" ref="I67">IFERROR(INDEX('[1]ESDS-Reference Table'!G1:G493,MATCH(1,('[1]ESDS-Reference Table'!F1:F493=E67)*('[1]ESDS-Reference Table'!H1:H493=F24)*('[1]ESDS-Reference Table'!I1:I493=F26),0)),"Select Region and Activity")</f>
        <v>Mandatory</v>
      </c>
      <c r="J67" s="1319" t="s">
        <v>1882</v>
      </c>
      <c r="K67" s="2110">
        <f>N(J67)</f>
        <v>0</v>
      </c>
      <c r="L67" s="1305"/>
    </row>
    <row r="68" spans="1:14" x14ac:dyDescent="0.25">
      <c r="A68" s="2110"/>
      <c r="B68" s="1304"/>
      <c r="C68" s="1307"/>
      <c r="D68" s="2110"/>
      <c r="E68" s="1353" t="s">
        <v>734</v>
      </c>
      <c r="F68" s="1354" t="s">
        <v>735</v>
      </c>
      <c r="G68" s="2112"/>
      <c r="H68" s="2113"/>
      <c r="I68" s="1355" t="str">
        <f t="array" ref="I68">IFERROR(INDEX('[1]ESDS-Reference Table'!G1:G493,MATCH(1,('[1]ESDS-Reference Table'!F1:F493=E68)*('[1]ESDS-Reference Table'!H1:H493=F24)*('[1]ESDS-Reference Table'!I1:I493=F26),0)),"Select Region and Activity")</f>
        <v>up to 6, must also achieve 4.4</v>
      </c>
      <c r="J68" s="1319">
        <v>4</v>
      </c>
      <c r="K68" s="2110"/>
      <c r="L68" s="1305"/>
      <c r="N68" s="384"/>
    </row>
    <row r="69" spans="1:14" x14ac:dyDescent="0.25">
      <c r="A69" s="2110"/>
      <c r="B69" s="1304"/>
      <c r="C69" s="1307"/>
      <c r="D69" s="2110"/>
      <c r="E69" s="1356">
        <v>4.2</v>
      </c>
      <c r="F69" s="2187" t="s">
        <v>736</v>
      </c>
      <c r="G69" s="2188"/>
      <c r="H69" s="2217"/>
      <c r="I69" s="1336" t="str">
        <f t="array" ref="I69">IFERROR(INDEX('[1]ESDS-Reference Table'!G1:G493,MATCH(1,('[1]ESDS-Reference Table'!F1:F493=E69)*('[1]ESDS-Reference Table'!H1:H493=F24)*('[1]ESDS-Reference Table'!I1:I493=F26),0)),"Select Region and Activity")</f>
        <v>0 or 2</v>
      </c>
      <c r="J69" s="1319">
        <v>2</v>
      </c>
      <c r="K69" s="2110">
        <f>N(J69)</f>
        <v>2</v>
      </c>
      <c r="L69" s="1305"/>
      <c r="N69" s="384"/>
    </row>
    <row r="70" spans="1:14" x14ac:dyDescent="0.25">
      <c r="A70" s="2110"/>
      <c r="B70" s="1304"/>
      <c r="C70" s="1307"/>
      <c r="D70" s="2110"/>
      <c r="E70" s="1356">
        <v>4.3</v>
      </c>
      <c r="F70" s="2218" t="s">
        <v>737</v>
      </c>
      <c r="G70" s="2219"/>
      <c r="H70" s="2220"/>
      <c r="I70" s="1357" t="str">
        <f t="array" ref="I70">IFERROR(INDEX('[1]ESDS-Reference Table'!G1:G493,MATCH(1,('[1]ESDS-Reference Table'!F1:F493=E70)*('[1]ESDS-Reference Table'!H1:H493=F24)*('[1]ESDS-Reference Table'!I1:I493=F26),0)),"Select Region and Activity")</f>
        <v>0,1,2,4,6,8,10 or 12</v>
      </c>
      <c r="J70" s="1319">
        <v>0</v>
      </c>
      <c r="K70" s="2110">
        <f>N(J70)</f>
        <v>0</v>
      </c>
      <c r="L70" s="1305"/>
      <c r="N70" s="384"/>
    </row>
    <row r="71" spans="1:14" x14ac:dyDescent="0.25">
      <c r="A71" s="2110"/>
      <c r="B71" s="1304"/>
      <c r="C71" s="1307"/>
      <c r="D71" s="2110"/>
      <c r="E71" s="1358">
        <v>4.4000000000000004</v>
      </c>
      <c r="F71" s="1359" t="s">
        <v>738</v>
      </c>
      <c r="G71" s="1360"/>
      <c r="H71" s="1360"/>
      <c r="I71" s="1361" t="str">
        <f t="array" ref="I71">IFERROR(INDEX('[1]ESDS-Reference Table'!G1:G493,MATCH(1,('[1]ESDS-Reference Table'!F1:F493=E71)*('[1]ESDS-Reference Table'!H1:H493=F24)*('[1]ESDS-Reference Table'!I1:I493=F26),0)),"Select Region and Activity")</f>
        <v>0 or 7</v>
      </c>
      <c r="J71" s="1319">
        <v>7</v>
      </c>
      <c r="K71" s="2110"/>
      <c r="L71" s="1305"/>
    </row>
    <row r="72" spans="1:14" x14ac:dyDescent="0.25">
      <c r="A72" s="2110"/>
      <c r="B72" s="1362"/>
      <c r="C72" s="1307"/>
      <c r="D72" s="425"/>
      <c r="E72" s="1325" t="s">
        <v>34</v>
      </c>
      <c r="F72" s="1326"/>
      <c r="G72" s="1327"/>
      <c r="H72" s="1327"/>
      <c r="I72" s="1328" t="s">
        <v>739</v>
      </c>
      <c r="J72" s="1329">
        <f>SUM(J67:J71)</f>
        <v>13</v>
      </c>
      <c r="K72" s="2110"/>
      <c r="L72" s="1305"/>
    </row>
    <row r="73" spans="1:14" ht="7.5" customHeight="1" thickBot="1" x14ac:dyDescent="0.3">
      <c r="A73" s="2110"/>
      <c r="B73" s="1363"/>
      <c r="C73" s="1364"/>
      <c r="D73" s="1364"/>
      <c r="E73" s="1365"/>
      <c r="F73" s="1366"/>
      <c r="G73" s="1365"/>
      <c r="H73" s="1365"/>
      <c r="I73" s="1367"/>
      <c r="J73" s="1366"/>
      <c r="K73" s="1368"/>
      <c r="L73" s="1369"/>
    </row>
    <row r="74" spans="1:14" ht="7.5" customHeight="1" x14ac:dyDescent="0.25">
      <c r="A74" s="2110"/>
      <c r="B74" s="1370"/>
      <c r="C74" s="1371"/>
      <c r="D74" s="1371"/>
      <c r="E74" s="1372"/>
      <c r="F74" s="1302"/>
      <c r="G74" s="1372"/>
      <c r="H74" s="1372"/>
      <c r="I74" s="1373"/>
      <c r="J74" s="1302"/>
      <c r="K74" s="1302"/>
      <c r="L74" s="1303"/>
      <c r="M74" s="2110"/>
    </row>
    <row r="75" spans="1:14" x14ac:dyDescent="0.25">
      <c r="A75" s="2110"/>
      <c r="B75" s="1362"/>
      <c r="C75" s="1307"/>
      <c r="D75" s="425"/>
      <c r="E75" s="1374" t="s">
        <v>740</v>
      </c>
      <c r="F75" s="2110"/>
      <c r="G75" s="1374"/>
      <c r="H75" s="1374"/>
      <c r="I75" s="1331"/>
      <c r="J75" s="2110"/>
      <c r="K75" s="2110"/>
      <c r="L75" s="1305"/>
    </row>
    <row r="76" spans="1:14" x14ac:dyDescent="0.25">
      <c r="A76" s="2110"/>
      <c r="B76" s="1304"/>
      <c r="C76" s="1307"/>
      <c r="D76" s="2110"/>
      <c r="E76" s="1312" t="s">
        <v>689</v>
      </c>
      <c r="F76" s="1313" t="s">
        <v>690</v>
      </c>
      <c r="G76" s="1314"/>
      <c r="H76" s="1314"/>
      <c r="I76" s="1315" t="s">
        <v>691</v>
      </c>
      <c r="J76" s="1316" t="s">
        <v>692</v>
      </c>
      <c r="K76" s="2110"/>
      <c r="L76" s="1305"/>
    </row>
    <row r="77" spans="1:14" x14ac:dyDescent="0.25">
      <c r="A77" s="2110"/>
      <c r="B77" s="1304"/>
      <c r="C77" s="1307"/>
      <c r="D77" s="2110"/>
      <c r="E77" s="1375" t="s">
        <v>741</v>
      </c>
      <c r="F77" s="2184" t="s">
        <v>742</v>
      </c>
      <c r="G77" s="2221"/>
      <c r="H77" s="2222"/>
      <c r="I77" s="384" t="str">
        <f t="array" ref="I77">IFERROR(INDEX('[1]ESDS-Reference Table'!G1:G493,MATCH(1,('[1]ESDS-Reference Table'!F1:F493=E77)*('[1]ESDS-Reference Table'!H1:H493=F24)*('[1]ESDS-Reference Table'!I1:I493=F26),0)),"Select Region and Activity")</f>
        <v>Mandatory</v>
      </c>
      <c r="J77" s="1319" t="s">
        <v>1882</v>
      </c>
      <c r="K77" s="2110">
        <f t="shared" ref="K77:K94" si="2">N(J77)</f>
        <v>0</v>
      </c>
      <c r="L77" s="1305"/>
      <c r="N77" s="384"/>
    </row>
    <row r="78" spans="1:14" x14ac:dyDescent="0.25">
      <c r="A78" s="2110"/>
      <c r="B78" s="1304"/>
      <c r="C78" s="1307"/>
      <c r="D78" s="2110"/>
      <c r="E78" s="1376" t="s">
        <v>743</v>
      </c>
      <c r="F78" s="2187" t="s">
        <v>744</v>
      </c>
      <c r="G78" s="2197"/>
      <c r="H78" s="2198"/>
      <c r="I78" s="1377" t="str">
        <f t="array" ref="I78">IFERROR(INDEX('[1]ESDS-Reference Table'!G1:G493,MATCH(1,('[1]ESDS-Reference Table'!F1:F493=E78)*('[1]ESDS-Reference Table'!H1:H493=F24)*('[1]ESDS-Reference Table'!I1:I493=F26),0)),"Select Region and Activity")</f>
        <v>n/a</v>
      </c>
      <c r="J78" s="1319"/>
      <c r="K78" s="2110">
        <f t="shared" si="2"/>
        <v>0</v>
      </c>
      <c r="L78" s="1337"/>
      <c r="N78" s="384"/>
    </row>
    <row r="79" spans="1:14" ht="15" customHeight="1" x14ac:dyDescent="0.25">
      <c r="B79" s="1304"/>
      <c r="C79" s="1307"/>
      <c r="D79" s="2110"/>
      <c r="E79" s="1376" t="s">
        <v>745</v>
      </c>
      <c r="F79" s="2187" t="s">
        <v>746</v>
      </c>
      <c r="G79" s="2197"/>
      <c r="H79" s="2198"/>
      <c r="I79" s="1377" t="str">
        <f t="array" ref="I79">IFERROR(INDEX('[1]ESDS-Reference Table'!G1:G493,MATCH(1,('[1]ESDS-Reference Table'!F1:F493=E79)*('[1]ESDS-Reference Table'!H1:H493=F24)*('[1]ESDS-Reference Table'!I1:I493=F26),0)),"Select Region and Activity")</f>
        <v>5 to 25 (5 point increments)</v>
      </c>
      <c r="J79" s="1319">
        <v>0</v>
      </c>
      <c r="K79" s="2110">
        <f t="shared" si="2"/>
        <v>0</v>
      </c>
      <c r="L79" s="1305"/>
      <c r="N79" s="384"/>
    </row>
    <row r="80" spans="1:14" ht="15" customHeight="1" x14ac:dyDescent="0.25">
      <c r="B80" s="1304"/>
      <c r="C80" s="1307"/>
      <c r="D80" s="2110"/>
      <c r="E80" s="1376" t="s">
        <v>747</v>
      </c>
      <c r="F80" s="2187" t="s">
        <v>748</v>
      </c>
      <c r="G80" s="2197"/>
      <c r="H80" s="2198"/>
      <c r="I80" s="1377" t="str">
        <f t="array" ref="I80">IFERROR(INDEX('[1]ESDS-Reference Table'!G1:G493,MATCH(1,('[1]ESDS-Reference Table'!F1:F493=E80)*('[1]ESDS-Reference Table'!H1:H493=F24)*('[1]ESDS-Reference Table'!I1:I493=F26),0)),"Select Region and Activity")</f>
        <v>n/a</v>
      </c>
      <c r="J80" s="1319"/>
      <c r="K80" s="2110">
        <f t="shared" si="2"/>
        <v>0</v>
      </c>
      <c r="L80" s="1305"/>
      <c r="N80" s="384"/>
    </row>
    <row r="81" spans="2:15" x14ac:dyDescent="0.25">
      <c r="B81" s="1304"/>
      <c r="C81" s="1307"/>
      <c r="D81" s="2110"/>
      <c r="E81" s="1378">
        <v>5.3</v>
      </c>
      <c r="F81" s="2187" t="s">
        <v>749</v>
      </c>
      <c r="G81" s="2188"/>
      <c r="H81" s="2189"/>
      <c r="I81" s="1377" t="str">
        <f t="array" ref="I81">IFERROR(INDEX('[1]ESDS-Reference Table'!G1:G493,MATCH(1,('[1]ESDS-Reference Table'!F1:F493=E81)*('[1]ESDS-Reference Table'!H1:H493=F24)*('[1]ESDS-Reference Table'!I1:I493=F26),0)),"Select Region and Activity")</f>
        <v>0,1,2,3 or 4</v>
      </c>
      <c r="J81" s="1319">
        <v>0</v>
      </c>
      <c r="K81" s="2110">
        <f t="shared" si="2"/>
        <v>0</v>
      </c>
      <c r="L81" s="1305"/>
    </row>
    <row r="82" spans="2:15" ht="15" customHeight="1" x14ac:dyDescent="0.25">
      <c r="B82" s="1304"/>
      <c r="C82" s="1307"/>
      <c r="D82" s="2110"/>
      <c r="E82" s="1378">
        <v>5.4</v>
      </c>
      <c r="F82" s="2190" t="s">
        <v>750</v>
      </c>
      <c r="G82" s="2188"/>
      <c r="H82" s="2189"/>
      <c r="I82" s="1377" t="str">
        <f t="array" ref="I82">IFERROR(INDEX('[1]ESDS-Reference Table'!G1:G493,MATCH(1,('[1]ESDS-Reference Table'!F1:F493=E82)*('[1]ESDS-Reference Table'!H1:H493=F24)*('[1]ESDS-Reference Table'!I1:I493=F26),0)),"Select Region and Activity")</f>
        <v>Mandatory, if providing appliances</v>
      </c>
      <c r="J82" s="1319" t="s">
        <v>1882</v>
      </c>
      <c r="K82" s="2110">
        <f t="shared" si="2"/>
        <v>0</v>
      </c>
      <c r="L82" s="1305"/>
    </row>
    <row r="83" spans="2:15" x14ac:dyDescent="0.25">
      <c r="B83" s="1304"/>
      <c r="C83" s="1307"/>
      <c r="D83" s="2110"/>
      <c r="E83" s="1378">
        <v>5.5</v>
      </c>
      <c r="F83" s="2190" t="s">
        <v>751</v>
      </c>
      <c r="G83" s="2188"/>
      <c r="H83" s="2189"/>
      <c r="I83" s="1377" t="str">
        <f t="array" ref="I83">IFERROR(INDEX('[1]ESDS-Reference Table'!G1:G493,MATCH(1,('[1]ESDS-Reference Table'!F1:F493=E83)*('[1]ESDS-Reference Table'!H1:H493=F24)*('[1]ESDS-Reference Table'!I1:I493=F26),0)),"Select Region and Activity")</f>
        <v>0 or 3</v>
      </c>
      <c r="J83" s="1319">
        <v>3</v>
      </c>
      <c r="K83" s="2110">
        <f t="shared" si="2"/>
        <v>3</v>
      </c>
      <c r="L83" s="1305"/>
    </row>
    <row r="84" spans="2:15" x14ac:dyDescent="0.25">
      <c r="B84" s="1304"/>
      <c r="C84" s="1307"/>
      <c r="D84" s="2110"/>
      <c r="E84" s="1378">
        <v>5.6</v>
      </c>
      <c r="F84" s="2190" t="s">
        <v>752</v>
      </c>
      <c r="G84" s="2188"/>
      <c r="H84" s="2189"/>
      <c r="I84" s="1377" t="str">
        <f t="array" ref="I84">IFERROR(INDEX('[1]ESDS-Reference Table'!G1:G493,MATCH(1,('[1]ESDS-Reference Table'!F1:F493=E84)*('[1]ESDS-Reference Table'!H1:H493=F24)*('[1]ESDS-Reference Table'!I1:I493=F26),0)),"Select Region and Activity")</f>
        <v>Mandatory</v>
      </c>
      <c r="J84" s="1319" t="s">
        <v>1882</v>
      </c>
      <c r="K84" s="2110">
        <f t="shared" si="2"/>
        <v>0</v>
      </c>
      <c r="L84" s="1305"/>
    </row>
    <row r="85" spans="2:15" x14ac:dyDescent="0.25">
      <c r="B85" s="1304"/>
      <c r="C85" s="1307"/>
      <c r="D85" s="2110"/>
      <c r="E85" s="1376" t="s">
        <v>753</v>
      </c>
      <c r="F85" s="2187" t="s">
        <v>754</v>
      </c>
      <c r="G85" s="2197"/>
      <c r="H85" s="2198"/>
      <c r="I85" s="1377" t="str">
        <f t="array" ref="I85">IFERROR(INDEX('[1]ESDS-Reference Table'!G1:G493,MATCH(1,('[1]ESDS-Reference Table'!F1:F493=E85)*('[1]ESDS-Reference Table'!H1:H493=F24)*('[1]ESDS-Reference Table'!I1:I493=F26),0)),"Select Region and Activity")</f>
        <v>Mandatory</v>
      </c>
      <c r="J85" s="1319" t="s">
        <v>1882</v>
      </c>
      <c r="K85" s="2110">
        <f t="shared" si="2"/>
        <v>0</v>
      </c>
      <c r="L85" s="1305"/>
      <c r="N85" s="384"/>
    </row>
    <row r="86" spans="2:15" x14ac:dyDescent="0.25">
      <c r="B86" s="1304"/>
      <c r="C86" s="1307"/>
      <c r="D86" s="2110"/>
      <c r="E86" s="1376" t="s">
        <v>755</v>
      </c>
      <c r="F86" s="2199" t="s">
        <v>756</v>
      </c>
      <c r="G86" s="2200"/>
      <c r="H86" s="2201"/>
      <c r="I86" s="1377" t="str">
        <f t="array" ref="I86">IFERROR(INDEX('[1]ESDS-Reference Table'!G1:G493,MATCH(1,('[1]ESDS-Reference Table'!F1:F493=E86)*('[1]ESDS-Reference Table'!H1:H493=F24)*('[1]ESDS-Reference Table'!I1:I493=F26),0)),"Select Region and Activity")</f>
        <v>n/a</v>
      </c>
      <c r="J86" s="1319"/>
      <c r="K86" s="2110">
        <f t="shared" si="2"/>
        <v>0</v>
      </c>
      <c r="L86" s="1305"/>
      <c r="N86" s="384"/>
    </row>
    <row r="87" spans="2:15" x14ac:dyDescent="0.25">
      <c r="B87" s="1304"/>
      <c r="C87" s="1307"/>
      <c r="D87" s="2110"/>
      <c r="E87" s="1376" t="s">
        <v>757</v>
      </c>
      <c r="F87" s="2187" t="s">
        <v>758</v>
      </c>
      <c r="G87" s="2188"/>
      <c r="H87" s="2189"/>
      <c r="I87" s="1377" t="str">
        <f t="array" ref="I87">IFERROR(INDEX('[1]ESDS-Reference Table'!G1:G493,MATCH(1,('[1]ESDS-Reference Table'!F1:F493=E87)*('[1]ESDS-Reference Table'!H1:H493=F24)*('[1]ESDS-Reference Table'!I1:I493=F26),0)),"Select Region and Activity")</f>
        <v>n/a</v>
      </c>
      <c r="J87" s="1319"/>
      <c r="K87" s="2110">
        <f t="shared" si="2"/>
        <v>0</v>
      </c>
      <c r="L87" s="1305"/>
      <c r="N87" s="384"/>
    </row>
    <row r="88" spans="2:15" x14ac:dyDescent="0.25">
      <c r="B88" s="1304"/>
      <c r="C88" s="1307"/>
      <c r="D88" s="2110"/>
      <c r="E88" s="1376" t="s">
        <v>759</v>
      </c>
      <c r="F88" s="2190" t="s">
        <v>760</v>
      </c>
      <c r="G88" s="2188"/>
      <c r="H88" s="2189"/>
      <c r="I88" s="1377" t="str">
        <f t="array" ref="I88">IFERROR(INDEX('[1]ESDS-Reference Table'!G1:G493,MATCH(1,('[1]ESDS-Reference Table'!F1:F493=E88)*('[1]ESDS-Reference Table'!H1:H493=F24)*('[1]ESDS-Reference Table'!I1:I493=F26),0)),"Select Region and Activity")</f>
        <v>0 or 1</v>
      </c>
      <c r="J88" s="1319">
        <v>1</v>
      </c>
      <c r="K88" s="2110">
        <f t="shared" si="2"/>
        <v>1</v>
      </c>
      <c r="L88" s="1305"/>
    </row>
    <row r="89" spans="2:15" x14ac:dyDescent="0.25">
      <c r="B89" s="1304"/>
      <c r="C89" s="1307"/>
      <c r="D89" s="2110"/>
      <c r="E89" s="1376" t="s">
        <v>761</v>
      </c>
      <c r="F89" s="2187" t="s">
        <v>762</v>
      </c>
      <c r="G89" s="2188"/>
      <c r="H89" s="2189"/>
      <c r="I89" s="1377" t="str">
        <f t="array" ref="I89">IFERROR(INDEX('[1]ESDS-Reference Table'!G1:G493,MATCH(1,('[1]ESDS-Reference Table'!F1:F493=E89)*('[1]ESDS-Reference Table'!H1:H493=F24)*('[1]ESDS-Reference Table'!I1:I493=F26),0)),"Select Region and Activity")</f>
        <v>n/a</v>
      </c>
      <c r="J89" s="1319"/>
      <c r="K89" s="2110">
        <f t="shared" si="2"/>
        <v>0</v>
      </c>
      <c r="L89" s="1305"/>
      <c r="N89" s="384"/>
    </row>
    <row r="90" spans="2:15" x14ac:dyDescent="0.25">
      <c r="B90" s="1304"/>
      <c r="C90" s="1307"/>
      <c r="D90" s="2110"/>
      <c r="E90" s="1378">
        <v>5.9</v>
      </c>
      <c r="F90" s="2190" t="s">
        <v>763</v>
      </c>
      <c r="G90" s="2188"/>
      <c r="H90" s="2189"/>
      <c r="I90" s="1377" t="str">
        <f t="array" ref="I90">IFERROR(INDEX('[1]ESDS-Reference Table'!G1:G493,MATCH(1,('[1]ESDS-Reference Table'!F1:F493=E90)*('[1]ESDS-Reference Table'!H1:H493=F24)*('[1]ESDS-Reference Table'!I1:I493=F26),0)),"Select Region and Activity")</f>
        <v>Mandatory</v>
      </c>
      <c r="J90" s="1319" t="s">
        <v>1882</v>
      </c>
      <c r="K90" s="2110">
        <f t="shared" si="2"/>
        <v>0</v>
      </c>
      <c r="L90" s="1305"/>
    </row>
    <row r="91" spans="2:15" x14ac:dyDescent="0.25">
      <c r="B91" s="1304"/>
      <c r="C91" s="1307"/>
      <c r="D91" s="2110"/>
      <c r="E91" s="1379" t="s">
        <v>764</v>
      </c>
      <c r="F91" s="2187" t="s">
        <v>763</v>
      </c>
      <c r="G91" s="2188"/>
      <c r="H91" s="2189"/>
      <c r="I91" s="1377" t="str">
        <f t="array" ref="I91">IFERROR(INDEX('[1]ESDS-Reference Table'!G1:G493,MATCH(1,('[1]ESDS-Reference Table'!F1:F493=E91)*('[1]ESDS-Reference Table'!H1:H493=F24)*('[1]ESDS-Reference Table'!I1:I493=F26),0)),"Select Region and Activity")</f>
        <v>n/a</v>
      </c>
      <c r="J91" s="1319"/>
      <c r="K91" s="2110">
        <f t="shared" si="2"/>
        <v>0</v>
      </c>
      <c r="L91" s="1305"/>
      <c r="N91" s="384"/>
    </row>
    <row r="92" spans="2:15" x14ac:dyDescent="0.25">
      <c r="B92" s="1304"/>
      <c r="C92" s="1307"/>
      <c r="D92" s="2110"/>
      <c r="E92" s="1380">
        <v>5.1100000000000003</v>
      </c>
      <c r="F92" s="2202" t="s">
        <v>765</v>
      </c>
      <c r="G92" s="2203"/>
      <c r="H92" s="2204"/>
      <c r="I92" s="1377" t="str">
        <f t="array" ref="I92">IFERROR(INDEX('[1]ESDS-Reference Table'!G1:G493,MATCH(1,('[1]ESDS-Reference Table'!F1:F493=E92)*('[1]ESDS-Reference Table'!H1:H493=F24)*('[1]ESDS-Reference Table'!I1:I493=F26),0)),"Select Region and Activity")</f>
        <v>n/a</v>
      </c>
      <c r="J92" s="1319"/>
      <c r="K92" s="2110">
        <f t="shared" si="2"/>
        <v>0</v>
      </c>
      <c r="L92" s="1305"/>
      <c r="N92" s="384"/>
    </row>
    <row r="93" spans="2:15" x14ac:dyDescent="0.25">
      <c r="B93" s="1304"/>
      <c r="C93" s="1307"/>
      <c r="D93" s="2110"/>
      <c r="E93" s="1380">
        <v>5.12</v>
      </c>
      <c r="F93" s="2205" t="s">
        <v>766</v>
      </c>
      <c r="G93" s="2206"/>
      <c r="H93" s="2207"/>
      <c r="I93" s="1377" t="str">
        <f t="array" ref="I93">IFERROR(INDEX('[1]ESDS-Reference Table'!G1:G493,MATCH(1,('[1]ESDS-Reference Table'!F1:F493=E93)*('[1]ESDS-Reference Table'!H1:H493=F24)*('[1]ESDS-Reference Table'!I1:I493=F26),0)),"Select Region and Activity")</f>
        <v>n/a</v>
      </c>
      <c r="J93" s="1319"/>
      <c r="K93" s="2110">
        <f t="shared" si="2"/>
        <v>0</v>
      </c>
      <c r="L93" s="1305"/>
      <c r="N93" s="384"/>
    </row>
    <row r="94" spans="2:15" x14ac:dyDescent="0.25">
      <c r="B94" s="1304"/>
      <c r="C94" s="1307"/>
      <c r="D94" s="2110"/>
      <c r="E94" s="1381">
        <v>5.13</v>
      </c>
      <c r="F94" s="2208" t="s">
        <v>767</v>
      </c>
      <c r="G94" s="2209"/>
      <c r="H94" s="2210"/>
      <c r="I94" s="1377" t="str">
        <f t="array" ref="I94">IFERROR(INDEX('[1]ESDS-Reference Table'!G1:G493,MATCH(1,('[1]ESDS-Reference Table'!F1:F493=E94)*('[1]ESDS-Reference Table'!H1:H493=F24)*('[1]ESDS-Reference Table'!I1:I493=F26),0)),"Select Region and Activity")</f>
        <v>n/a</v>
      </c>
      <c r="J94" s="1319"/>
      <c r="K94" s="2110">
        <f t="shared" si="2"/>
        <v>0</v>
      </c>
      <c r="L94" s="1305"/>
      <c r="N94" s="384"/>
    </row>
    <row r="95" spans="2:15" x14ac:dyDescent="0.25">
      <c r="B95" s="1304"/>
      <c r="C95" s="1307"/>
      <c r="D95" s="2110"/>
      <c r="E95" s="1325" t="s">
        <v>34</v>
      </c>
      <c r="F95" s="1326"/>
      <c r="G95" s="1327"/>
      <c r="H95" s="1327"/>
      <c r="I95" s="1328" t="s">
        <v>768</v>
      </c>
      <c r="J95" s="1329">
        <f>SUM(J77:J94)</f>
        <v>4</v>
      </c>
      <c r="K95" s="2110"/>
      <c r="L95" s="1305"/>
    </row>
    <row r="96" spans="2:15" s="2110" customFormat="1" ht="7.5" customHeight="1" x14ac:dyDescent="0.25">
      <c r="B96" s="1304"/>
      <c r="C96" s="1307"/>
      <c r="E96" s="1307"/>
      <c r="G96" s="1307"/>
      <c r="H96" s="1307"/>
      <c r="I96" s="1331"/>
      <c r="L96" s="1305"/>
      <c r="O96" s="1300"/>
    </row>
    <row r="97" spans="2:16" s="2110" customFormat="1" x14ac:dyDescent="0.25">
      <c r="B97" s="1304"/>
      <c r="C97" s="1307"/>
      <c r="E97" s="1374" t="s">
        <v>769</v>
      </c>
      <c r="G97" s="1374"/>
      <c r="H97" s="1374"/>
      <c r="I97" s="1331"/>
      <c r="L97" s="1305"/>
      <c r="O97" s="1300"/>
    </row>
    <row r="98" spans="2:16" x14ac:dyDescent="0.25">
      <c r="B98" s="1304"/>
      <c r="C98" s="1307"/>
      <c r="D98" s="2110"/>
      <c r="E98" s="1312" t="s">
        <v>689</v>
      </c>
      <c r="F98" s="1313" t="s">
        <v>690</v>
      </c>
      <c r="G98" s="1314"/>
      <c r="H98" s="1314"/>
      <c r="I98" s="1315" t="s">
        <v>691</v>
      </c>
      <c r="J98" s="1316" t="s">
        <v>692</v>
      </c>
      <c r="K98" s="2110"/>
      <c r="L98" s="1305"/>
      <c r="O98" s="384"/>
    </row>
    <row r="99" spans="2:16" x14ac:dyDescent="0.25">
      <c r="B99" s="1304"/>
      <c r="C99" s="1307"/>
      <c r="D99" s="2110"/>
      <c r="E99" s="1382">
        <v>6.1</v>
      </c>
      <c r="F99" s="2211" t="s">
        <v>770</v>
      </c>
      <c r="G99" s="2185"/>
      <c r="H99" s="2186"/>
      <c r="I99" s="384" t="str">
        <f t="array" ref="I99">IFERROR(INDEX('[1]ESDS-Reference Table'!G1:G493,MATCH(1,('[1]ESDS-Reference Table'!F1:F493=E99)*('[1]ESDS-Reference Table'!H1:H493=F24)*('[1]ESDS-Reference Table'!I1:I493=F26),0)),"Select Region and Activity")</f>
        <v>Mandatory</v>
      </c>
      <c r="J99" s="1319" t="s">
        <v>1882</v>
      </c>
      <c r="K99" s="2110">
        <f t="shared" ref="K99:K103" si="3">N(J99)</f>
        <v>0</v>
      </c>
      <c r="L99" s="1305"/>
    </row>
    <row r="100" spans="2:16" x14ac:dyDescent="0.25">
      <c r="B100" s="1304"/>
      <c r="C100" s="1307"/>
      <c r="D100" s="2110"/>
      <c r="E100" s="1378">
        <v>6.2</v>
      </c>
      <c r="F100" s="2190" t="s">
        <v>771</v>
      </c>
      <c r="G100" s="2188"/>
      <c r="H100" s="2189"/>
      <c r="I100" s="1377" t="str">
        <f t="array" ref="I100">IFERROR(INDEX('[1]ESDS-Reference Table'!G1:G493,MATCH(1,('[1]ESDS-Reference Table'!F1:F493=E100)*('[1]ESDS-Reference Table'!H1:H493=F24)*('[1]ESDS-Reference Table'!I1:I493=F26),0)),"Select Region and Activity")</f>
        <v>Mandatory</v>
      </c>
      <c r="J100" s="1319" t="s">
        <v>1882</v>
      </c>
      <c r="K100" s="2110">
        <f t="shared" si="3"/>
        <v>0</v>
      </c>
      <c r="L100" s="1305"/>
    </row>
    <row r="101" spans="2:16" x14ac:dyDescent="0.25">
      <c r="B101" s="1304"/>
      <c r="C101" s="1307"/>
      <c r="D101" s="2110"/>
      <c r="E101" s="1378">
        <v>6.3</v>
      </c>
      <c r="F101" s="2190" t="s">
        <v>772</v>
      </c>
      <c r="G101" s="2188"/>
      <c r="H101" s="2189"/>
      <c r="I101" s="1377" t="str">
        <f t="array" ref="I101">IFERROR(INDEX('[1]ESDS-Reference Table'!G1:G493,MATCH(1,('[1]ESDS-Reference Table'!F1:F493=E101)*('[1]ESDS-Reference Table'!H1:H493=F24)*('[1]ESDS-Reference Table'!I1:I493=F26),0)),"Select Region and Activity")</f>
        <v>up to 5</v>
      </c>
      <c r="J101" s="1319">
        <v>5</v>
      </c>
      <c r="K101" s="2110">
        <f t="shared" si="3"/>
        <v>5</v>
      </c>
      <c r="L101" s="1305"/>
    </row>
    <row r="102" spans="2:16" x14ac:dyDescent="0.25">
      <c r="B102" s="1304"/>
      <c r="C102" s="1307"/>
      <c r="D102" s="2110"/>
      <c r="E102" s="1378">
        <v>6.4</v>
      </c>
      <c r="F102" s="2190" t="s">
        <v>773</v>
      </c>
      <c r="G102" s="2188"/>
      <c r="H102" s="2189"/>
      <c r="I102" s="1377" t="str">
        <f t="array" ref="I102">IFERROR(INDEX('[1]ESDS-Reference Table'!G1:G493,MATCH(1,('[1]ESDS-Reference Table'!F1:F493=E102)*('[1]ESDS-Reference Table'!H1:H493=F24)*('[1]ESDS-Reference Table'!I1:I493=F26),0)),"Select Region and Activity")</f>
        <v>up to 10 (0.5 increments)</v>
      </c>
      <c r="J102" s="1319">
        <v>2</v>
      </c>
      <c r="K102" s="2110">
        <f t="shared" si="3"/>
        <v>2</v>
      </c>
      <c r="L102" s="1305"/>
    </row>
    <row r="103" spans="2:16" x14ac:dyDescent="0.25">
      <c r="B103" s="1304"/>
      <c r="C103" s="1307"/>
      <c r="D103" s="2110"/>
      <c r="E103" s="1376" t="s">
        <v>774</v>
      </c>
      <c r="F103" s="2187" t="s">
        <v>775</v>
      </c>
      <c r="G103" s="2188"/>
      <c r="H103" s="2189"/>
      <c r="I103" s="1377" t="str">
        <f t="array" ref="I103">IFERROR(INDEX('[1]ESDS-Reference Table'!G1:G493,MATCH(1,('[1]ESDS-Reference Table'!F1:F493=E103)*('[1]ESDS-Reference Table'!H1:H493=F24)*('[1]ESDS-Reference Table'!I1:I493=F26),0)),"Select Region and Activity")</f>
        <v>0 or 2</v>
      </c>
      <c r="J103" s="1319">
        <v>0</v>
      </c>
      <c r="K103" s="2110">
        <f t="shared" si="3"/>
        <v>0</v>
      </c>
      <c r="L103" s="1305"/>
    </row>
    <row r="104" spans="2:16" x14ac:dyDescent="0.25">
      <c r="B104" s="1304"/>
      <c r="C104" s="1307"/>
      <c r="D104" s="2110"/>
      <c r="E104" s="1376" t="s">
        <v>776</v>
      </c>
      <c r="F104" s="2115" t="s">
        <v>777</v>
      </c>
      <c r="G104" s="2111"/>
      <c r="H104" s="2114"/>
      <c r="I104" s="1377" t="str">
        <f t="array" ref="I104">IFERROR(INDEX('[1]ESDS-Reference Table'!G1:G493,MATCH(1,('[1]ESDS-Reference Table'!F1:F493=E104)*('[1]ESDS-Reference Table'!H1:H493=F24)*('[1]ESDS-Reference Table'!I1:I493=F26),0)),"Select Region and Activity")</f>
        <v>0 or 2, if paving</v>
      </c>
      <c r="J104" s="1319">
        <v>0</v>
      </c>
      <c r="K104" s="2110"/>
      <c r="L104" s="1305"/>
    </row>
    <row r="105" spans="2:16" x14ac:dyDescent="0.25">
      <c r="B105" s="1304"/>
      <c r="C105" s="1307"/>
      <c r="D105" s="2110"/>
      <c r="E105" s="1380">
        <v>6.6</v>
      </c>
      <c r="F105" s="2115" t="s">
        <v>778</v>
      </c>
      <c r="G105" s="2111"/>
      <c r="H105" s="2114"/>
      <c r="I105" s="1377" t="str">
        <f t="array" ref="I105">IFERROR(INDEX('[1]ESDS-Reference Table'!G1:G493,MATCH(1,('[1]ESDS-Reference Table'!F1:F493=E105)*('[1]ESDS-Reference Table'!H1:H493=F24)*('[1]ESDS-Reference Table'!I1:I493=F26),0)),"Select Region and Activity")</f>
        <v>up to 3</v>
      </c>
      <c r="J105" s="1319">
        <v>0</v>
      </c>
      <c r="K105" s="2110"/>
      <c r="L105" s="1305"/>
    </row>
    <row r="106" spans="2:16" x14ac:dyDescent="0.25">
      <c r="B106" s="1304"/>
      <c r="C106" s="1307"/>
      <c r="D106" s="2110"/>
      <c r="E106" s="1325" t="s">
        <v>34</v>
      </c>
      <c r="F106" s="1326"/>
      <c r="G106" s="1327"/>
      <c r="H106" s="1327"/>
      <c r="I106" s="1328" t="s">
        <v>779</v>
      </c>
      <c r="J106" s="1329">
        <f>SUM(J99:J105)</f>
        <v>7</v>
      </c>
      <c r="K106" s="2110"/>
      <c r="L106" s="1305"/>
      <c r="P106" s="2110"/>
    </row>
    <row r="107" spans="2:16" s="2110" customFormat="1" ht="7.5" customHeight="1" x14ac:dyDescent="0.25">
      <c r="B107" s="1304"/>
      <c r="C107" s="1307"/>
      <c r="E107" s="1330"/>
      <c r="F107" s="1332"/>
      <c r="G107" s="1330"/>
      <c r="H107" s="1330"/>
      <c r="I107" s="1331"/>
      <c r="J107" s="1332"/>
      <c r="L107" s="1305"/>
      <c r="O107" s="1300"/>
    </row>
    <row r="108" spans="2:16" s="2110" customFormat="1" ht="7.5" customHeight="1" x14ac:dyDescent="0.25">
      <c r="B108" s="1304"/>
      <c r="C108" s="1307"/>
      <c r="E108" s="1307"/>
      <c r="G108" s="1307"/>
      <c r="H108" s="1307"/>
      <c r="I108" s="1331"/>
      <c r="L108" s="1305"/>
      <c r="O108" s="1300"/>
    </row>
    <row r="109" spans="2:16" s="2110" customFormat="1" x14ac:dyDescent="0.25">
      <c r="B109" s="1304"/>
      <c r="C109" s="1307"/>
      <c r="E109" s="1374" t="s">
        <v>780</v>
      </c>
      <c r="G109" s="1374"/>
      <c r="H109" s="1374"/>
      <c r="I109" s="1331"/>
      <c r="L109" s="1305"/>
      <c r="O109" s="1300"/>
    </row>
    <row r="110" spans="2:16" x14ac:dyDescent="0.25">
      <c r="B110" s="1304"/>
      <c r="C110" s="1307"/>
      <c r="D110" s="2110"/>
      <c r="E110" s="1312" t="s">
        <v>689</v>
      </c>
      <c r="F110" s="1313" t="s">
        <v>690</v>
      </c>
      <c r="G110" s="1314"/>
      <c r="H110" s="1314"/>
      <c r="I110" s="1315" t="s">
        <v>691</v>
      </c>
      <c r="J110" s="1316" t="s">
        <v>692</v>
      </c>
      <c r="K110" s="2110"/>
      <c r="L110" s="1305"/>
    </row>
    <row r="111" spans="2:16" x14ac:dyDescent="0.25">
      <c r="B111" s="1304"/>
      <c r="C111" s="1307"/>
      <c r="D111" s="2110"/>
      <c r="E111" s="1382">
        <v>7.1</v>
      </c>
      <c r="F111" s="2194" t="s">
        <v>781</v>
      </c>
      <c r="G111" s="2195"/>
      <c r="H111" s="2196"/>
      <c r="I111" s="1383" t="str">
        <f t="array" ref="I111">IFERROR(INDEX('[1]ESDS-Reference Table'!$G$1:$G$493,MATCH(1,('[1]ESDS-Reference Table'!$F$1:$F$493=E111)*('[1]ESDS-Reference Table'!$H$1:$H$493=$F$24)*('[1]ESDS-Reference Table'!$I$1:$I$493=$F$26),0)),"Select Region and Activity")</f>
        <v>Mandatory</v>
      </c>
      <c r="J111" s="1319" t="s">
        <v>1882</v>
      </c>
      <c r="K111" s="2110">
        <f t="shared" ref="K111:K131" si="4">N(J111)</f>
        <v>0</v>
      </c>
      <c r="L111" s="1305"/>
    </row>
    <row r="112" spans="2:16" ht="15" customHeight="1" x14ac:dyDescent="0.25">
      <c r="B112" s="1304"/>
      <c r="C112" s="1307"/>
      <c r="D112" s="2110"/>
      <c r="E112" s="1376" t="s">
        <v>782</v>
      </c>
      <c r="F112" s="2190" t="s">
        <v>783</v>
      </c>
      <c r="G112" s="2188"/>
      <c r="H112" s="2189"/>
      <c r="I112" s="1384" t="str">
        <f t="array" ref="I112">IFERROR(INDEX('[1]ESDS-Reference Table'!$G$1:$G$493,MATCH(1,('[1]ESDS-Reference Table'!$F$1:$F$493=E112)*('[1]ESDS-Reference Table'!$H$1:$H$493=$F$24)*('[1]ESDS-Reference Table'!$I$1:$I$493=$F$26),0)),"Select Region and Activity")</f>
        <v>Mandatory, if providing flooring materials</v>
      </c>
      <c r="J112" s="1319" t="s">
        <v>1882</v>
      </c>
      <c r="K112" s="2110">
        <f t="shared" si="4"/>
        <v>0</v>
      </c>
      <c r="L112" s="1305"/>
    </row>
    <row r="113" spans="2:16" x14ac:dyDescent="0.25">
      <c r="B113" s="1304"/>
      <c r="C113" s="1307"/>
      <c r="D113" s="2110"/>
      <c r="E113" s="1376" t="s">
        <v>784</v>
      </c>
      <c r="F113" s="2190" t="s">
        <v>783</v>
      </c>
      <c r="G113" s="2188"/>
      <c r="H113" s="2189"/>
      <c r="I113" s="1384" t="str">
        <f t="array" ref="I113">IFERROR(INDEX('[1]ESDS-Reference Table'!$G$1:$G$493,MATCH(1,('[1]ESDS-Reference Table'!$F$1:$F$493=E113)*('[1]ESDS-Reference Table'!$H$1:$H$493=$F$24)*('[1]ESDS-Reference Table'!$I$1:$I$493=$F$26),0)),"Select Region and Activity")</f>
        <v>0 or 6</v>
      </c>
      <c r="J113" s="1319">
        <v>0</v>
      </c>
      <c r="K113" s="2110">
        <f t="shared" si="4"/>
        <v>0</v>
      </c>
      <c r="L113" s="1305"/>
    </row>
    <row r="114" spans="2:16" x14ac:dyDescent="0.25">
      <c r="B114" s="1304"/>
      <c r="C114" s="1307"/>
      <c r="D114" s="2110"/>
      <c r="E114" s="1376" t="s">
        <v>785</v>
      </c>
      <c r="F114" s="2187" t="s">
        <v>786</v>
      </c>
      <c r="G114" s="2197"/>
      <c r="H114" s="2198"/>
      <c r="I114" s="1384" t="str">
        <f t="array" ref="I114">IFERROR(INDEX('[1]ESDS-Reference Table'!$G$1:$G$493,MATCH(1,('[1]ESDS-Reference Table'!$F$1:$F$493=E114)*('[1]ESDS-Reference Table'!$H$1:$H$493=$F$24)*('[1]ESDS-Reference Table'!$I$1:$I$493=$F$26),0)),"Select Region and Activity")</f>
        <v>Mandatory</v>
      </c>
      <c r="J114" s="1319" t="s">
        <v>1882</v>
      </c>
      <c r="K114" s="2110">
        <f t="shared" si="4"/>
        <v>0</v>
      </c>
      <c r="L114" s="1305"/>
      <c r="N114" s="384"/>
      <c r="P114" s="2118"/>
    </row>
    <row r="115" spans="2:16" x14ac:dyDescent="0.25">
      <c r="B115" s="1304"/>
      <c r="C115" s="1307"/>
      <c r="D115" s="2110"/>
      <c r="E115" s="1376" t="s">
        <v>787</v>
      </c>
      <c r="F115" s="2199" t="s">
        <v>786</v>
      </c>
      <c r="G115" s="2200"/>
      <c r="H115" s="2201"/>
      <c r="I115" s="1384" t="str">
        <f t="array" ref="I115">IFERROR(INDEX('[1]ESDS-Reference Table'!$G$1:$G$493,MATCH(1,('[1]ESDS-Reference Table'!$F$1:$F$493=E115)*('[1]ESDS-Reference Table'!$H$1:$H$493=$F$24)*('[1]ESDS-Reference Table'!$I$1:$I$493=$F$26),0)),"Select Region and Activity")</f>
        <v>n/a</v>
      </c>
      <c r="J115" s="1319"/>
      <c r="K115" s="2110">
        <f t="shared" si="4"/>
        <v>0</v>
      </c>
      <c r="L115" s="1305"/>
      <c r="N115" s="384"/>
      <c r="P115" s="2118"/>
    </row>
    <row r="116" spans="2:16" x14ac:dyDescent="0.25">
      <c r="B116" s="1304"/>
      <c r="C116" s="1307"/>
      <c r="D116" s="2110"/>
      <c r="E116" s="1376" t="s">
        <v>788</v>
      </c>
      <c r="F116" s="2187" t="s">
        <v>789</v>
      </c>
      <c r="G116" s="2197"/>
      <c r="H116" s="2198"/>
      <c r="I116" s="1384" t="str">
        <f t="array" ref="I116">IFERROR(INDEX('[1]ESDS-Reference Table'!$G$1:$G$493,MATCH(1,('[1]ESDS-Reference Table'!$F$1:$F$493=E116)*('[1]ESDS-Reference Table'!$H$1:$H$493=$F$24)*('[1]ESDS-Reference Table'!$I$1:$I$493=$F$26),0)),"Select Region and Activity")</f>
        <v>Mandatory</v>
      </c>
      <c r="J116" s="1319" t="s">
        <v>1882</v>
      </c>
      <c r="K116" s="2110">
        <f t="shared" si="4"/>
        <v>0</v>
      </c>
      <c r="L116" s="1305"/>
      <c r="N116" s="384"/>
      <c r="P116" s="2118"/>
    </row>
    <row r="117" spans="2:16" x14ac:dyDescent="0.25">
      <c r="B117" s="1304"/>
      <c r="C117" s="1307"/>
      <c r="D117" s="2110"/>
      <c r="E117" s="1376" t="s">
        <v>790</v>
      </c>
      <c r="F117" s="2187" t="s">
        <v>789</v>
      </c>
      <c r="G117" s="2197"/>
      <c r="H117" s="2198"/>
      <c r="I117" s="1384" t="str">
        <f t="array" ref="I117">IFERROR(INDEX('[1]ESDS-Reference Table'!$G$1:$G$493,MATCH(1,('[1]ESDS-Reference Table'!$F$1:$F$493=E117)*('[1]ESDS-Reference Table'!$H$1:$H$493=$F$24)*('[1]ESDS-Reference Table'!$I$1:$I$493=$F$26),0)),"Select Region and Activity")</f>
        <v>n/a</v>
      </c>
      <c r="J117" s="1319"/>
      <c r="K117" s="2110">
        <f t="shared" si="4"/>
        <v>0</v>
      </c>
      <c r="L117" s="1305"/>
      <c r="N117" s="384"/>
      <c r="P117" s="2118"/>
    </row>
    <row r="118" spans="2:16" x14ac:dyDescent="0.25">
      <c r="B118" s="1304"/>
      <c r="C118" s="1307"/>
      <c r="D118" s="2110"/>
      <c r="E118" s="1380">
        <v>7.5</v>
      </c>
      <c r="F118" s="2190" t="s">
        <v>791</v>
      </c>
      <c r="G118" s="2188"/>
      <c r="H118" s="2189"/>
      <c r="I118" s="1384" t="str">
        <f t="array" ref="I118">IFERROR(INDEX('[1]ESDS-Reference Table'!$G$1:$G$493,MATCH(1,('[1]ESDS-Reference Table'!$F$1:$F$493=E118)*('[1]ESDS-Reference Table'!$H$1:$H$493=$F$24)*('[1]ESDS-Reference Table'!$I$1:$I$493=$F$26),0)),"Select Region and Activity")</f>
        <v>Mandatory</v>
      </c>
      <c r="J118" s="1319" t="s">
        <v>1882</v>
      </c>
      <c r="K118" s="2110">
        <f t="shared" si="4"/>
        <v>0</v>
      </c>
      <c r="L118" s="1305"/>
    </row>
    <row r="119" spans="2:16" x14ac:dyDescent="0.25">
      <c r="B119" s="1304"/>
      <c r="C119" s="1307"/>
      <c r="D119" s="2110"/>
      <c r="E119" s="1380">
        <v>7.6</v>
      </c>
      <c r="F119" s="2190" t="s">
        <v>792</v>
      </c>
      <c r="G119" s="2188"/>
      <c r="H119" s="2189"/>
      <c r="I119" s="1384" t="str">
        <f t="array" ref="I119">IFERROR(INDEX('[1]ESDS-Reference Table'!$G$1:$G$493,MATCH(1,('[1]ESDS-Reference Table'!$F$1:$F$493=E119)*('[1]ESDS-Reference Table'!$H$1:$H$493=$F$24)*('[1]ESDS-Reference Table'!$I$1:$I$493=$F$26),0)),"Select Region and Activity")</f>
        <v>Mandatory</v>
      </c>
      <c r="J119" s="1319" t="s">
        <v>1882</v>
      </c>
      <c r="K119" s="2110">
        <f t="shared" si="4"/>
        <v>0</v>
      </c>
      <c r="L119" s="1305"/>
    </row>
    <row r="120" spans="2:16" x14ac:dyDescent="0.25">
      <c r="B120" s="1304"/>
      <c r="C120" s="1307"/>
      <c r="D120" s="2110"/>
      <c r="E120" s="1380">
        <v>7.7</v>
      </c>
      <c r="F120" s="2190" t="s">
        <v>793</v>
      </c>
      <c r="G120" s="2188"/>
      <c r="H120" s="2189"/>
      <c r="I120" s="1384" t="str">
        <f t="array" ref="I120">IFERROR(INDEX('[1]ESDS-Reference Table'!$G$1:$G$493,MATCH(1,('[1]ESDS-Reference Table'!$F$1:$F$493=E120)*('[1]ESDS-Reference Table'!$H$1:$H$493=$F$24)*('[1]ESDS-Reference Table'!$I$1:$I$493=$F$26),0)),"Select Region and Activity")</f>
        <v>Mandatory</v>
      </c>
      <c r="J120" s="1319" t="s">
        <v>1882</v>
      </c>
      <c r="K120" s="2110">
        <f t="shared" si="4"/>
        <v>0</v>
      </c>
      <c r="L120" s="1305"/>
    </row>
    <row r="121" spans="2:16" x14ac:dyDescent="0.25">
      <c r="B121" s="1304"/>
      <c r="C121" s="1307"/>
      <c r="D121" s="2110"/>
      <c r="E121" s="1380">
        <v>7.8</v>
      </c>
      <c r="F121" s="2190" t="s">
        <v>794</v>
      </c>
      <c r="G121" s="2188"/>
      <c r="H121" s="2189"/>
      <c r="I121" s="1384" t="str">
        <f t="array" ref="I121">IFERROR(INDEX('[1]ESDS-Reference Table'!$G$1:$G$493,MATCH(1,('[1]ESDS-Reference Table'!$F$1:$F$493=E121)*('[1]ESDS-Reference Table'!$H$1:$H$493=$F$24)*('[1]ESDS-Reference Table'!$I$1:$I$493=$F$26),0)),"Select Region and Activity")</f>
        <v>Mandatory</v>
      </c>
      <c r="J121" s="1319" t="s">
        <v>1882</v>
      </c>
      <c r="K121" s="2110">
        <f t="shared" si="4"/>
        <v>0</v>
      </c>
      <c r="L121" s="1305"/>
    </row>
    <row r="122" spans="2:16" s="2121" customFormat="1" x14ac:dyDescent="0.25">
      <c r="B122" s="1385"/>
      <c r="C122" s="1307"/>
      <c r="D122" s="1386"/>
      <c r="E122" s="1387">
        <v>7.9</v>
      </c>
      <c r="F122" s="2190" t="s">
        <v>795</v>
      </c>
      <c r="G122" s="2188"/>
      <c r="H122" s="2189"/>
      <c r="I122" s="1384" t="str">
        <f t="array" ref="I122">IFERROR(INDEX('[1]ESDS-Reference Table'!$G$1:$G$493,MATCH(1,('[1]ESDS-Reference Table'!$F$1:$F$493=E122)*('[1]ESDS-Reference Table'!$H$1:$H$493=$F$24)*('[1]ESDS-Reference Table'!$I$1:$I$493=$F$26),0)),"Select Region and Activity")</f>
        <v>Mandatory</v>
      </c>
      <c r="J122" s="1319" t="s">
        <v>1882</v>
      </c>
      <c r="K122" s="2110">
        <f t="shared" si="4"/>
        <v>0</v>
      </c>
      <c r="L122" s="1388"/>
      <c r="N122" s="1300"/>
    </row>
    <row r="123" spans="2:16" x14ac:dyDescent="0.25">
      <c r="B123" s="1304"/>
      <c r="C123" s="1307"/>
      <c r="D123" s="2110"/>
      <c r="E123" s="1389" t="s">
        <v>796</v>
      </c>
      <c r="F123" s="2190" t="s">
        <v>797</v>
      </c>
      <c r="G123" s="2188"/>
      <c r="H123" s="2189"/>
      <c r="I123" s="1384" t="str">
        <f t="array" ref="I123">IFERROR(INDEX('[1]ESDS-Reference Table'!$G$1:$G$493,MATCH(1,('[1]ESDS-Reference Table'!$F$1:$F$493=E123)*('[1]ESDS-Reference Table'!$H$1:$H$493=$F$24)*('[1]ESDS-Reference Table'!$I$1:$I$493=$F$26),0)),"Select Region and Activity")</f>
        <v>Mandatory</v>
      </c>
      <c r="J123" s="1319" t="s">
        <v>1882</v>
      </c>
      <c r="K123" s="2110">
        <f t="shared" si="4"/>
        <v>0</v>
      </c>
      <c r="L123" s="1305"/>
      <c r="N123" s="384"/>
    </row>
    <row r="124" spans="2:16" x14ac:dyDescent="0.25">
      <c r="B124" s="1304"/>
      <c r="C124" s="1307"/>
      <c r="D124" s="2110"/>
      <c r="E124" s="1380">
        <v>7.11</v>
      </c>
      <c r="F124" s="2190" t="s">
        <v>798</v>
      </c>
      <c r="G124" s="2188"/>
      <c r="H124" s="2189"/>
      <c r="I124" s="1384" t="str">
        <f t="array" ref="I124">IFERROR(INDEX('[1]ESDS-Reference Table'!$G$1:$G$493,MATCH(1,('[1]ESDS-Reference Table'!$F$1:$F$493=E124)*('[1]ESDS-Reference Table'!$H$1:$H$493=$F$24)*('[1]ESDS-Reference Table'!$I$1:$I$493=$F$26),0)),"Select Region and Activity")</f>
        <v>Mandatory</v>
      </c>
      <c r="J124" s="1319" t="s">
        <v>1882</v>
      </c>
      <c r="K124" s="2110">
        <f t="shared" si="4"/>
        <v>0</v>
      </c>
      <c r="L124" s="1305"/>
    </row>
    <row r="125" spans="2:16" x14ac:dyDescent="0.25">
      <c r="B125" s="1304"/>
      <c r="C125" s="1307"/>
      <c r="D125" s="2110"/>
      <c r="E125" s="1380">
        <v>7.12</v>
      </c>
      <c r="F125" s="2190" t="s">
        <v>799</v>
      </c>
      <c r="G125" s="2188"/>
      <c r="H125" s="2189"/>
      <c r="I125" s="1384" t="str">
        <f t="array" ref="I125">IFERROR(INDEX('[1]ESDS-Reference Table'!$G$1:$G$493,MATCH(1,('[1]ESDS-Reference Table'!$F$1:$F$493=E125)*('[1]ESDS-Reference Table'!$H$1:$H$493=$F$24)*('[1]ESDS-Reference Table'!$I$1:$I$493=$F$26),0)),"Select Region and Activity")</f>
        <v>Mandatory</v>
      </c>
      <c r="J125" s="1319" t="s">
        <v>1882</v>
      </c>
      <c r="K125" s="2110">
        <f t="shared" si="4"/>
        <v>0</v>
      </c>
      <c r="L125" s="1305"/>
    </row>
    <row r="126" spans="2:16" x14ac:dyDescent="0.25">
      <c r="B126" s="1304"/>
      <c r="C126" s="1307"/>
      <c r="D126" s="2110"/>
      <c r="E126" s="1376" t="s">
        <v>800</v>
      </c>
      <c r="F126" s="2190" t="s">
        <v>801</v>
      </c>
      <c r="G126" s="2188"/>
      <c r="H126" s="2189"/>
      <c r="I126" s="1384" t="str">
        <f t="array" ref="I126">IFERROR(INDEX('[1]ESDS-Reference Table'!$G$1:$G$493,MATCH(1,('[1]ESDS-Reference Table'!$F$1:$F$493=E126)*('[1]ESDS-Reference Table'!$H$1:$H$493=$F$24)*('[1]ESDS-Reference Table'!$I$1:$I$493=$F$26),0)),"Select Region and Activity")</f>
        <v>Mandatory</v>
      </c>
      <c r="J126" s="1319" t="s">
        <v>1882</v>
      </c>
      <c r="K126" s="2110">
        <f t="shared" si="4"/>
        <v>0</v>
      </c>
      <c r="L126" s="1305"/>
      <c r="N126" s="384"/>
    </row>
    <row r="127" spans="2:16" x14ac:dyDescent="0.25">
      <c r="B127" s="1304"/>
      <c r="C127" s="1307"/>
      <c r="D127" s="2110"/>
      <c r="E127" s="1376" t="s">
        <v>802</v>
      </c>
      <c r="F127" s="2190" t="s">
        <v>801</v>
      </c>
      <c r="G127" s="2188"/>
      <c r="H127" s="2189"/>
      <c r="I127" s="1384" t="str">
        <f t="array" ref="I127">IFERROR(INDEX('[1]ESDS-Reference Table'!$G$1:$G$493,MATCH(1,('[1]ESDS-Reference Table'!$F$1:$F$493=E127)*('[1]ESDS-Reference Table'!$H$1:$H$493=$F$24)*('[1]ESDS-Reference Table'!$I$1:$I$493=$F$26),0)),"Select Region and Activity")</f>
        <v>0,2,3,4,5,6,7 or 8</v>
      </c>
      <c r="J127" s="1319">
        <v>8</v>
      </c>
      <c r="K127" s="2110">
        <f t="shared" si="4"/>
        <v>8</v>
      </c>
      <c r="L127" s="1305"/>
      <c r="N127" s="384"/>
    </row>
    <row r="128" spans="2:16" x14ac:dyDescent="0.25">
      <c r="B128" s="1304"/>
      <c r="C128" s="1307"/>
      <c r="D128" s="2110"/>
      <c r="E128" s="1380">
        <v>7.14</v>
      </c>
      <c r="F128" s="2190" t="s">
        <v>803</v>
      </c>
      <c r="G128" s="2188"/>
      <c r="H128" s="2189"/>
      <c r="I128" s="1384" t="str">
        <f t="array" ref="I128">IFERROR(INDEX('[1]ESDS-Reference Table'!$G$1:$G$493,MATCH(1,('[1]ESDS-Reference Table'!$F$1:$F$493=E128)*('[1]ESDS-Reference Table'!$H$1:$H$493=$F$24)*('[1]ESDS-Reference Table'!$I$1:$I$493=$F$26),0)),"Select Region and Activity")</f>
        <v>Mandatory</v>
      </c>
      <c r="J128" s="1319" t="s">
        <v>1882</v>
      </c>
      <c r="K128" s="2110">
        <f t="shared" si="4"/>
        <v>0</v>
      </c>
      <c r="L128" s="1305"/>
    </row>
    <row r="129" spans="2:12" x14ac:dyDescent="0.25">
      <c r="B129" s="1304"/>
      <c r="C129" s="1307"/>
      <c r="D129" s="2110"/>
      <c r="E129" s="1380">
        <v>7.15</v>
      </c>
      <c r="F129" s="2190" t="s">
        <v>804</v>
      </c>
      <c r="G129" s="2188"/>
      <c r="H129" s="2189"/>
      <c r="I129" s="1384" t="str">
        <f t="array" ref="I129">IFERROR(INDEX('[1]ESDS-Reference Table'!$G$1:$G$493,MATCH(1,('[1]ESDS-Reference Table'!$F$1:$F$493=E129)*('[1]ESDS-Reference Table'!$H$1:$H$493=$F$24)*('[1]ESDS-Reference Table'!$I$1:$I$493=$F$26),0)),"Select Region and Activity")</f>
        <v>Mandatory</v>
      </c>
      <c r="J129" s="1319" t="s">
        <v>1882</v>
      </c>
      <c r="K129" s="2110">
        <f t="shared" si="4"/>
        <v>0</v>
      </c>
      <c r="L129" s="1305"/>
    </row>
    <row r="130" spans="2:12" x14ac:dyDescent="0.25">
      <c r="B130" s="1304"/>
      <c r="C130" s="1307"/>
      <c r="D130" s="2110"/>
      <c r="E130" s="1380">
        <v>7.16</v>
      </c>
      <c r="F130" s="2190" t="s">
        <v>805</v>
      </c>
      <c r="G130" s="2188"/>
      <c r="H130" s="2189"/>
      <c r="I130" s="1384" t="str">
        <f t="array" ref="I130">IFERROR(INDEX('[1]ESDS-Reference Table'!$G$1:$G$493,MATCH(1,('[1]ESDS-Reference Table'!$F$1:$F$493=E130)*('[1]ESDS-Reference Table'!$H$1:$H$493=$F$24)*('[1]ESDS-Reference Table'!$I$1:$I$493=$F$26),0)),"Select Region and Activity")</f>
        <v>Mandatory</v>
      </c>
      <c r="J130" s="1319" t="s">
        <v>1882</v>
      </c>
      <c r="K130" s="2110">
        <f t="shared" si="4"/>
        <v>0</v>
      </c>
      <c r="L130" s="1305"/>
    </row>
    <row r="131" spans="2:12" x14ac:dyDescent="0.25">
      <c r="B131" s="1304"/>
      <c r="C131" s="1307"/>
      <c r="D131" s="2110"/>
      <c r="E131" s="1381">
        <v>7.17</v>
      </c>
      <c r="F131" s="2191" t="s">
        <v>806</v>
      </c>
      <c r="G131" s="2192"/>
      <c r="H131" s="2193"/>
      <c r="I131" s="1361" t="str">
        <f t="array" ref="I131">IFERROR(INDEX('[1]ESDS-Reference Table'!$G$1:$G$493,MATCH(1,('[1]ESDS-Reference Table'!$F$1:$F$493=E131)*('[1]ESDS-Reference Table'!$H$1:$H$493=$F$24)*('[1]ESDS-Reference Table'!$I$1:$I$493=$F$26),0)),"Select Region and Activity")</f>
        <v>Mandatory</v>
      </c>
      <c r="J131" s="1319" t="s">
        <v>1882</v>
      </c>
      <c r="K131" s="2110">
        <f t="shared" si="4"/>
        <v>0</v>
      </c>
      <c r="L131" s="1305"/>
    </row>
    <row r="132" spans="2:12" x14ac:dyDescent="0.25">
      <c r="B132" s="1304"/>
      <c r="C132" s="1307"/>
      <c r="D132" s="2110"/>
      <c r="E132" s="1325"/>
      <c r="F132" s="1326"/>
      <c r="G132" s="1327"/>
      <c r="H132" s="1327"/>
      <c r="I132" s="1328" t="s">
        <v>807</v>
      </c>
      <c r="J132" s="1329">
        <f>SUM(J111:J131)</f>
        <v>8</v>
      </c>
      <c r="K132" s="2110"/>
      <c r="L132" s="1305"/>
    </row>
    <row r="133" spans="2:12" ht="7.5" customHeight="1" thickBot="1" x14ac:dyDescent="0.3">
      <c r="B133" s="1390"/>
      <c r="C133" s="1368"/>
      <c r="D133" s="1368"/>
      <c r="E133" s="1365"/>
      <c r="F133" s="1366"/>
      <c r="G133" s="1365"/>
      <c r="H133" s="1365"/>
      <c r="I133" s="1367"/>
      <c r="J133" s="1366"/>
      <c r="K133" s="1368"/>
      <c r="L133" s="1369"/>
    </row>
    <row r="134" spans="2:12" ht="7.5" customHeight="1" x14ac:dyDescent="0.25">
      <c r="B134" s="1301"/>
      <c r="C134" s="1302"/>
      <c r="D134" s="1302"/>
      <c r="E134" s="1372"/>
      <c r="F134" s="1302"/>
      <c r="G134" s="1372"/>
      <c r="H134" s="1372"/>
      <c r="I134" s="1373"/>
      <c r="J134" s="1302"/>
      <c r="K134" s="1302"/>
      <c r="L134" s="1303"/>
    </row>
    <row r="135" spans="2:12" x14ac:dyDescent="0.25">
      <c r="B135" s="1304"/>
      <c r="C135" s="1307"/>
      <c r="D135" s="2110"/>
      <c r="E135" s="1374" t="s">
        <v>808</v>
      </c>
      <c r="F135" s="2110"/>
      <c r="G135" s="1374"/>
      <c r="H135" s="1374"/>
      <c r="I135" s="1331"/>
      <c r="J135" s="2110"/>
      <c r="K135" s="2110"/>
      <c r="L135" s="1305"/>
    </row>
    <row r="136" spans="2:12" x14ac:dyDescent="0.25">
      <c r="B136" s="1304"/>
      <c r="C136" s="1307"/>
      <c r="D136" s="2110"/>
      <c r="E136" s="1312" t="s">
        <v>689</v>
      </c>
      <c r="F136" s="1313" t="s">
        <v>690</v>
      </c>
      <c r="G136" s="1314"/>
      <c r="H136" s="1314"/>
      <c r="I136" s="1315" t="s">
        <v>691</v>
      </c>
      <c r="J136" s="1316" t="s">
        <v>692</v>
      </c>
      <c r="K136" s="2110"/>
      <c r="L136" s="1305"/>
    </row>
    <row r="137" spans="2:12" x14ac:dyDescent="0.25">
      <c r="B137" s="1304"/>
      <c r="C137" s="1307"/>
      <c r="D137" s="2110"/>
      <c r="E137" s="1375" t="s">
        <v>809</v>
      </c>
      <c r="F137" s="2184" t="s">
        <v>810</v>
      </c>
      <c r="G137" s="2185"/>
      <c r="H137" s="2186"/>
      <c r="I137" s="1383" t="str">
        <f t="array" ref="I137">IFERROR(INDEX('[1]ESDS-Reference Table'!$G$1:$G$493,MATCH(1,('[1]ESDS-Reference Table'!$F$1:$F$493=E137)*('[1]ESDS-Reference Table'!$H$1:$H$493=$F$24)*('[1]ESDS-Reference Table'!$I$1:$I$493=$F$26),0)),"Select Region and Activity")</f>
        <v>Mandatory</v>
      </c>
      <c r="J137" s="1319" t="s">
        <v>1882</v>
      </c>
      <c r="K137" s="2110">
        <f>N(J137)</f>
        <v>0</v>
      </c>
      <c r="L137" s="1305"/>
    </row>
    <row r="138" spans="2:12" x14ac:dyDescent="0.25">
      <c r="B138" s="1304"/>
      <c r="C138" s="1307"/>
      <c r="D138" s="2110"/>
      <c r="E138" s="1391" t="s">
        <v>811</v>
      </c>
      <c r="F138" s="1392" t="s">
        <v>812</v>
      </c>
      <c r="G138" s="1393"/>
      <c r="H138" s="1394"/>
      <c r="I138" s="1384" t="str">
        <f t="array" ref="I138">IFERROR(INDEX('[1]ESDS-Reference Table'!$G$1:$G$493,MATCH(1,('[1]ESDS-Reference Table'!$F$1:$F$493=E138)*('[1]ESDS-Reference Table'!$H$1:$H$493=$F$24)*('[1]ESDS-Reference Table'!$I$1:$I$493=$F$26),0)),"Select Region and Activity")</f>
        <v>0 or 7</v>
      </c>
      <c r="J138" s="1319">
        <v>7</v>
      </c>
      <c r="K138" s="2110"/>
      <c r="L138" s="1305"/>
    </row>
    <row r="139" spans="2:12" x14ac:dyDescent="0.25">
      <c r="B139" s="1304"/>
      <c r="C139" s="1307"/>
      <c r="D139" s="2110"/>
      <c r="E139" s="1378">
        <v>8.1999999999999993</v>
      </c>
      <c r="F139" s="2187" t="s">
        <v>813</v>
      </c>
      <c r="G139" s="2188"/>
      <c r="H139" s="2189"/>
      <c r="I139" s="1384" t="str">
        <f t="array" ref="I139">IFERROR(INDEX('[1]ESDS-Reference Table'!$G$1:$G$493,MATCH(1,('[1]ESDS-Reference Table'!$F$1:$F$493=E139)*('[1]ESDS-Reference Table'!$H$1:$H$493=$F$24)*('[1]ESDS-Reference Table'!$I$1:$I$493=$F$26),0)),"Select Region and Activity")</f>
        <v>Mandatory for Multifamily Projects</v>
      </c>
      <c r="J139" s="1319" t="s">
        <v>1882</v>
      </c>
      <c r="K139" s="2110">
        <f>N(J139)</f>
        <v>0</v>
      </c>
      <c r="L139" s="1305"/>
    </row>
    <row r="140" spans="2:12" x14ac:dyDescent="0.25">
      <c r="B140" s="1304"/>
      <c r="C140" s="1307"/>
      <c r="D140" s="2110"/>
      <c r="E140" s="1378">
        <v>8.3000000000000007</v>
      </c>
      <c r="F140" s="2187" t="s">
        <v>814</v>
      </c>
      <c r="G140" s="2188"/>
      <c r="H140" s="2189"/>
      <c r="I140" s="1384" t="str">
        <f t="array" ref="I140">IFERROR(INDEX('[1]ESDS-Reference Table'!$G$1:$G$493,MATCH(1,('[1]ESDS-Reference Table'!$F$1:$F$493=E140)*('[1]ESDS-Reference Table'!$H$1:$H$493=$F$24)*('[1]ESDS-Reference Table'!$I$1:$I$493=$F$26),0)),"Select Region and Activity")</f>
        <v>Mandatory</v>
      </c>
      <c r="J140" s="1319" t="s">
        <v>1882</v>
      </c>
      <c r="K140" s="2110">
        <f>N(J140)</f>
        <v>0</v>
      </c>
      <c r="L140" s="1305"/>
    </row>
    <row r="141" spans="2:12" x14ac:dyDescent="0.25">
      <c r="B141" s="1304"/>
      <c r="C141" s="1307"/>
      <c r="D141" s="2110"/>
      <c r="E141" s="1378">
        <v>8.4</v>
      </c>
      <c r="F141" s="2190" t="s">
        <v>815</v>
      </c>
      <c r="G141" s="2188"/>
      <c r="H141" s="2189"/>
      <c r="I141" s="1384" t="str">
        <f t="array" ref="I141">IFERROR(INDEX('[1]ESDS-Reference Table'!$G$1:$G$493,MATCH(1,('[1]ESDS-Reference Table'!$F$1:$F$493=E141)*('[1]ESDS-Reference Table'!$H$1:$H$493=$F$24)*('[1]ESDS-Reference Table'!$I$1:$I$493=$F$26),0)),"Select Region and Activity")</f>
        <v>0,3,5 or 8</v>
      </c>
      <c r="J141" s="1319">
        <v>8</v>
      </c>
      <c r="K141" s="2110">
        <f>N(J141)</f>
        <v>8</v>
      </c>
      <c r="L141" s="1305"/>
    </row>
    <row r="142" spans="2:12" x14ac:dyDescent="0.25">
      <c r="B142" s="1304"/>
      <c r="C142" s="1307"/>
      <c r="D142" s="2110"/>
      <c r="E142" s="1395">
        <v>8.5</v>
      </c>
      <c r="F142" s="2191" t="s">
        <v>816</v>
      </c>
      <c r="G142" s="2192"/>
      <c r="H142" s="2193"/>
      <c r="I142" s="1361" t="str">
        <f t="array" ref="I142">IFERROR(INDEX('[1]ESDS-Reference Table'!$G$1:$G$493,MATCH(1,('[1]ESDS-Reference Table'!$F$1:$F$493=E142)*('[1]ESDS-Reference Table'!$H$1:$H$493=$F$24)*('[1]ESDS-Reference Table'!$I$1:$I$493=$F$26),0)),"Select Region and Activity")</f>
        <v>Mandatory</v>
      </c>
      <c r="J142" s="1319" t="s">
        <v>1882</v>
      </c>
      <c r="K142" s="2110">
        <f>N(J142)</f>
        <v>0</v>
      </c>
      <c r="L142" s="1305"/>
    </row>
    <row r="143" spans="2:12" x14ac:dyDescent="0.25">
      <c r="B143" s="1304"/>
      <c r="C143" s="1307"/>
      <c r="D143" s="2110"/>
      <c r="E143" s="1325"/>
      <c r="F143" s="1326"/>
      <c r="G143" s="1327"/>
      <c r="H143" s="1327"/>
      <c r="I143" s="1328" t="s">
        <v>817</v>
      </c>
      <c r="J143" s="1329">
        <f>SUM(J137:J142)</f>
        <v>15</v>
      </c>
      <c r="K143" s="2110"/>
      <c r="L143" s="1305"/>
    </row>
    <row r="144" spans="2:12" ht="15.75" thickBot="1" x14ac:dyDescent="0.3">
      <c r="B144" s="1304"/>
      <c r="C144" s="1307"/>
      <c r="D144" s="2110"/>
      <c r="E144" s="2110"/>
      <c r="F144" s="2110"/>
      <c r="G144" s="2110"/>
      <c r="H144" s="2110"/>
      <c r="I144" s="2110"/>
      <c r="J144" s="2110"/>
      <c r="K144" s="2110"/>
      <c r="L144" s="1305"/>
    </row>
    <row r="145" spans="2:12" x14ac:dyDescent="0.25">
      <c r="B145" s="1304"/>
      <c r="C145" s="1307"/>
      <c r="D145" s="2110"/>
      <c r="E145" s="2110"/>
      <c r="F145" s="2110"/>
      <c r="G145" s="2110"/>
      <c r="H145" s="2110"/>
      <c r="I145" s="1396" t="s">
        <v>818</v>
      </c>
      <c r="J145" s="1397">
        <f>J36</f>
        <v>8</v>
      </c>
      <c r="K145" s="2110"/>
      <c r="L145" s="1305"/>
    </row>
    <row r="146" spans="2:12" x14ac:dyDescent="0.25">
      <c r="B146" s="1304"/>
      <c r="C146" s="1307"/>
      <c r="D146" s="2110"/>
      <c r="E146" s="2110"/>
      <c r="F146" s="2110"/>
      <c r="G146" s="2110"/>
      <c r="H146" s="2110"/>
      <c r="I146" s="1398" t="s">
        <v>819</v>
      </c>
      <c r="J146" s="1399">
        <f>J51</f>
        <v>10</v>
      </c>
      <c r="K146" s="2110"/>
      <c r="L146" s="1305"/>
    </row>
    <row r="147" spans="2:12" x14ac:dyDescent="0.25">
      <c r="B147" s="1304"/>
      <c r="C147" s="1307"/>
      <c r="D147" s="2110"/>
      <c r="E147" s="2110"/>
      <c r="F147" s="2110"/>
      <c r="G147" s="2110"/>
      <c r="H147" s="2110"/>
      <c r="I147" s="1398" t="s">
        <v>820</v>
      </c>
      <c r="J147" s="1399">
        <f>J63</f>
        <v>0</v>
      </c>
      <c r="K147" s="2110"/>
      <c r="L147" s="1305"/>
    </row>
    <row r="148" spans="2:12" x14ac:dyDescent="0.25">
      <c r="B148" s="1304"/>
      <c r="C148" s="1307"/>
      <c r="D148" s="2110"/>
      <c r="E148" s="2110"/>
      <c r="F148" s="2110"/>
      <c r="G148" s="2110"/>
      <c r="H148" s="2110"/>
      <c r="I148" s="1398" t="s">
        <v>821</v>
      </c>
      <c r="J148" s="1399">
        <f>J72</f>
        <v>13</v>
      </c>
      <c r="K148" s="2110"/>
      <c r="L148" s="1305"/>
    </row>
    <row r="149" spans="2:12" x14ac:dyDescent="0.25">
      <c r="B149" s="1304"/>
      <c r="C149" s="1307"/>
      <c r="D149" s="2110"/>
      <c r="E149" s="2110"/>
      <c r="F149" s="2110"/>
      <c r="G149" s="2110"/>
      <c r="H149" s="2110"/>
      <c r="I149" s="1398" t="s">
        <v>822</v>
      </c>
      <c r="J149" s="1399">
        <f>J95</f>
        <v>4</v>
      </c>
      <c r="K149" s="2110"/>
      <c r="L149" s="1305"/>
    </row>
    <row r="150" spans="2:12" x14ac:dyDescent="0.25">
      <c r="B150" s="1304"/>
      <c r="C150" s="1307"/>
      <c r="D150" s="2110"/>
      <c r="E150" s="2110"/>
      <c r="F150" s="2110"/>
      <c r="G150" s="2110"/>
      <c r="H150" s="2110"/>
      <c r="I150" s="1398" t="s">
        <v>823</v>
      </c>
      <c r="J150" s="1399">
        <f>J106</f>
        <v>7</v>
      </c>
      <c r="K150" s="2110"/>
      <c r="L150" s="1305"/>
    </row>
    <row r="151" spans="2:12" x14ac:dyDescent="0.25">
      <c r="B151" s="1304"/>
      <c r="C151" s="1307"/>
      <c r="D151" s="2110"/>
      <c r="E151" s="2110"/>
      <c r="F151" s="2110"/>
      <c r="G151" s="2110"/>
      <c r="H151" s="2110"/>
      <c r="I151" s="1398" t="s">
        <v>824</v>
      </c>
      <c r="J151" s="1399">
        <f>J132</f>
        <v>8</v>
      </c>
      <c r="K151" s="2110"/>
      <c r="L151" s="1305"/>
    </row>
    <row r="152" spans="2:12" ht="15.75" thickBot="1" x14ac:dyDescent="0.3">
      <c r="B152" s="1304"/>
      <c r="C152" s="1307"/>
      <c r="D152" s="2110"/>
      <c r="E152" s="2110"/>
      <c r="F152" s="2110"/>
      <c r="G152" s="2110"/>
      <c r="H152" s="2110"/>
      <c r="I152" s="1400" t="s">
        <v>825</v>
      </c>
      <c r="J152" s="1401">
        <f>J143</f>
        <v>15</v>
      </c>
      <c r="K152" s="2110"/>
      <c r="L152" s="1305"/>
    </row>
    <row r="153" spans="2:12" ht="16.5" thickTop="1" thickBot="1" x14ac:dyDescent="0.3">
      <c r="B153" s="1304"/>
      <c r="C153" s="1307"/>
      <c r="D153" s="2110"/>
      <c r="E153" s="2110"/>
      <c r="F153" s="2110"/>
      <c r="G153" s="2110"/>
      <c r="H153" s="2110"/>
      <c r="I153" s="1402" t="s">
        <v>826</v>
      </c>
      <c r="J153" s="1403">
        <f>SUM(J145:J152)</f>
        <v>65</v>
      </c>
      <c r="K153" s="2110"/>
      <c r="L153" s="1305"/>
    </row>
    <row r="154" spans="2:12" ht="9" customHeight="1" thickBot="1" x14ac:dyDescent="0.3">
      <c r="B154" s="1390"/>
      <c r="C154" s="1368"/>
      <c r="D154" s="1368"/>
      <c r="E154" s="1368"/>
      <c r="F154" s="1368"/>
      <c r="G154" s="1368"/>
      <c r="H154" s="1368"/>
      <c r="I154" s="1368"/>
      <c r="J154" s="1368"/>
      <c r="K154" s="1368"/>
      <c r="L154" s="1369"/>
    </row>
  </sheetData>
  <sheetProtection password="CA9B" sheet="1" objects="1" scenarios="1" formatCells="0" formatColumns="0" formatRows="0"/>
  <dataConsolidate/>
  <mergeCells count="83">
    <mergeCell ref="F26:G26"/>
    <mergeCell ref="C13:J13"/>
    <mergeCell ref="D15:J15"/>
    <mergeCell ref="F18:I18"/>
    <mergeCell ref="F20:I20"/>
    <mergeCell ref="F24:G24"/>
    <mergeCell ref="F45:H45"/>
    <mergeCell ref="F30:H30"/>
    <mergeCell ref="F31:H31"/>
    <mergeCell ref="F32:H32"/>
    <mergeCell ref="F33:H33"/>
    <mergeCell ref="F34:H34"/>
    <mergeCell ref="F35:H35"/>
    <mergeCell ref="F40:H40"/>
    <mergeCell ref="F41:H41"/>
    <mergeCell ref="F42:H42"/>
    <mergeCell ref="F43:H43"/>
    <mergeCell ref="F44:H44"/>
    <mergeCell ref="F61:H61"/>
    <mergeCell ref="F46:H46"/>
    <mergeCell ref="F47:H47"/>
    <mergeCell ref="F48:H48"/>
    <mergeCell ref="F49:H49"/>
    <mergeCell ref="F50:H50"/>
    <mergeCell ref="F55:H55"/>
    <mergeCell ref="F56:H56"/>
    <mergeCell ref="F57:H57"/>
    <mergeCell ref="F58:H58"/>
    <mergeCell ref="F59:H59"/>
    <mergeCell ref="F60:H60"/>
    <mergeCell ref="F84:H84"/>
    <mergeCell ref="F62:H62"/>
    <mergeCell ref="F67:H67"/>
    <mergeCell ref="F69:H69"/>
    <mergeCell ref="F70:H70"/>
    <mergeCell ref="F77:H77"/>
    <mergeCell ref="F78:H78"/>
    <mergeCell ref="F79:H79"/>
    <mergeCell ref="F80:H80"/>
    <mergeCell ref="F81:H81"/>
    <mergeCell ref="F82:H82"/>
    <mergeCell ref="F83:H83"/>
    <mergeCell ref="F100:H100"/>
    <mergeCell ref="F85:H85"/>
    <mergeCell ref="F86:H86"/>
    <mergeCell ref="F87:H87"/>
    <mergeCell ref="F88:H88"/>
    <mergeCell ref="F89:H89"/>
    <mergeCell ref="F90:H90"/>
    <mergeCell ref="F91:H91"/>
    <mergeCell ref="F92:H92"/>
    <mergeCell ref="F93:H93"/>
    <mergeCell ref="F94:H94"/>
    <mergeCell ref="F99:H99"/>
    <mergeCell ref="F119:H119"/>
    <mergeCell ref="F101:H101"/>
    <mergeCell ref="F102:H102"/>
    <mergeCell ref="F103:H103"/>
    <mergeCell ref="F111:H111"/>
    <mergeCell ref="F112:H112"/>
    <mergeCell ref="F113:H113"/>
    <mergeCell ref="F114:H114"/>
    <mergeCell ref="F115:H115"/>
    <mergeCell ref="F116:H116"/>
    <mergeCell ref="F117:H117"/>
    <mergeCell ref="F118:H118"/>
    <mergeCell ref="F131:H131"/>
    <mergeCell ref="F120:H120"/>
    <mergeCell ref="F121:H121"/>
    <mergeCell ref="F122:H122"/>
    <mergeCell ref="F123:H123"/>
    <mergeCell ref="F124:H124"/>
    <mergeCell ref="F125:H125"/>
    <mergeCell ref="F126:H126"/>
    <mergeCell ref="F127:H127"/>
    <mergeCell ref="F128:H128"/>
    <mergeCell ref="F129:H129"/>
    <mergeCell ref="F130:H130"/>
    <mergeCell ref="F137:H137"/>
    <mergeCell ref="F139:H139"/>
    <mergeCell ref="F140:H140"/>
    <mergeCell ref="F141:H141"/>
    <mergeCell ref="F142:H142"/>
  </mergeCells>
  <conditionalFormatting sqref="J20">
    <cfRule type="expression" dxfId="89" priority="18">
      <formula>$J$20&lt;&gt;""</formula>
    </cfRule>
  </conditionalFormatting>
  <conditionalFormatting sqref="J77:J94">
    <cfRule type="expression" dxfId="88" priority="10">
      <formula>I77="n/a"</formula>
    </cfRule>
  </conditionalFormatting>
  <conditionalFormatting sqref="J30">
    <cfRule type="expression" dxfId="87" priority="17">
      <formula>I30="n/a"</formula>
    </cfRule>
  </conditionalFormatting>
  <conditionalFormatting sqref="J31">
    <cfRule type="expression" dxfId="86" priority="16">
      <formula>I31="n/a"</formula>
    </cfRule>
  </conditionalFormatting>
  <conditionalFormatting sqref="J32">
    <cfRule type="expression" dxfId="85" priority="15">
      <formula>I32="n/a"</formula>
    </cfRule>
  </conditionalFormatting>
  <conditionalFormatting sqref="J33:J35">
    <cfRule type="expression" dxfId="84" priority="14">
      <formula>I33="n/a"</formula>
    </cfRule>
  </conditionalFormatting>
  <conditionalFormatting sqref="J40:J50">
    <cfRule type="expression" dxfId="83" priority="13">
      <formula>I40="n/a"</formula>
    </cfRule>
  </conditionalFormatting>
  <conditionalFormatting sqref="J55:J62">
    <cfRule type="expression" dxfId="82" priority="12">
      <formula>I55="n/a"</formula>
    </cfRule>
  </conditionalFormatting>
  <conditionalFormatting sqref="J67:J71">
    <cfRule type="expression" dxfId="81" priority="11">
      <formula>I67="n/a"</formula>
    </cfRule>
  </conditionalFormatting>
  <conditionalFormatting sqref="J99:J105">
    <cfRule type="expression" dxfId="80" priority="9">
      <formula>I99="n/a"</formula>
    </cfRule>
  </conditionalFormatting>
  <conditionalFormatting sqref="J111:J131">
    <cfRule type="expression" dxfId="79" priority="8">
      <formula>I111="n/a"</formula>
    </cfRule>
  </conditionalFormatting>
  <conditionalFormatting sqref="J137:J142">
    <cfRule type="expression" dxfId="78" priority="7">
      <formula>I137="n/a"</formula>
    </cfRule>
  </conditionalFormatting>
  <conditionalFormatting sqref="G25 G27">
    <cfRule type="expression" dxfId="77" priority="19">
      <formula>$F$26&lt;&gt;"Rehab"</formula>
    </cfRule>
  </conditionalFormatting>
  <conditionalFormatting sqref="H27">
    <cfRule type="expression" dxfId="76" priority="22">
      <formula>$F$26&lt;&gt;"Rehab"</formula>
    </cfRule>
  </conditionalFormatting>
  <conditionalFormatting sqref="D15">
    <cfRule type="expression" dxfId="75" priority="20">
      <formula>$F$24="Rural"</formula>
    </cfRule>
    <cfRule type="expression" dxfId="74" priority="21">
      <formula>$F$24="Urban"</formula>
    </cfRule>
  </conditionalFormatting>
  <conditionalFormatting sqref="C15:C72">
    <cfRule type="expression" dxfId="73" priority="5">
      <formula>$F$24="Rural"</formula>
    </cfRule>
    <cfRule type="expression" dxfId="72" priority="6">
      <formula>$F$24="Urban"</formula>
    </cfRule>
  </conditionalFormatting>
  <conditionalFormatting sqref="C75:C132">
    <cfRule type="expression" dxfId="71" priority="3">
      <formula>$F$24="Rural"</formula>
    </cfRule>
    <cfRule type="expression" dxfId="70" priority="4">
      <formula>$F$24="Urban"</formula>
    </cfRule>
  </conditionalFormatting>
  <conditionalFormatting sqref="C135:C153">
    <cfRule type="expression" dxfId="69" priority="1">
      <formula>$F$24="Rural"</formula>
    </cfRule>
    <cfRule type="expression" dxfId="68" priority="2">
      <formula>$F$24="Urban"</formula>
    </cfRule>
  </conditionalFormatting>
  <dataValidations count="37">
    <dataValidation type="list" allowBlank="1" showInputMessage="1" showErrorMessage="1" sqref="J127">
      <formula1>INDIRECT($F$24&amp;(SUBSTITUTE(F26," ",""))&amp;$E$127)</formula1>
    </dataValidation>
    <dataValidation type="list" allowBlank="1" showInputMessage="1" showErrorMessage="1" sqref="J117">
      <formula1>INDIRECT($F$24&amp;(SUBSTITUTE(F26," ",""))&amp;$E$117)</formula1>
    </dataValidation>
    <dataValidation type="list" allowBlank="1" showInputMessage="1" showErrorMessage="1" sqref="J115">
      <formula1>INDIRECT($F$24&amp;(SUBSTITUTE(F26," ",""))&amp;$E$115)</formula1>
    </dataValidation>
    <dataValidation type="list" allowBlank="1" showInputMessage="1" showErrorMessage="1" sqref="J94">
      <formula1>INDIRECT($F$24&amp;(SUBSTITUTE(F26," ",""))&amp;$E$94)</formula1>
    </dataValidation>
    <dataValidation type="list" allowBlank="1" showInputMessage="1" showErrorMessage="1" sqref="J93">
      <formula1>INDIRECT($F$24&amp;(SUBSTITUTE(F26," ",""))&amp;$E$93)</formula1>
    </dataValidation>
    <dataValidation type="list" allowBlank="1" showInputMessage="1" showErrorMessage="1" sqref="J92">
      <formula1>INDIRECT($F$24&amp;(SUBSTITUTE(F26," ",""))&amp;$E$92)</formula1>
    </dataValidation>
    <dataValidation type="list" allowBlank="1" showInputMessage="1" showErrorMessage="1" sqref="J91">
      <formula1>INDIRECT($F$24&amp;(SUBSTITUTE(F26," ",""))&amp;$E$91)</formula1>
    </dataValidation>
    <dataValidation type="list" allowBlank="1" showInputMessage="1" showErrorMessage="1" sqref="J89">
      <formula1>INDIRECT($F$24&amp;(SUBSTITUTE(F26," ",""))&amp;$E$89)</formula1>
    </dataValidation>
    <dataValidation type="list" allowBlank="1" showInputMessage="1" showErrorMessage="1" sqref="J87">
      <formula1>INDIRECT($F$24&amp;(SUBSTITUTE(F26," ",""))&amp;$E$87)</formula1>
    </dataValidation>
    <dataValidation type="list" allowBlank="1" showInputMessage="1" showErrorMessage="1" sqref="J86">
      <formula1>INDIRECT($F$24&amp;(SUBSTITUTE(F26," ",""))&amp;$E$86)</formula1>
    </dataValidation>
    <dataValidation type="list" allowBlank="1" showInputMessage="1" showErrorMessage="1" sqref="J80">
      <formula1>INDIRECT($F$24&amp;(SUBSTITUTE(F26," ",""))&amp;$E$80)</formula1>
    </dataValidation>
    <dataValidation type="list" allowBlank="1" showInputMessage="1" showErrorMessage="1" sqref="J78">
      <formula1>INDIRECT($F$24&amp;(SUBSTITUTE(F26," ",""))&amp;$E$78)</formula1>
    </dataValidation>
    <dataValidation type="list" allowBlank="1" showInputMessage="1" showErrorMessage="1" sqref="J79">
      <formula1>INDIRECT($F$24&amp;(SUBSTITUTE(F26," ",""))&amp;$E$79)</formula1>
    </dataValidation>
    <dataValidation type="list" allowBlank="1" showInputMessage="1" showErrorMessage="1" sqref="J69">
      <formula1>INDIRECT($F$24&amp;(SUBSTITUTE(F26," ",""))&amp;$E$69)</formula1>
    </dataValidation>
    <dataValidation type="list" allowBlank="1" showInputMessage="1" showErrorMessage="1" sqref="J47">
      <formula1>INDIRECT($F$24&amp;(SUBSTITUTE(F26," ",""))&amp;$E$47)</formula1>
    </dataValidation>
    <dataValidation type="list" allowBlank="1" showInputMessage="1" showErrorMessage="1" sqref="J41">
      <formula1>INDIRECT($F$24&amp;(SUBSTITUTE(F26," ",""))&amp;$E$41)</formula1>
    </dataValidation>
    <dataValidation type="list" allowBlank="1" showInputMessage="1" showErrorMessage="1" sqref="F24:G24">
      <formula1>Region</formula1>
    </dataValidation>
    <dataValidation type="list" allowBlank="1" showInputMessage="1" showErrorMessage="1" sqref="F26:G26">
      <formula1>Type</formula1>
    </dataValidation>
    <dataValidation type="list" allowBlank="1" showInputMessage="1" showErrorMessage="1" sqref="J30 J33 J40 J42 J45:J46 J55:J57 J60 J62 J67 J77 J82 J84:J85 J90 J99:J100 J111:J112 J114 J116 J118:J126 J128:J131 J137 J139:J140 J142">
      <formula1>"x,n/a"</formula1>
    </dataValidation>
    <dataValidation type="list" allowBlank="1" showInputMessage="1" showErrorMessage="1" sqref="J141">
      <formula1>"0,3,5,8"</formula1>
    </dataValidation>
    <dataValidation type="list" allowBlank="1" showInputMessage="1" showErrorMessage="1" sqref="J113">
      <formula1>"0,6"</formula1>
    </dataValidation>
    <dataValidation type="list" allowBlank="1" showInputMessage="1" showErrorMessage="1" sqref="J102">
      <formula1>"0,0.5,1,1.5,2,2.5,3,3.5,4,4.5,5,5.5,6,6.5,7,7.5,8,8.5,9,9.5,10"</formula1>
    </dataValidation>
    <dataValidation type="list" allowBlank="1" showInputMessage="1" showErrorMessage="1" sqref="J88">
      <formula1>"0,1"</formula1>
    </dataValidation>
    <dataValidation type="list" allowBlank="1" showInputMessage="1" showErrorMessage="1" sqref="J81">
      <formula1>"0,1,2,3,4"</formula1>
    </dataValidation>
    <dataValidation type="list" allowBlank="1" showInputMessage="1" showErrorMessage="1" sqref="J71 J138">
      <formula1>"0,7"</formula1>
    </dataValidation>
    <dataValidation type="list" allowBlank="1" showInputMessage="1" showErrorMessage="1" sqref="J70">
      <formula1>"0,1,2,4,6,8,10,12"</formula1>
    </dataValidation>
    <dataValidation type="list" allowBlank="1" showInputMessage="1" showErrorMessage="1" sqref="J68">
      <formula1>"0,1,2,3,4,5,6"</formula1>
    </dataValidation>
    <dataValidation type="list" allowBlank="1" showInputMessage="1" showErrorMessage="1" sqref="J61">
      <formula1>"0,2,4,6"</formula1>
    </dataValidation>
    <dataValidation type="list" allowBlank="1" showInputMessage="1" showErrorMessage="1" sqref="J59 J101">
      <formula1>"0,1,2,3,4,5"</formula1>
    </dataValidation>
    <dataValidation type="list" allowBlank="1" showInputMessage="1" showErrorMessage="1" sqref="J50 J83">
      <formula1>"0,3"</formula1>
    </dataValidation>
    <dataValidation type="list" allowBlank="1" showInputMessage="1" showErrorMessage="1" sqref="J48 J103:J104">
      <formula1>"0,2"</formula1>
    </dataValidation>
    <dataValidation type="list" allowBlank="1" showInputMessage="1" showErrorMessage="1" sqref="J44">
      <formula1>"X,n/a,5"</formula1>
    </dataValidation>
    <dataValidation type="list" allowBlank="1" showInputMessage="1" showErrorMessage="1" sqref="J43 J49 J58">
      <formula1>"0,5"</formula1>
    </dataValidation>
    <dataValidation type="list" allowBlank="1" showInputMessage="1" showErrorMessage="1" sqref="J35">
      <formula1>"0,3,6"</formula1>
    </dataValidation>
    <dataValidation type="list" allowBlank="1" showInputMessage="1" showErrorMessage="1" sqref="J34">
      <formula1>"0,2,4,6,8,10,12"</formula1>
    </dataValidation>
    <dataValidation type="list" allowBlank="1" showInputMessage="1" showErrorMessage="1" sqref="J32 J105">
      <formula1>"0,1,2,3"</formula1>
    </dataValidation>
    <dataValidation type="list" allowBlank="1" showInputMessage="1" showErrorMessage="1" sqref="J31">
      <formula1>"0,2,4,6,8,10"</formula1>
    </dataValidation>
  </dataValidations>
  <printOptions horizontalCentered="1"/>
  <pageMargins left="0.25" right="0.25" top="0.75" bottom="0.75" header="0.3" footer="0.3"/>
  <pageSetup scale="81" fitToHeight="3" orientation="portrait" r:id="rId1"/>
  <headerFooter>
    <oddFooter>&amp;L
Evergreen Standard Checklist
(ESDS v3.0)&amp;R
Form Version: 1.0</oddFooter>
  </headerFooter>
  <rowBreaks count="2" manualBreakCount="2">
    <brk id="73" min="1" max="9" man="1"/>
    <brk id="133"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topLeftCell="A31" zoomScaleNormal="100" workbookViewId="0">
      <selection activeCell="D26" sqref="D26"/>
    </sheetView>
  </sheetViews>
  <sheetFormatPr defaultRowHeight="15" x14ac:dyDescent="0.25"/>
  <cols>
    <col min="1" max="2" width="1.7109375" style="402" customWidth="1"/>
    <col min="3" max="3" width="42.5703125" style="402" customWidth="1"/>
    <col min="4" max="4" width="11" style="402" customWidth="1"/>
    <col min="5" max="5" width="19.42578125" style="402" bestFit="1" customWidth="1"/>
    <col min="6" max="6" width="10.140625" style="402" customWidth="1"/>
    <col min="7" max="7" width="11" style="402" customWidth="1"/>
    <col min="8" max="8" width="1.7109375" style="402" customWidth="1"/>
    <col min="9" max="16384" width="9.140625" style="402"/>
  </cols>
  <sheetData>
    <row r="14" spans="2:8" ht="9" customHeight="1" thickBot="1" x14ac:dyDescent="0.3"/>
    <row r="15" spans="2:8" ht="9" customHeight="1" x14ac:dyDescent="0.25">
      <c r="B15" s="430"/>
      <c r="C15" s="431"/>
      <c r="D15" s="431"/>
      <c r="E15" s="431"/>
      <c r="F15" s="431"/>
      <c r="G15" s="431"/>
      <c r="H15" s="432"/>
    </row>
    <row r="16" spans="2:8" ht="18.75" x14ac:dyDescent="0.3">
      <c r="B16" s="433"/>
      <c r="C16" s="2144" t="s">
        <v>68</v>
      </c>
      <c r="D16" s="2144"/>
      <c r="E16" s="2144"/>
      <c r="F16" s="2144"/>
      <c r="G16" s="2144"/>
      <c r="H16" s="434"/>
    </row>
    <row r="17" spans="2:8" x14ac:dyDescent="0.25">
      <c r="B17" s="433"/>
      <c r="C17" s="435"/>
      <c r="D17" s="413"/>
      <c r="E17" s="413"/>
      <c r="F17" s="413"/>
      <c r="G17" s="413"/>
      <c r="H17" s="434"/>
    </row>
    <row r="18" spans="2:8" ht="15.75" thickBot="1" x14ac:dyDescent="0.3">
      <c r="B18" s="433"/>
      <c r="C18" s="2258" t="str">
        <f>IF('1'!G5="","Enter Project Name on Form 1",(CONCATENATE("Project Name: ",'1'!G5)))</f>
        <v>Project Name: Filipino Community Village</v>
      </c>
      <c r="D18" s="2258"/>
      <c r="E18" s="2258"/>
      <c r="F18" s="2258"/>
      <c r="G18" s="414"/>
      <c r="H18" s="434"/>
    </row>
    <row r="19" spans="2:8" ht="15.75" thickBot="1" x14ac:dyDescent="0.3">
      <c r="B19" s="433"/>
      <c r="C19" s="435"/>
      <c r="D19" s="413"/>
      <c r="E19" s="413"/>
      <c r="F19" s="413"/>
      <c r="G19" s="413"/>
      <c r="H19" s="434"/>
    </row>
    <row r="20" spans="2:8" ht="30" x14ac:dyDescent="0.25">
      <c r="B20" s="433"/>
      <c r="C20" s="1065" t="s">
        <v>69</v>
      </c>
      <c r="D20" s="1066" t="s">
        <v>70</v>
      </c>
      <c r="E20" s="1067" t="s">
        <v>71</v>
      </c>
      <c r="F20" s="1066" t="s">
        <v>72</v>
      </c>
      <c r="G20" s="1068" t="s">
        <v>594</v>
      </c>
      <c r="H20" s="434"/>
    </row>
    <row r="21" spans="2:8" x14ac:dyDescent="0.25">
      <c r="B21" s="433"/>
      <c r="C21" s="1061" t="s">
        <v>528</v>
      </c>
      <c r="D21" s="861" t="s">
        <v>559</v>
      </c>
      <c r="E21" s="862" t="s">
        <v>564</v>
      </c>
      <c r="F21" s="861" t="s">
        <v>566</v>
      </c>
      <c r="G21" s="1063">
        <v>77</v>
      </c>
      <c r="H21" s="434"/>
    </row>
    <row r="22" spans="2:8" x14ac:dyDescent="0.25">
      <c r="B22" s="433"/>
      <c r="C22" s="1062"/>
      <c r="D22" s="1034"/>
      <c r="E22" s="1035"/>
      <c r="F22" s="1034"/>
      <c r="G22" s="1064"/>
      <c r="H22" s="434"/>
    </row>
    <row r="23" spans="2:8" x14ac:dyDescent="0.25">
      <c r="B23" s="433"/>
      <c r="C23" s="1062"/>
      <c r="D23" s="1034"/>
      <c r="E23" s="1035"/>
      <c r="F23" s="1034"/>
      <c r="G23" s="1064"/>
      <c r="H23" s="434"/>
    </row>
    <row r="24" spans="2:8" x14ac:dyDescent="0.25">
      <c r="B24" s="433"/>
      <c r="C24" s="1062"/>
      <c r="D24" s="1034"/>
      <c r="E24" s="1035"/>
      <c r="F24" s="1034"/>
      <c r="G24" s="1064"/>
      <c r="H24" s="434"/>
    </row>
    <row r="25" spans="2:8" x14ac:dyDescent="0.25">
      <c r="B25" s="433"/>
      <c r="C25" s="1062"/>
      <c r="D25" s="1034"/>
      <c r="E25" s="1035"/>
      <c r="F25" s="1034"/>
      <c r="G25" s="1064"/>
      <c r="H25" s="434"/>
    </row>
    <row r="26" spans="2:8" x14ac:dyDescent="0.25">
      <c r="B26" s="433"/>
      <c r="C26" s="1062"/>
      <c r="D26" s="1034"/>
      <c r="E26" s="1035"/>
      <c r="F26" s="1034"/>
      <c r="G26" s="1064"/>
      <c r="H26" s="434"/>
    </row>
    <row r="27" spans="2:8" x14ac:dyDescent="0.25">
      <c r="B27" s="433"/>
      <c r="C27" s="1062"/>
      <c r="D27" s="1034"/>
      <c r="E27" s="1035"/>
      <c r="F27" s="1034"/>
      <c r="G27" s="1064"/>
      <c r="H27" s="434"/>
    </row>
    <row r="28" spans="2:8" x14ac:dyDescent="0.25">
      <c r="B28" s="433"/>
      <c r="C28" s="1062"/>
      <c r="D28" s="1034"/>
      <c r="E28" s="1035"/>
      <c r="F28" s="1034"/>
      <c r="G28" s="1064"/>
      <c r="H28" s="434"/>
    </row>
    <row r="29" spans="2:8" x14ac:dyDescent="0.25">
      <c r="B29" s="433"/>
      <c r="C29" s="1062"/>
      <c r="D29" s="1034"/>
      <c r="E29" s="1035"/>
      <c r="F29" s="1034"/>
      <c r="G29" s="1064"/>
      <c r="H29" s="434"/>
    </row>
    <row r="30" spans="2:8" x14ac:dyDescent="0.25">
      <c r="B30" s="433"/>
      <c r="C30" s="1062"/>
      <c r="D30" s="1034"/>
      <c r="E30" s="1035"/>
      <c r="F30" s="1034"/>
      <c r="G30" s="1064"/>
      <c r="H30" s="434"/>
    </row>
    <row r="31" spans="2:8" x14ac:dyDescent="0.25">
      <c r="B31" s="433"/>
      <c r="C31" s="1062"/>
      <c r="D31" s="1034"/>
      <c r="E31" s="1035"/>
      <c r="F31" s="1034"/>
      <c r="G31" s="1064"/>
      <c r="H31" s="434"/>
    </row>
    <row r="32" spans="2:8" ht="15.75" thickBot="1" x14ac:dyDescent="0.3">
      <c r="B32" s="433"/>
      <c r="C32" s="1534"/>
      <c r="D32" s="1535"/>
      <c r="E32" s="1536"/>
      <c r="F32" s="1535"/>
      <c r="G32" s="1537"/>
      <c r="H32" s="434"/>
    </row>
    <row r="33" spans="2:8" ht="16.5" thickTop="1" thickBot="1" x14ac:dyDescent="0.3">
      <c r="B33" s="433"/>
      <c r="C33" s="413"/>
      <c r="D33" s="413"/>
      <c r="E33" s="413"/>
      <c r="F33" s="436"/>
      <c r="G33" s="441">
        <f>SUM(G21:G32)</f>
        <v>77</v>
      </c>
      <c r="H33" s="434"/>
    </row>
    <row r="34" spans="2:8" ht="15.75" thickTop="1" x14ac:dyDescent="0.25">
      <c r="B34" s="433"/>
      <c r="C34" s="437" t="s">
        <v>73</v>
      </c>
      <c r="D34" s="413"/>
      <c r="E34" s="413"/>
      <c r="F34" s="413"/>
      <c r="G34" s="413"/>
      <c r="H34" s="434"/>
    </row>
    <row r="35" spans="2:8" x14ac:dyDescent="0.25">
      <c r="B35" s="433"/>
      <c r="C35" s="2249" t="s">
        <v>1883</v>
      </c>
      <c r="D35" s="2250"/>
      <c r="E35" s="2250"/>
      <c r="F35" s="2250"/>
      <c r="G35" s="2251"/>
      <c r="H35" s="434"/>
    </row>
    <row r="36" spans="2:8" x14ac:dyDescent="0.25">
      <c r="B36" s="433"/>
      <c r="C36" s="2252"/>
      <c r="D36" s="2253"/>
      <c r="E36" s="2253"/>
      <c r="F36" s="2253"/>
      <c r="G36" s="2254"/>
      <c r="H36" s="434"/>
    </row>
    <row r="37" spans="2:8" x14ac:dyDescent="0.25">
      <c r="B37" s="433"/>
      <c r="C37" s="2252"/>
      <c r="D37" s="2253"/>
      <c r="E37" s="2253"/>
      <c r="F37" s="2253"/>
      <c r="G37" s="2254"/>
      <c r="H37" s="434"/>
    </row>
    <row r="38" spans="2:8" x14ac:dyDescent="0.25">
      <c r="B38" s="433"/>
      <c r="C38" s="2252"/>
      <c r="D38" s="2253"/>
      <c r="E38" s="2253"/>
      <c r="F38" s="2253"/>
      <c r="G38" s="2254"/>
      <c r="H38" s="434"/>
    </row>
    <row r="39" spans="2:8" x14ac:dyDescent="0.25">
      <c r="B39" s="433"/>
      <c r="C39" s="2252"/>
      <c r="D39" s="2253"/>
      <c r="E39" s="2253"/>
      <c r="F39" s="2253"/>
      <c r="G39" s="2254"/>
      <c r="H39" s="434"/>
    </row>
    <row r="40" spans="2:8" x14ac:dyDescent="0.25">
      <c r="B40" s="433"/>
      <c r="C40" s="2252"/>
      <c r="D40" s="2253"/>
      <c r="E40" s="2253"/>
      <c r="F40" s="2253"/>
      <c r="G40" s="2254"/>
      <c r="H40" s="434"/>
    </row>
    <row r="41" spans="2:8" x14ac:dyDescent="0.25">
      <c r="B41" s="433"/>
      <c r="C41" s="2252"/>
      <c r="D41" s="2253"/>
      <c r="E41" s="2253"/>
      <c r="F41" s="2253"/>
      <c r="G41" s="2254"/>
      <c r="H41" s="434"/>
    </row>
    <row r="42" spans="2:8" x14ac:dyDescent="0.25">
      <c r="B42" s="433"/>
      <c r="C42" s="2252"/>
      <c r="D42" s="2253"/>
      <c r="E42" s="2253"/>
      <c r="F42" s="2253"/>
      <c r="G42" s="2254"/>
      <c r="H42" s="434"/>
    </row>
    <row r="43" spans="2:8" x14ac:dyDescent="0.25">
      <c r="B43" s="433"/>
      <c r="C43" s="2252"/>
      <c r="D43" s="2253"/>
      <c r="E43" s="2253"/>
      <c r="F43" s="2253"/>
      <c r="G43" s="2254"/>
      <c r="H43" s="434"/>
    </row>
    <row r="44" spans="2:8" x14ac:dyDescent="0.25">
      <c r="B44" s="433"/>
      <c r="C44" s="2252"/>
      <c r="D44" s="2253"/>
      <c r="E44" s="2253"/>
      <c r="F44" s="2253"/>
      <c r="G44" s="2254"/>
      <c r="H44" s="434"/>
    </row>
    <row r="45" spans="2:8" x14ac:dyDescent="0.25">
      <c r="B45" s="433"/>
      <c r="C45" s="2252"/>
      <c r="D45" s="2253"/>
      <c r="E45" s="2253"/>
      <c r="F45" s="2253"/>
      <c r="G45" s="2254"/>
      <c r="H45" s="434"/>
    </row>
    <row r="46" spans="2:8" x14ac:dyDescent="0.25">
      <c r="B46" s="433"/>
      <c r="C46" s="2252"/>
      <c r="D46" s="2253"/>
      <c r="E46" s="2253"/>
      <c r="F46" s="2253"/>
      <c r="G46" s="2254"/>
      <c r="H46" s="434"/>
    </row>
    <row r="47" spans="2:8" ht="9" customHeight="1" x14ac:dyDescent="0.25">
      <c r="B47" s="433"/>
      <c r="C47" s="2255"/>
      <c r="D47" s="2256"/>
      <c r="E47" s="2256"/>
      <c r="F47" s="2256"/>
      <c r="G47" s="2257"/>
      <c r="H47" s="434"/>
    </row>
    <row r="48" spans="2:8" ht="15.75" thickBot="1" x14ac:dyDescent="0.3">
      <c r="B48" s="438"/>
      <c r="C48" s="439"/>
      <c r="D48" s="439"/>
      <c r="E48" s="439"/>
      <c r="F48" s="439"/>
      <c r="G48" s="439"/>
      <c r="H48" s="440"/>
    </row>
  </sheetData>
  <sheetProtection algorithmName="SHA-512" hashValue="aWqve6DEYQgV+eJrS+gONCK8ZaTWWIHkSjkh8gwJ2H0tXRQ4TgKDhtIWTZ+uTHnhd7J/DLdEFxoRRQC09HI72w==" saltValue="93RLZ8KiIKqKOzj4uDBmFQ==" spinCount="100000" sheet="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2016
Version: 1.0</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topLeftCell="A11" zoomScaleNormal="100" workbookViewId="0">
      <selection activeCell="C28" sqref="C28:G33"/>
    </sheetView>
  </sheetViews>
  <sheetFormatPr defaultRowHeight="15" x14ac:dyDescent="0.25"/>
  <cols>
    <col min="1" max="1" width="1.7109375" style="402" customWidth="1"/>
    <col min="2" max="2" width="1.7109375" style="421" customWidth="1"/>
    <col min="3" max="3" width="32" style="402" customWidth="1"/>
    <col min="4" max="4" width="20" style="402" customWidth="1"/>
    <col min="5" max="5" width="11.42578125" style="402" customWidth="1"/>
    <col min="6" max="7" width="21.42578125" style="402" customWidth="1"/>
    <col min="8" max="8" width="1.7109375" style="421" customWidth="1"/>
    <col min="9" max="16384" width="9.140625" style="402"/>
  </cols>
  <sheetData>
    <row r="1" spans="2:8" ht="9" customHeight="1" thickBot="1" x14ac:dyDescent="0.3"/>
    <row r="2" spans="2:8" ht="9" customHeight="1" x14ac:dyDescent="0.25">
      <c r="B2" s="442"/>
      <c r="C2" s="443"/>
      <c r="D2" s="443"/>
      <c r="E2" s="443"/>
      <c r="F2" s="443"/>
      <c r="G2" s="1569"/>
      <c r="H2" s="444"/>
    </row>
    <row r="3" spans="2:8" ht="18.75" x14ac:dyDescent="0.3">
      <c r="B3" s="445"/>
      <c r="C3" s="2260" t="s">
        <v>74</v>
      </c>
      <c r="D3" s="2260"/>
      <c r="E3" s="2260"/>
      <c r="F3" s="2260"/>
      <c r="G3" s="2260"/>
      <c r="H3" s="446"/>
    </row>
    <row r="4" spans="2:8" x14ac:dyDescent="0.25">
      <c r="B4" s="445"/>
      <c r="C4" s="414"/>
      <c r="D4" s="414"/>
      <c r="E4" s="414"/>
      <c r="F4" s="414"/>
      <c r="G4" s="1976"/>
      <c r="H4" s="446"/>
    </row>
    <row r="5" spans="2:8" ht="15.75" thickBot="1" x14ac:dyDescent="0.3">
      <c r="B5" s="445"/>
      <c r="C5" s="2259" t="str">
        <f>IF('1'!G5="","Enter Project Name on Form 1",(CONCATENATE("Project Name: ",'1'!G5)))</f>
        <v>Project Name: Filipino Community Village</v>
      </c>
      <c r="D5" s="2259"/>
      <c r="E5" s="2259"/>
      <c r="F5" s="2259"/>
      <c r="G5" s="1976"/>
      <c r="H5" s="446"/>
    </row>
    <row r="6" spans="2:8" ht="15.75" thickBot="1" x14ac:dyDescent="0.3">
      <c r="B6" s="445"/>
      <c r="C6" s="414"/>
      <c r="D6" s="414"/>
      <c r="E6" s="414"/>
      <c r="F6" s="414"/>
      <c r="G6" s="1976"/>
      <c r="H6" s="446"/>
    </row>
    <row r="7" spans="2:8" ht="26.25" thickBot="1" x14ac:dyDescent="0.3">
      <c r="B7" s="445"/>
      <c r="C7" s="447" t="s">
        <v>75</v>
      </c>
      <c r="D7" s="1744" t="s">
        <v>76</v>
      </c>
      <c r="E7" s="1745" t="s">
        <v>77</v>
      </c>
      <c r="F7" s="1745" t="s">
        <v>78</v>
      </c>
      <c r="G7" s="1746" t="s">
        <v>511</v>
      </c>
      <c r="H7" s="446"/>
    </row>
    <row r="8" spans="2:8" ht="26.25" x14ac:dyDescent="0.25">
      <c r="B8" s="445"/>
      <c r="C8" s="1739" t="s">
        <v>79</v>
      </c>
      <c r="D8" s="1748"/>
      <c r="E8" s="1747"/>
      <c r="F8" s="1747"/>
      <c r="G8" s="1749"/>
      <c r="H8" s="446"/>
    </row>
    <row r="9" spans="2:8" x14ac:dyDescent="0.25">
      <c r="B9" s="445"/>
      <c r="C9" s="1742" t="s">
        <v>571</v>
      </c>
      <c r="D9" s="863">
        <v>21000</v>
      </c>
      <c r="E9" s="864">
        <v>1</v>
      </c>
      <c r="F9" s="865">
        <f>D9*E9</f>
        <v>21000</v>
      </c>
      <c r="G9" s="1750" t="s">
        <v>1884</v>
      </c>
      <c r="H9" s="446"/>
    </row>
    <row r="10" spans="2:8" x14ac:dyDescent="0.25">
      <c r="B10" s="445"/>
      <c r="C10" s="1743" t="s">
        <v>571</v>
      </c>
      <c r="D10" s="867">
        <v>54000</v>
      </c>
      <c r="E10" s="868">
        <v>1</v>
      </c>
      <c r="F10" s="869">
        <f t="shared" ref="F10:F24" si="0">D10*E10</f>
        <v>54000</v>
      </c>
      <c r="G10" s="1750" t="s">
        <v>1884</v>
      </c>
      <c r="H10" s="446"/>
    </row>
    <row r="11" spans="2:8" x14ac:dyDescent="0.25">
      <c r="B11" s="445"/>
      <c r="C11" s="1743" t="s">
        <v>572</v>
      </c>
      <c r="D11" s="867">
        <v>105000</v>
      </c>
      <c r="E11" s="868">
        <v>1</v>
      </c>
      <c r="F11" s="869">
        <f t="shared" si="0"/>
        <v>105000</v>
      </c>
      <c r="G11" s="1750" t="s">
        <v>1885</v>
      </c>
      <c r="H11" s="446"/>
    </row>
    <row r="12" spans="2:8" x14ac:dyDescent="0.25">
      <c r="B12" s="445"/>
      <c r="C12" s="1743" t="s">
        <v>572</v>
      </c>
      <c r="D12" s="867">
        <v>105000</v>
      </c>
      <c r="E12" s="868">
        <v>1</v>
      </c>
      <c r="F12" s="869">
        <f t="shared" si="0"/>
        <v>105000</v>
      </c>
      <c r="G12" s="1750" t="s">
        <v>1886</v>
      </c>
      <c r="H12" s="446"/>
    </row>
    <row r="13" spans="2:8" x14ac:dyDescent="0.25">
      <c r="B13" s="445"/>
      <c r="C13" s="1743"/>
      <c r="D13" s="867"/>
      <c r="E13" s="868"/>
      <c r="F13" s="869">
        <f t="shared" si="0"/>
        <v>0</v>
      </c>
      <c r="G13" s="1750"/>
      <c r="H13" s="446"/>
    </row>
    <row r="14" spans="2:8" x14ac:dyDescent="0.25">
      <c r="B14" s="445"/>
      <c r="C14" s="1743"/>
      <c r="D14" s="867"/>
      <c r="E14" s="868"/>
      <c r="F14" s="869">
        <f t="shared" si="0"/>
        <v>0</v>
      </c>
      <c r="G14" s="1750"/>
      <c r="H14" s="446"/>
    </row>
    <row r="15" spans="2:8" x14ac:dyDescent="0.25">
      <c r="B15" s="445"/>
      <c r="C15" s="1743"/>
      <c r="D15" s="867"/>
      <c r="E15" s="868"/>
      <c r="F15" s="869">
        <f t="shared" si="0"/>
        <v>0</v>
      </c>
      <c r="G15" s="1750"/>
      <c r="H15" s="446"/>
    </row>
    <row r="16" spans="2:8" x14ac:dyDescent="0.25">
      <c r="B16" s="445"/>
      <c r="C16" s="1743"/>
      <c r="D16" s="867"/>
      <c r="E16" s="868"/>
      <c r="F16" s="869">
        <f t="shared" si="0"/>
        <v>0</v>
      </c>
      <c r="G16" s="1750"/>
      <c r="H16" s="446"/>
    </row>
    <row r="17" spans="2:8" x14ac:dyDescent="0.25">
      <c r="B17" s="445"/>
      <c r="C17" s="1743"/>
      <c r="D17" s="867"/>
      <c r="E17" s="868"/>
      <c r="F17" s="869">
        <f t="shared" si="0"/>
        <v>0</v>
      </c>
      <c r="G17" s="1750"/>
      <c r="H17" s="446"/>
    </row>
    <row r="18" spans="2:8" x14ac:dyDescent="0.25">
      <c r="B18" s="445"/>
      <c r="C18" s="1743"/>
      <c r="D18" s="867"/>
      <c r="E18" s="868"/>
      <c r="F18" s="869">
        <f t="shared" si="0"/>
        <v>0</v>
      </c>
      <c r="G18" s="1750"/>
      <c r="H18" s="446"/>
    </row>
    <row r="19" spans="2:8" ht="3.75" customHeight="1" x14ac:dyDescent="0.25">
      <c r="B19" s="445"/>
      <c r="C19" s="1740"/>
      <c r="D19" s="1994"/>
      <c r="E19" s="1995"/>
      <c r="F19" s="1741">
        <f t="shared" si="0"/>
        <v>0</v>
      </c>
      <c r="G19" s="1741"/>
      <c r="H19" s="446"/>
    </row>
    <row r="20" spans="2:8" x14ac:dyDescent="0.25">
      <c r="B20" s="445"/>
      <c r="C20" s="866" t="s">
        <v>80</v>
      </c>
      <c r="D20" s="867"/>
      <c r="E20" s="868"/>
      <c r="F20" s="869">
        <f t="shared" si="0"/>
        <v>0</v>
      </c>
      <c r="G20" s="1750"/>
      <c r="H20" s="446"/>
    </row>
    <row r="21" spans="2:8" x14ac:dyDescent="0.25">
      <c r="B21" s="445"/>
      <c r="C21" s="866" t="s">
        <v>81</v>
      </c>
      <c r="D21" s="867">
        <v>6000</v>
      </c>
      <c r="E21" s="868">
        <v>1</v>
      </c>
      <c r="F21" s="869">
        <f t="shared" si="0"/>
        <v>6000</v>
      </c>
      <c r="G21" s="1750"/>
      <c r="H21" s="446"/>
    </row>
    <row r="22" spans="2:8" x14ac:dyDescent="0.25">
      <c r="B22" s="445"/>
      <c r="C22" s="866" t="s">
        <v>82</v>
      </c>
      <c r="D22" s="867"/>
      <c r="E22" s="868"/>
      <c r="F22" s="869">
        <f t="shared" si="0"/>
        <v>0</v>
      </c>
      <c r="G22" s="1750"/>
      <c r="H22" s="446"/>
    </row>
    <row r="23" spans="2:8" x14ac:dyDescent="0.25">
      <c r="B23" s="445"/>
      <c r="C23" s="866" t="s">
        <v>83</v>
      </c>
      <c r="D23" s="867"/>
      <c r="E23" s="868"/>
      <c r="F23" s="869">
        <f t="shared" si="0"/>
        <v>0</v>
      </c>
      <c r="G23" s="1750"/>
      <c r="H23" s="446"/>
    </row>
    <row r="24" spans="2:8" ht="15.75" thickBot="1" x14ac:dyDescent="0.3">
      <c r="B24" s="445"/>
      <c r="C24" s="872" t="s">
        <v>84</v>
      </c>
      <c r="D24" s="873"/>
      <c r="E24" s="870"/>
      <c r="F24" s="871">
        <f t="shared" si="0"/>
        <v>0</v>
      </c>
      <c r="G24" s="1752"/>
      <c r="H24" s="446"/>
    </row>
    <row r="25" spans="2:8" ht="16.5" thickTop="1" thickBot="1" x14ac:dyDescent="0.3">
      <c r="B25" s="445"/>
      <c r="C25" s="448" t="s">
        <v>85</v>
      </c>
      <c r="D25" s="449"/>
      <c r="E25" s="340">
        <f>SUM(E9:E24)</f>
        <v>5</v>
      </c>
      <c r="F25" s="146">
        <f>SUM(F9:F24)</f>
        <v>291000</v>
      </c>
      <c r="G25" s="1751"/>
      <c r="H25" s="446"/>
    </row>
    <row r="26" spans="2:8" s="421" customFormat="1" x14ac:dyDescent="0.25">
      <c r="B26" s="445"/>
      <c r="C26" s="450"/>
      <c r="D26" s="414"/>
      <c r="E26" s="414"/>
      <c r="F26" s="451" t="s">
        <v>34</v>
      </c>
      <c r="G26" s="1976"/>
      <c r="H26" s="446"/>
    </row>
    <row r="27" spans="2:8" s="421" customFormat="1" x14ac:dyDescent="0.25">
      <c r="B27" s="445"/>
      <c r="C27" s="414" t="s">
        <v>86</v>
      </c>
      <c r="D27" s="414"/>
      <c r="E27" s="414"/>
      <c r="F27" s="414"/>
      <c r="G27" s="1976"/>
      <c r="H27" s="446"/>
    </row>
    <row r="28" spans="2:8" x14ac:dyDescent="0.25">
      <c r="B28" s="445"/>
      <c r="C28" s="2261"/>
      <c r="D28" s="2262"/>
      <c r="E28" s="2262"/>
      <c r="F28" s="2262"/>
      <c r="G28" s="2263"/>
      <c r="H28" s="446"/>
    </row>
    <row r="29" spans="2:8" x14ac:dyDescent="0.25">
      <c r="B29" s="445"/>
      <c r="C29" s="2264"/>
      <c r="D29" s="2265"/>
      <c r="E29" s="2265"/>
      <c r="F29" s="2265"/>
      <c r="G29" s="2266"/>
      <c r="H29" s="446"/>
    </row>
    <row r="30" spans="2:8" x14ac:dyDescent="0.25">
      <c r="B30" s="445"/>
      <c r="C30" s="2264"/>
      <c r="D30" s="2265"/>
      <c r="E30" s="2265"/>
      <c r="F30" s="2265"/>
      <c r="G30" s="2266"/>
      <c r="H30" s="446"/>
    </row>
    <row r="31" spans="2:8" x14ac:dyDescent="0.25">
      <c r="B31" s="445"/>
      <c r="C31" s="2264"/>
      <c r="D31" s="2265"/>
      <c r="E31" s="2265"/>
      <c r="F31" s="2265"/>
      <c r="G31" s="2266"/>
      <c r="H31" s="446"/>
    </row>
    <row r="32" spans="2:8" x14ac:dyDescent="0.25">
      <c r="B32" s="445"/>
      <c r="C32" s="2264"/>
      <c r="D32" s="2265"/>
      <c r="E32" s="2265"/>
      <c r="F32" s="2265"/>
      <c r="G32" s="2266"/>
      <c r="H32" s="446"/>
    </row>
    <row r="33" spans="2:8" x14ac:dyDescent="0.25">
      <c r="B33" s="445"/>
      <c r="C33" s="2267"/>
      <c r="D33" s="2268"/>
      <c r="E33" s="2268"/>
      <c r="F33" s="2268"/>
      <c r="G33" s="2269"/>
      <c r="H33" s="446"/>
    </row>
    <row r="34" spans="2:8" ht="9" customHeight="1" thickBot="1" x14ac:dyDescent="0.3">
      <c r="B34" s="452"/>
      <c r="C34" s="453"/>
      <c r="D34" s="453"/>
      <c r="E34" s="453"/>
      <c r="F34" s="453"/>
      <c r="G34" s="1996"/>
      <c r="H34" s="454"/>
    </row>
  </sheetData>
  <sheetProtection algorithmName="SHA-512" hashValue="39CQd5k89mQ5tudo0UoGnJ2z0gDuzpbFkpodm78pwYGtr+n78hAy5HLyWS2VDWV9mWVaCLJsYuPwYwXNkjtaNg==" saltValue="m4irMbm+QdQ+iJ5zv0Qvkw==" spinCount="100000" sheet="1" formatCells="0" formatColumns="0" formatRows="0"/>
  <mergeCells count="3">
    <mergeCell ref="C5:F5"/>
    <mergeCell ref="C3:G3"/>
    <mergeCell ref="C28:G33"/>
  </mergeCells>
  <dataValidations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2016
Version: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77"/>
  <sheetViews>
    <sheetView showGridLines="0" topLeftCell="A51" zoomScaleNormal="100" workbookViewId="0">
      <selection activeCell="F60" sqref="F60"/>
    </sheetView>
  </sheetViews>
  <sheetFormatPr defaultRowHeight="15" x14ac:dyDescent="0.25"/>
  <cols>
    <col min="1" max="2" width="1.7109375" style="402" customWidth="1"/>
    <col min="3" max="3" width="29.140625" style="402" bestFit="1" customWidth="1"/>
    <col min="4" max="4" width="35.140625" style="402" bestFit="1" customWidth="1"/>
    <col min="5" max="5" width="20.5703125" style="402" bestFit="1" customWidth="1"/>
    <col min="6" max="6" width="42.85546875" style="402" customWidth="1"/>
    <col min="7" max="7" width="1.7109375" style="402" customWidth="1"/>
    <col min="8" max="16384" width="9.140625" style="402"/>
  </cols>
  <sheetData>
    <row r="10" spans="2:7" ht="9" customHeight="1" thickBot="1" x14ac:dyDescent="0.3"/>
    <row r="11" spans="2:7" ht="9" customHeight="1" x14ac:dyDescent="0.25">
      <c r="B11" s="8"/>
      <c r="C11" s="9"/>
      <c r="D11" s="9"/>
      <c r="E11" s="9"/>
      <c r="F11" s="9"/>
      <c r="G11" s="10"/>
    </row>
    <row r="12" spans="2:7" ht="18.75" x14ac:dyDescent="0.3">
      <c r="B12" s="11"/>
      <c r="C12" s="2270" t="s">
        <v>87</v>
      </c>
      <c r="D12" s="2270"/>
      <c r="E12" s="2270"/>
      <c r="F12" s="2270"/>
      <c r="G12" s="12"/>
    </row>
    <row r="13" spans="2:7" x14ac:dyDescent="0.25">
      <c r="B13" s="4"/>
      <c r="C13" s="2"/>
      <c r="D13" s="2"/>
      <c r="E13" s="1"/>
      <c r="F13" s="1"/>
      <c r="G13" s="3"/>
    </row>
    <row r="14" spans="2:7" ht="15.75" thickBot="1" x14ac:dyDescent="0.3">
      <c r="B14" s="4"/>
      <c r="C14" s="2259" t="str">
        <f>IF('1'!G5="","Enter Project Name on Form 1",(CONCATENATE("Project Name: ",'1'!G5)))</f>
        <v>Project Name: Filipino Community Village</v>
      </c>
      <c r="D14" s="2259"/>
      <c r="E14" s="2259"/>
      <c r="F14" s="1"/>
      <c r="G14" s="3"/>
    </row>
    <row r="15" spans="2:7" ht="15.75" thickBot="1" x14ac:dyDescent="0.3">
      <c r="B15" s="4"/>
      <c r="C15" s="455"/>
      <c r="D15" s="413"/>
      <c r="E15" s="413"/>
      <c r="F15" s="147"/>
      <c r="G15" s="3"/>
    </row>
    <row r="16" spans="2:7" ht="26.25" thickBot="1" x14ac:dyDescent="0.3">
      <c r="B16" s="4"/>
      <c r="C16" s="1098" t="s">
        <v>88</v>
      </c>
      <c r="D16" s="148" t="s">
        <v>89</v>
      </c>
      <c r="E16" s="149" t="s">
        <v>502</v>
      </c>
      <c r="F16" s="150" t="s">
        <v>647</v>
      </c>
      <c r="G16" s="3"/>
    </row>
    <row r="17" spans="2:7" x14ac:dyDescent="0.25">
      <c r="B17" s="4"/>
      <c r="C17" s="1099" t="s">
        <v>90</v>
      </c>
      <c r="D17" s="874" t="s">
        <v>91</v>
      </c>
      <c r="E17" s="1758"/>
      <c r="F17" s="875" t="s">
        <v>92</v>
      </c>
      <c r="G17" s="3"/>
    </row>
    <row r="18" spans="2:7" ht="25.5" x14ac:dyDescent="0.25">
      <c r="B18" s="4"/>
      <c r="C18" s="1093" t="s">
        <v>93</v>
      </c>
      <c r="D18" s="1033" t="s">
        <v>94</v>
      </c>
      <c r="E18" s="879"/>
      <c r="F18" s="877" t="s">
        <v>95</v>
      </c>
      <c r="G18" s="3"/>
    </row>
    <row r="19" spans="2:7" x14ac:dyDescent="0.25">
      <c r="B19" s="4"/>
      <c r="C19" s="1093" t="s">
        <v>93</v>
      </c>
      <c r="D19" s="876" t="s">
        <v>96</v>
      </c>
      <c r="E19" s="879">
        <v>40893</v>
      </c>
      <c r="F19" s="877" t="s">
        <v>1887</v>
      </c>
      <c r="G19" s="3"/>
    </row>
    <row r="20" spans="2:7" x14ac:dyDescent="0.25">
      <c r="B20" s="4"/>
      <c r="C20" s="1093"/>
      <c r="D20" s="1033"/>
      <c r="E20" s="879"/>
      <c r="F20" s="878"/>
      <c r="G20" s="3"/>
    </row>
    <row r="21" spans="2:7" x14ac:dyDescent="0.25">
      <c r="B21" s="4"/>
      <c r="C21" s="1100" t="s">
        <v>97</v>
      </c>
      <c r="D21" s="1033" t="s">
        <v>98</v>
      </c>
      <c r="E21" s="879">
        <v>42836</v>
      </c>
      <c r="F21" s="877" t="s">
        <v>99</v>
      </c>
      <c r="G21" s="3"/>
    </row>
    <row r="22" spans="2:7" x14ac:dyDescent="0.25">
      <c r="B22" s="4"/>
      <c r="C22" s="1093" t="s">
        <v>97</v>
      </c>
      <c r="D22" s="1033" t="s">
        <v>100</v>
      </c>
      <c r="E22" s="879">
        <v>42976</v>
      </c>
      <c r="F22" s="878"/>
      <c r="G22" s="3"/>
    </row>
    <row r="23" spans="2:7" x14ac:dyDescent="0.25">
      <c r="B23" s="4"/>
      <c r="C23" s="1093" t="s">
        <v>97</v>
      </c>
      <c r="D23" s="1033" t="s">
        <v>101</v>
      </c>
      <c r="E23" s="2122">
        <v>42985</v>
      </c>
      <c r="F23" s="878"/>
      <c r="G23" s="3"/>
    </row>
    <row r="24" spans="2:7" x14ac:dyDescent="0.25">
      <c r="B24" s="4"/>
      <c r="C24" s="1093" t="s">
        <v>97</v>
      </c>
      <c r="D24" s="876" t="s">
        <v>102</v>
      </c>
      <c r="E24" s="879"/>
      <c r="F24" s="878"/>
      <c r="G24" s="3"/>
    </row>
    <row r="25" spans="2:7" x14ac:dyDescent="0.25">
      <c r="B25" s="4"/>
      <c r="C25" s="1093" t="s">
        <v>97</v>
      </c>
      <c r="D25" s="876" t="s">
        <v>103</v>
      </c>
      <c r="E25" s="879">
        <v>43160</v>
      </c>
      <c r="F25" s="878"/>
      <c r="G25" s="3"/>
    </row>
    <row r="26" spans="2:7" x14ac:dyDescent="0.25">
      <c r="B26" s="4"/>
      <c r="C26" s="1093" t="s">
        <v>97</v>
      </c>
      <c r="D26" s="876" t="s">
        <v>104</v>
      </c>
      <c r="E26" s="879">
        <v>43252</v>
      </c>
      <c r="F26" s="878"/>
      <c r="G26" s="3"/>
    </row>
    <row r="27" spans="2:7" x14ac:dyDescent="0.25">
      <c r="B27" s="4"/>
      <c r="C27" s="1093" t="s">
        <v>97</v>
      </c>
      <c r="D27" s="876" t="s">
        <v>105</v>
      </c>
      <c r="E27" s="879">
        <v>43252</v>
      </c>
      <c r="F27" s="878"/>
      <c r="G27" s="3"/>
    </row>
    <row r="28" spans="2:7" x14ac:dyDescent="0.25">
      <c r="B28" s="4"/>
      <c r="C28" s="1093" t="s">
        <v>97</v>
      </c>
      <c r="D28" s="876" t="s">
        <v>106</v>
      </c>
      <c r="E28" s="879"/>
      <c r="F28" s="878"/>
      <c r="G28" s="3"/>
    </row>
    <row r="29" spans="2:7" x14ac:dyDescent="0.25">
      <c r="B29" s="4"/>
      <c r="C29" s="1093" t="s">
        <v>97</v>
      </c>
      <c r="D29" s="876" t="s">
        <v>107</v>
      </c>
      <c r="E29" s="879">
        <v>42948</v>
      </c>
      <c r="F29" s="880"/>
      <c r="G29" s="3"/>
    </row>
    <row r="30" spans="2:7" x14ac:dyDescent="0.25">
      <c r="B30" s="4"/>
      <c r="C30" s="1093" t="s">
        <v>97</v>
      </c>
      <c r="D30" s="876" t="s">
        <v>108</v>
      </c>
      <c r="E30" s="879">
        <v>43374</v>
      </c>
      <c r="F30" s="880"/>
      <c r="G30" s="3"/>
    </row>
    <row r="31" spans="2:7" x14ac:dyDescent="0.25">
      <c r="B31" s="4"/>
      <c r="C31" s="1100"/>
      <c r="D31" s="876"/>
      <c r="E31" s="879"/>
      <c r="F31" s="880"/>
      <c r="G31" s="3"/>
    </row>
    <row r="32" spans="2:7" x14ac:dyDescent="0.25">
      <c r="B32" s="4"/>
      <c r="C32" s="1100" t="s">
        <v>109</v>
      </c>
      <c r="D32" s="876" t="s">
        <v>110</v>
      </c>
      <c r="E32" s="879">
        <v>42984</v>
      </c>
      <c r="F32" s="880"/>
      <c r="G32" s="3"/>
    </row>
    <row r="33" spans="2:7" x14ac:dyDescent="0.25">
      <c r="B33" s="4"/>
      <c r="C33" s="1100" t="s">
        <v>109</v>
      </c>
      <c r="D33" s="876" t="s">
        <v>111</v>
      </c>
      <c r="E33" s="879"/>
      <c r="F33" s="880"/>
      <c r="G33" s="3"/>
    </row>
    <row r="34" spans="2:7" x14ac:dyDescent="0.25">
      <c r="B34" s="4"/>
      <c r="C34" s="1100" t="s">
        <v>109</v>
      </c>
      <c r="D34" s="876" t="s">
        <v>112</v>
      </c>
      <c r="E34" s="879">
        <v>42986</v>
      </c>
      <c r="F34" s="880"/>
      <c r="G34" s="3"/>
    </row>
    <row r="35" spans="2:7" x14ac:dyDescent="0.25">
      <c r="B35" s="4"/>
      <c r="C35" s="1100" t="s">
        <v>109</v>
      </c>
      <c r="D35" s="876" t="s">
        <v>113</v>
      </c>
      <c r="E35" s="879">
        <v>43160</v>
      </c>
      <c r="F35" s="880"/>
      <c r="G35" s="3"/>
    </row>
    <row r="36" spans="2:7" x14ac:dyDescent="0.25">
      <c r="B36" s="4"/>
      <c r="C36" s="1100" t="s">
        <v>109</v>
      </c>
      <c r="D36" s="876" t="s">
        <v>114</v>
      </c>
      <c r="E36" s="879">
        <v>43160</v>
      </c>
      <c r="F36" s="880"/>
      <c r="G36" s="3"/>
    </row>
    <row r="37" spans="2:7" x14ac:dyDescent="0.25">
      <c r="B37" s="4"/>
      <c r="C37" s="1100" t="s">
        <v>109</v>
      </c>
      <c r="D37" s="1033" t="s">
        <v>115</v>
      </c>
      <c r="E37" s="879">
        <v>43252</v>
      </c>
      <c r="F37" s="880"/>
      <c r="G37" s="3"/>
    </row>
    <row r="38" spans="2:7" x14ac:dyDescent="0.25">
      <c r="B38" s="4"/>
      <c r="C38" s="1100" t="s">
        <v>109</v>
      </c>
      <c r="D38" s="1033" t="s">
        <v>116</v>
      </c>
      <c r="E38" s="879">
        <v>43282</v>
      </c>
      <c r="F38" s="880"/>
      <c r="G38" s="3"/>
    </row>
    <row r="39" spans="2:7" x14ac:dyDescent="0.25">
      <c r="B39" s="4"/>
      <c r="C39" s="1100" t="s">
        <v>109</v>
      </c>
      <c r="D39" s="1033" t="s">
        <v>117</v>
      </c>
      <c r="E39" s="879">
        <v>43374</v>
      </c>
      <c r="F39" s="880"/>
      <c r="G39" s="3"/>
    </row>
    <row r="40" spans="2:7" x14ac:dyDescent="0.25">
      <c r="B40" s="4"/>
      <c r="C40" s="1100"/>
      <c r="D40" s="1033"/>
      <c r="E40" s="879"/>
      <c r="F40" s="880"/>
      <c r="G40" s="3"/>
    </row>
    <row r="41" spans="2:7" x14ac:dyDescent="0.25">
      <c r="B41" s="4"/>
      <c r="C41" s="1093" t="s">
        <v>118</v>
      </c>
      <c r="D41" s="1033" t="s">
        <v>119</v>
      </c>
      <c r="E41" s="879">
        <v>43252</v>
      </c>
      <c r="F41" s="880"/>
      <c r="G41" s="3"/>
    </row>
    <row r="42" spans="2:7" x14ac:dyDescent="0.25">
      <c r="B42" s="4"/>
      <c r="C42" s="1101" t="s">
        <v>120</v>
      </c>
      <c r="D42" s="881" t="s">
        <v>121</v>
      </c>
      <c r="E42" s="879">
        <v>42948</v>
      </c>
      <c r="F42" s="882"/>
      <c r="G42" s="3"/>
    </row>
    <row r="43" spans="2:7" x14ac:dyDescent="0.25">
      <c r="B43" s="4"/>
      <c r="C43" s="1093" t="s">
        <v>118</v>
      </c>
      <c r="D43" s="881" t="s">
        <v>122</v>
      </c>
      <c r="E43" s="879">
        <v>42990</v>
      </c>
      <c r="F43" s="880" t="s">
        <v>1888</v>
      </c>
      <c r="G43" s="3"/>
    </row>
    <row r="44" spans="2:7" x14ac:dyDescent="0.25">
      <c r="B44" s="4"/>
      <c r="C44" s="1093" t="s">
        <v>118</v>
      </c>
      <c r="D44" s="881" t="s">
        <v>122</v>
      </c>
      <c r="E44" s="879">
        <v>43017</v>
      </c>
      <c r="F44" s="880" t="s">
        <v>1889</v>
      </c>
      <c r="G44" s="3"/>
    </row>
    <row r="45" spans="2:7" x14ac:dyDescent="0.25">
      <c r="B45" s="4"/>
      <c r="C45" s="1093" t="s">
        <v>118</v>
      </c>
      <c r="D45" s="881" t="s">
        <v>122</v>
      </c>
      <c r="E45" s="879">
        <v>43191</v>
      </c>
      <c r="F45" s="880" t="s">
        <v>1890</v>
      </c>
      <c r="G45" s="3"/>
    </row>
    <row r="46" spans="2:7" x14ac:dyDescent="0.25">
      <c r="B46" s="4"/>
      <c r="C46" s="1093" t="s">
        <v>120</v>
      </c>
      <c r="D46" s="881" t="s">
        <v>678</v>
      </c>
      <c r="E46" s="879"/>
      <c r="F46" s="880"/>
      <c r="G46" s="3"/>
    </row>
    <row r="47" spans="2:7" x14ac:dyDescent="0.25">
      <c r="B47" s="4"/>
      <c r="C47" s="1093" t="s">
        <v>118</v>
      </c>
      <c r="D47" s="1033" t="s">
        <v>123</v>
      </c>
      <c r="E47" s="879">
        <v>42962</v>
      </c>
      <c r="F47" s="880"/>
      <c r="G47" s="3"/>
    </row>
    <row r="48" spans="2:7" x14ac:dyDescent="0.25">
      <c r="B48" s="4"/>
      <c r="C48" s="1093" t="s">
        <v>118</v>
      </c>
      <c r="D48" s="876" t="s">
        <v>124</v>
      </c>
      <c r="E48" s="879">
        <v>43282</v>
      </c>
      <c r="F48" s="880"/>
      <c r="G48" s="3"/>
    </row>
    <row r="49" spans="2:7" x14ac:dyDescent="0.25">
      <c r="B49" s="4"/>
      <c r="C49" s="1101" t="s">
        <v>120</v>
      </c>
      <c r="D49" s="881" t="s">
        <v>677</v>
      </c>
      <c r="E49" s="879"/>
      <c r="F49" s="883"/>
      <c r="G49" s="3"/>
    </row>
    <row r="50" spans="2:7" x14ac:dyDescent="0.25">
      <c r="B50" s="4"/>
      <c r="C50" s="1093" t="s">
        <v>118</v>
      </c>
      <c r="D50" s="876" t="s">
        <v>125</v>
      </c>
      <c r="E50" s="879">
        <v>43084</v>
      </c>
      <c r="F50" s="880" t="s">
        <v>1888</v>
      </c>
      <c r="G50" s="3"/>
    </row>
    <row r="51" spans="2:7" x14ac:dyDescent="0.25">
      <c r="B51" s="4"/>
      <c r="C51" s="1093" t="s">
        <v>118</v>
      </c>
      <c r="D51" s="1033" t="s">
        <v>125</v>
      </c>
      <c r="E51" s="879">
        <v>43084</v>
      </c>
      <c r="F51" s="880" t="s">
        <v>1889</v>
      </c>
      <c r="G51" s="3"/>
    </row>
    <row r="52" spans="2:7" x14ac:dyDescent="0.25">
      <c r="B52" s="4"/>
      <c r="C52" s="1093" t="s">
        <v>118</v>
      </c>
      <c r="D52" s="876" t="s">
        <v>125</v>
      </c>
      <c r="E52" s="879">
        <v>43252</v>
      </c>
      <c r="F52" s="880" t="s">
        <v>1890</v>
      </c>
      <c r="G52" s="3"/>
    </row>
    <row r="53" spans="2:7" x14ac:dyDescent="0.25">
      <c r="B53" s="4"/>
      <c r="C53" s="1093" t="s">
        <v>118</v>
      </c>
      <c r="D53" s="876" t="s">
        <v>126</v>
      </c>
      <c r="E53" s="879">
        <v>43449</v>
      </c>
      <c r="F53" s="880"/>
      <c r="G53" s="3"/>
    </row>
    <row r="54" spans="2:7" x14ac:dyDescent="0.25">
      <c r="B54" s="4"/>
      <c r="C54" s="1093" t="s">
        <v>118</v>
      </c>
      <c r="D54" s="1033" t="s">
        <v>679</v>
      </c>
      <c r="E54" s="879">
        <v>44165</v>
      </c>
      <c r="F54" s="880" t="s">
        <v>2141</v>
      </c>
      <c r="G54" s="3"/>
    </row>
    <row r="55" spans="2:7" x14ac:dyDescent="0.25">
      <c r="B55" s="4"/>
      <c r="C55" s="1093"/>
      <c r="D55" s="1033"/>
      <c r="E55" s="879"/>
      <c r="F55" s="880"/>
      <c r="G55" s="3"/>
    </row>
    <row r="56" spans="2:7" x14ac:dyDescent="0.25">
      <c r="B56" s="4"/>
      <c r="C56" s="1093" t="s">
        <v>127</v>
      </c>
      <c r="D56" s="876" t="s">
        <v>128</v>
      </c>
      <c r="E56" s="879">
        <v>42887</v>
      </c>
      <c r="F56" s="880"/>
      <c r="G56" s="3"/>
    </row>
    <row r="57" spans="2:7" x14ac:dyDescent="0.25">
      <c r="B57" s="4"/>
      <c r="C57" s="1093" t="s">
        <v>127</v>
      </c>
      <c r="D57" s="1033" t="s">
        <v>129</v>
      </c>
      <c r="E57" s="879">
        <v>42931</v>
      </c>
      <c r="F57" s="880"/>
      <c r="G57" s="3"/>
    </row>
    <row r="58" spans="2:7" x14ac:dyDescent="0.25">
      <c r="B58" s="4"/>
      <c r="C58" s="1093" t="s">
        <v>127</v>
      </c>
      <c r="D58" s="876" t="s">
        <v>130</v>
      </c>
      <c r="E58" s="2122">
        <v>43169</v>
      </c>
      <c r="F58" s="880"/>
      <c r="G58" s="3"/>
    </row>
    <row r="59" spans="2:7" x14ac:dyDescent="0.25">
      <c r="B59" s="4"/>
      <c r="C59" s="1093" t="s">
        <v>127</v>
      </c>
      <c r="D59" s="876" t="s">
        <v>131</v>
      </c>
      <c r="E59" s="2122">
        <v>43266</v>
      </c>
      <c r="F59" s="880"/>
      <c r="G59" s="3"/>
    </row>
    <row r="60" spans="2:7" x14ac:dyDescent="0.25">
      <c r="B60" s="4"/>
      <c r="C60" s="1093" t="s">
        <v>127</v>
      </c>
      <c r="D60" s="1033" t="s">
        <v>132</v>
      </c>
      <c r="E60" s="2122">
        <v>43449</v>
      </c>
      <c r="F60" s="878"/>
      <c r="G60" s="3"/>
    </row>
    <row r="61" spans="2:7" ht="15" customHeight="1" x14ac:dyDescent="0.25">
      <c r="B61" s="4"/>
      <c r="C61" s="1093" t="s">
        <v>127</v>
      </c>
      <c r="D61" s="1033" t="s">
        <v>133</v>
      </c>
      <c r="E61" s="879">
        <v>43374</v>
      </c>
      <c r="F61" s="878"/>
      <c r="G61" s="3"/>
    </row>
    <row r="62" spans="2:7" ht="15.75" customHeight="1" x14ac:dyDescent="0.25">
      <c r="B62" s="13"/>
      <c r="C62" s="1093" t="s">
        <v>127</v>
      </c>
      <c r="D62" s="1033" t="s">
        <v>134</v>
      </c>
      <c r="E62" s="879">
        <v>43419</v>
      </c>
      <c r="F62" s="878"/>
      <c r="G62" s="14"/>
    </row>
    <row r="63" spans="2:7" x14ac:dyDescent="0.25">
      <c r="B63" s="4"/>
      <c r="C63" s="1093" t="s">
        <v>135</v>
      </c>
      <c r="D63" s="1033" t="s">
        <v>136</v>
      </c>
      <c r="E63" s="879">
        <v>43205</v>
      </c>
      <c r="F63" s="878"/>
      <c r="G63" s="3"/>
    </row>
    <row r="64" spans="2:7" x14ac:dyDescent="0.25">
      <c r="B64" s="4"/>
      <c r="C64" s="1093" t="s">
        <v>135</v>
      </c>
      <c r="D64" s="1033" t="s">
        <v>680</v>
      </c>
      <c r="E64" s="879">
        <v>43480</v>
      </c>
      <c r="F64" s="878"/>
      <c r="G64" s="3"/>
    </row>
    <row r="65" spans="2:7" x14ac:dyDescent="0.25">
      <c r="B65" s="4"/>
      <c r="C65" s="1093" t="s">
        <v>135</v>
      </c>
      <c r="D65" s="1033" t="s">
        <v>137</v>
      </c>
      <c r="E65" s="879">
        <v>43905</v>
      </c>
      <c r="F65" s="878"/>
      <c r="G65" s="3"/>
    </row>
    <row r="66" spans="2:7" x14ac:dyDescent="0.25">
      <c r="B66" s="4"/>
      <c r="C66" s="1093"/>
      <c r="D66" s="1033"/>
      <c r="E66" s="879"/>
      <c r="F66" s="878"/>
      <c r="G66" s="3"/>
    </row>
    <row r="67" spans="2:7" x14ac:dyDescent="0.25">
      <c r="B67" s="4"/>
      <c r="C67" s="1093" t="s">
        <v>138</v>
      </c>
      <c r="D67" s="1033" t="s">
        <v>139</v>
      </c>
      <c r="E67" s="879">
        <v>42887</v>
      </c>
      <c r="F67" s="878"/>
      <c r="G67" s="3"/>
    </row>
    <row r="68" spans="2:7" x14ac:dyDescent="0.25">
      <c r="B68" s="4"/>
      <c r="C68" s="1093" t="s">
        <v>138</v>
      </c>
      <c r="D68" s="1033" t="s">
        <v>140</v>
      </c>
      <c r="E68" s="879"/>
      <c r="F68" s="878"/>
      <c r="G68" s="3"/>
    </row>
    <row r="69" spans="2:7" x14ac:dyDescent="0.25">
      <c r="B69" s="4"/>
      <c r="C69" s="1093" t="s">
        <v>138</v>
      </c>
      <c r="D69" s="1033" t="s">
        <v>141</v>
      </c>
      <c r="E69" s="879">
        <v>43905</v>
      </c>
      <c r="F69" s="878"/>
      <c r="G69" s="3"/>
    </row>
    <row r="70" spans="2:7" x14ac:dyDescent="0.25">
      <c r="B70" s="4"/>
      <c r="C70" s="1093" t="s">
        <v>138</v>
      </c>
      <c r="D70" s="1033" t="s">
        <v>142</v>
      </c>
      <c r="E70" s="879">
        <v>44058</v>
      </c>
      <c r="F70" s="878" t="s">
        <v>2140</v>
      </c>
      <c r="G70" s="3"/>
    </row>
    <row r="71" spans="2:7" x14ac:dyDescent="0.25">
      <c r="B71" s="4"/>
      <c r="C71" s="1093" t="s">
        <v>138</v>
      </c>
      <c r="D71" s="1033" t="s">
        <v>143</v>
      </c>
      <c r="E71" s="879">
        <v>43905</v>
      </c>
      <c r="F71" s="878"/>
      <c r="G71" s="3"/>
    </row>
    <row r="72" spans="2:7" x14ac:dyDescent="0.25">
      <c r="B72" s="4"/>
      <c r="C72" s="1093" t="s">
        <v>138</v>
      </c>
      <c r="D72" s="1033" t="s">
        <v>144</v>
      </c>
      <c r="E72" s="879">
        <v>43905</v>
      </c>
      <c r="F72" s="878"/>
      <c r="G72" s="3"/>
    </row>
    <row r="73" spans="2:7" ht="25.5" x14ac:dyDescent="0.25">
      <c r="B73" s="4"/>
      <c r="C73" s="1093" t="s">
        <v>138</v>
      </c>
      <c r="D73" s="1032" t="s">
        <v>145</v>
      </c>
      <c r="E73" s="879">
        <v>43981</v>
      </c>
      <c r="F73" s="878"/>
      <c r="G73" s="3"/>
    </row>
    <row r="74" spans="2:7" x14ac:dyDescent="0.25">
      <c r="B74" s="4"/>
      <c r="C74" s="1093" t="s">
        <v>138</v>
      </c>
      <c r="D74" s="1033" t="s">
        <v>146</v>
      </c>
      <c r="E74" s="2136">
        <v>2020</v>
      </c>
      <c r="F74" s="878"/>
      <c r="G74" s="3"/>
    </row>
    <row r="75" spans="2:7" x14ac:dyDescent="0.25">
      <c r="B75" s="4"/>
      <c r="C75" s="1297" t="s">
        <v>138</v>
      </c>
      <c r="D75" s="1298" t="s">
        <v>676</v>
      </c>
      <c r="E75" s="879"/>
      <c r="F75" s="1299"/>
      <c r="G75" s="3"/>
    </row>
    <row r="76" spans="2:7" ht="15.75" thickBot="1" x14ac:dyDescent="0.3">
      <c r="B76" s="4"/>
      <c r="C76" s="1094"/>
      <c r="D76" s="1090"/>
      <c r="E76" s="1759"/>
      <c r="F76" s="1091"/>
      <c r="G76" s="3"/>
    </row>
    <row r="77" spans="2:7" ht="9" customHeight="1" thickBot="1" x14ac:dyDescent="0.3">
      <c r="B77" s="5"/>
      <c r="C77" s="6"/>
      <c r="D77" s="6"/>
      <c r="E77" s="6"/>
      <c r="F77" s="6"/>
      <c r="G77" s="7"/>
    </row>
  </sheetData>
  <sheetProtection formatCells="0" formatColumns="0" formatRows="0" insertRows="0"/>
  <autoFilter ref="C16:F74"/>
  <mergeCells count="2">
    <mergeCell ref="C12:F12"/>
    <mergeCell ref="C14:E14"/>
  </mergeCells>
  <dataValidations count="1">
    <dataValidation type="date" allowBlank="1" showInputMessage="1" showErrorMessage="1" errorTitle="Date Format" error="Please enter a date in the MM/DD/YYYY format" sqref="E17:E76">
      <formula1>1</formula1>
      <formula2>402133</formula2>
    </dataValidation>
  </dataValidations>
  <pageMargins left="0.7" right="0.7" top="0.75" bottom="0.75" header="0.3" footer="0.3"/>
  <pageSetup scale="72" orientation="portrait" r:id="rId1"/>
  <headerFooter>
    <oddFooter>&amp;LForm 5
Project Schedule&amp;CCFA Forms&amp;REdition: 2016
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V127"/>
  <sheetViews>
    <sheetView showGridLines="0" topLeftCell="B91" zoomScale="115" zoomScaleNormal="115" zoomScaleSheetLayoutView="100" workbookViewId="0">
      <selection activeCell="J100" sqref="J100:J101"/>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7.85546875" style="402" customWidth="1"/>
    <col min="10" max="11" width="11.42578125" style="402" customWidth="1"/>
    <col min="12" max="13" width="9.7109375" style="402" bestFit="1" customWidth="1"/>
    <col min="14" max="14" width="10.5703125" style="402" bestFit="1" customWidth="1"/>
    <col min="15" max="16" width="9.7109375" style="402" bestFit="1" customWidth="1"/>
    <col min="17" max="17" width="9.28515625" style="402" bestFit="1" customWidth="1"/>
    <col min="18" max="18" width="0.7109375" style="402" customWidth="1"/>
    <col min="19" max="19" width="10.85546875" style="402" customWidth="1"/>
    <col min="20" max="20" width="9.7109375" style="402" bestFit="1" customWidth="1"/>
    <col min="21" max="21" width="9.5703125" style="402" bestFit="1" customWidth="1"/>
    <col min="22" max="22" width="1.7109375" style="402" customWidth="1"/>
    <col min="23" max="16384" width="9.140625" style="402"/>
  </cols>
  <sheetData>
    <row r="11" spans="2:22" ht="9" customHeight="1" thickBot="1" x14ac:dyDescent="0.3"/>
    <row r="12" spans="2:22" ht="9" customHeight="1" x14ac:dyDescent="0.25">
      <c r="B12" s="456"/>
      <c r="C12" s="457"/>
      <c r="D12" s="457"/>
      <c r="E12" s="457"/>
      <c r="F12" s="457"/>
      <c r="G12" s="457"/>
      <c r="H12" s="457"/>
      <c r="I12" s="408"/>
      <c r="J12" s="408"/>
      <c r="K12" s="408"/>
      <c r="L12" s="408"/>
      <c r="M12" s="457"/>
      <c r="N12" s="457"/>
      <c r="O12" s="26"/>
      <c r="P12" s="26"/>
      <c r="Q12" s="26"/>
      <c r="R12" s="26"/>
      <c r="S12" s="26"/>
      <c r="T12" s="26"/>
      <c r="U12" s="26"/>
      <c r="V12" s="27"/>
    </row>
    <row r="13" spans="2:22" ht="18.75" x14ac:dyDescent="0.3">
      <c r="B13" s="458"/>
      <c r="C13" s="2144" t="s">
        <v>147</v>
      </c>
      <c r="D13" s="2144"/>
      <c r="E13" s="2144"/>
      <c r="F13" s="2144"/>
      <c r="G13" s="2144"/>
      <c r="H13" s="2144"/>
      <c r="I13" s="2144"/>
      <c r="J13" s="2144"/>
      <c r="K13" s="2144"/>
      <c r="L13" s="2144"/>
      <c r="M13" s="2144"/>
      <c r="N13" s="2144"/>
      <c r="O13" s="2144"/>
      <c r="P13" s="2144"/>
      <c r="Q13" s="2144"/>
      <c r="R13" s="2144"/>
      <c r="S13" s="2144"/>
      <c r="T13" s="2144"/>
      <c r="U13" s="2144"/>
      <c r="V13" s="33"/>
    </row>
    <row r="14" spans="2:22" ht="15" customHeight="1" x14ac:dyDescent="0.25">
      <c r="B14" s="458"/>
      <c r="C14" s="68"/>
      <c r="D14" s="68"/>
      <c r="E14" s="68"/>
      <c r="F14" s="68"/>
      <c r="G14" s="68"/>
      <c r="H14" s="68"/>
      <c r="I14" s="413"/>
      <c r="J14" s="1976"/>
      <c r="K14" s="413"/>
      <c r="L14" s="413"/>
      <c r="M14" s="68"/>
      <c r="N14" s="68"/>
      <c r="O14" s="18"/>
      <c r="P14" s="18"/>
      <c r="Q14" s="18"/>
      <c r="R14" s="18"/>
      <c r="S14" s="18"/>
      <c r="T14" s="18"/>
      <c r="U14" s="18"/>
      <c r="V14" s="33"/>
    </row>
    <row r="15" spans="2:22" ht="15.75" thickBot="1" x14ac:dyDescent="0.3">
      <c r="B15" s="459"/>
      <c r="C15" s="2288" t="str">
        <f>IF('1'!G5="","Enter Project Name on Form 1",(CONCATENATE("Project Name: ",'1'!G5)))</f>
        <v>Project Name: Filipino Community Village</v>
      </c>
      <c r="D15" s="2288"/>
      <c r="E15" s="2288"/>
      <c r="F15" s="2288"/>
      <c r="G15" s="2288"/>
      <c r="H15" s="2288"/>
      <c r="I15" s="2288"/>
      <c r="J15" s="2288"/>
      <c r="K15" s="2288"/>
      <c r="L15" s="2288"/>
      <c r="M15" s="2288"/>
      <c r="N15" s="2288"/>
      <c r="O15" s="45"/>
      <c r="P15" s="45"/>
      <c r="Q15" s="45"/>
      <c r="R15" s="45"/>
      <c r="S15" s="68"/>
      <c r="T15" s="68"/>
      <c r="U15" s="68"/>
      <c r="V15" s="461"/>
    </row>
    <row r="16" spans="2:22" ht="7.5" customHeight="1" thickBot="1" x14ac:dyDescent="0.3">
      <c r="B16" s="459"/>
      <c r="C16" s="45"/>
      <c r="D16" s="17"/>
      <c r="E16" s="460"/>
      <c r="F16" s="460"/>
      <c r="G16" s="460"/>
      <c r="H16" s="460"/>
      <c r="I16" s="460"/>
      <c r="J16" s="460"/>
      <c r="K16" s="45"/>
      <c r="L16" s="460"/>
      <c r="M16" s="45"/>
      <c r="N16" s="45"/>
      <c r="O16" s="45"/>
      <c r="P16" s="45"/>
      <c r="Q16" s="45"/>
      <c r="R16" s="45"/>
      <c r="S16" s="68"/>
      <c r="T16" s="68"/>
      <c r="U16" s="68"/>
      <c r="V16" s="461"/>
    </row>
    <row r="17" spans="2:22" x14ac:dyDescent="0.25">
      <c r="B17" s="458"/>
      <c r="C17" s="134" t="s">
        <v>148</v>
      </c>
      <c r="D17" s="1529"/>
      <c r="E17" s="460"/>
      <c r="F17" s="2070">
        <v>42986</v>
      </c>
      <c r="G17" s="413"/>
      <c r="H17" s="413"/>
      <c r="I17" s="2275" t="s">
        <v>149</v>
      </c>
      <c r="J17" s="2275" t="s">
        <v>150</v>
      </c>
      <c r="K17" s="2273" t="s">
        <v>53</v>
      </c>
      <c r="L17" s="2274"/>
      <c r="M17" s="2274"/>
      <c r="N17" s="2274"/>
      <c r="O17" s="2274"/>
      <c r="P17" s="2274"/>
      <c r="Q17" s="2274"/>
      <c r="R17" s="462"/>
      <c r="S17" s="2271" t="s">
        <v>54</v>
      </c>
      <c r="T17" s="2271"/>
      <c r="U17" s="2272"/>
      <c r="V17" s="461"/>
    </row>
    <row r="18" spans="2:22" x14ac:dyDescent="0.25">
      <c r="B18" s="458"/>
      <c r="C18" s="45"/>
      <c r="D18" s="460"/>
      <c r="E18" s="460"/>
      <c r="F18" s="460"/>
      <c r="G18" s="460"/>
      <c r="H18" s="460"/>
      <c r="I18" s="2276"/>
      <c r="J18" s="2276"/>
      <c r="K18" s="2278" t="s">
        <v>152</v>
      </c>
      <c r="L18" s="463" t="s">
        <v>153</v>
      </c>
      <c r="M18" s="463" t="s">
        <v>153</v>
      </c>
      <c r="N18" s="463" t="s">
        <v>153</v>
      </c>
      <c r="O18" s="463" t="s">
        <v>153</v>
      </c>
      <c r="P18" s="463" t="s">
        <v>153</v>
      </c>
      <c r="Q18" s="463" t="s">
        <v>153</v>
      </c>
      <c r="R18" s="464"/>
      <c r="S18" s="2280" t="s">
        <v>505</v>
      </c>
      <c r="T18" s="463" t="s">
        <v>153</v>
      </c>
      <c r="U18" s="465" t="s">
        <v>153</v>
      </c>
      <c r="V18" s="461"/>
    </row>
    <row r="19" spans="2:22" x14ac:dyDescent="0.25">
      <c r="B19" s="458"/>
      <c r="C19" s="45"/>
      <c r="D19" s="460"/>
      <c r="E19" s="460"/>
      <c r="F19" s="460"/>
      <c r="G19" s="460"/>
      <c r="H19" s="460"/>
      <c r="I19" s="2276"/>
      <c r="J19" s="2276"/>
      <c r="K19" s="2278"/>
      <c r="L19" s="2284" t="s">
        <v>1954</v>
      </c>
      <c r="M19" s="2284" t="s">
        <v>2067</v>
      </c>
      <c r="N19" s="2284" t="s">
        <v>1889</v>
      </c>
      <c r="O19" s="2284" t="s">
        <v>2072</v>
      </c>
      <c r="P19" s="2284" t="s">
        <v>2068</v>
      </c>
      <c r="Q19" s="2282"/>
      <c r="R19" s="464"/>
      <c r="S19" s="2280"/>
      <c r="T19" s="2284" t="s">
        <v>2069</v>
      </c>
      <c r="U19" s="2286" t="s">
        <v>2071</v>
      </c>
      <c r="V19" s="461"/>
    </row>
    <row r="20" spans="2:22" ht="15.75" thickBot="1" x14ac:dyDescent="0.3">
      <c r="B20" s="458"/>
      <c r="C20" s="45"/>
      <c r="D20" s="460"/>
      <c r="E20" s="71"/>
      <c r="F20" s="71"/>
      <c r="G20" s="71"/>
      <c r="H20" s="71"/>
      <c r="I20" s="2277"/>
      <c r="J20" s="2277"/>
      <c r="K20" s="2279"/>
      <c r="L20" s="2285"/>
      <c r="M20" s="2285"/>
      <c r="N20" s="2285"/>
      <c r="O20" s="2285"/>
      <c r="P20" s="2285"/>
      <c r="Q20" s="2283"/>
      <c r="R20" s="466"/>
      <c r="S20" s="2281"/>
      <c r="T20" s="2285"/>
      <c r="U20" s="2287"/>
      <c r="V20" s="412"/>
    </row>
    <row r="21" spans="2:22" ht="15.75" thickBot="1" x14ac:dyDescent="0.3">
      <c r="B21" s="458"/>
      <c r="C21" s="78" t="s">
        <v>154</v>
      </c>
      <c r="D21" s="78"/>
      <c r="E21" s="78"/>
      <c r="F21" s="78"/>
      <c r="G21" s="78"/>
      <c r="H21" s="47"/>
      <c r="I21" s="47"/>
      <c r="J21" s="47"/>
      <c r="K21" s="47"/>
      <c r="L21" s="460"/>
      <c r="M21" s="45"/>
      <c r="N21" s="45"/>
      <c r="O21" s="15"/>
      <c r="P21" s="467"/>
      <c r="Q21" s="467"/>
      <c r="R21" s="68"/>
      <c r="S21" s="68"/>
      <c r="T21" s="467"/>
      <c r="U21" s="467"/>
      <c r="V21" s="412"/>
    </row>
    <row r="22" spans="2:22" x14ac:dyDescent="0.25">
      <c r="B22" s="458"/>
      <c r="C22" s="45"/>
      <c r="D22" s="151" t="s">
        <v>155</v>
      </c>
      <c r="E22" s="151"/>
      <c r="F22" s="151"/>
      <c r="G22" s="151"/>
      <c r="H22" s="151"/>
      <c r="I22" s="884">
        <f t="shared" ref="I22:I28" si="0">IFERROR(J22/J$120," ")</f>
        <v>4.0289402440402362E-2</v>
      </c>
      <c r="J22" s="1483">
        <v>1100000</v>
      </c>
      <c r="K22" s="885">
        <f t="shared" ref="K22:K27" si="1">SUM(L22:Q22)</f>
        <v>874268</v>
      </c>
      <c r="L22" s="886"/>
      <c r="M22" s="887"/>
      <c r="N22" s="887">
        <v>874268</v>
      </c>
      <c r="O22" s="887"/>
      <c r="P22" s="887"/>
      <c r="Q22" s="887"/>
      <c r="R22" s="468"/>
      <c r="S22" s="2126">
        <f t="shared" ref="S22:S27" si="2">SUM(T22:U22)</f>
        <v>225732</v>
      </c>
      <c r="T22" s="886">
        <v>225732</v>
      </c>
      <c r="U22" s="896"/>
      <c r="V22" s="412"/>
    </row>
    <row r="23" spans="2:22" x14ac:dyDescent="0.25">
      <c r="B23" s="458"/>
      <c r="C23" s="45"/>
      <c r="D23" s="153" t="s">
        <v>156</v>
      </c>
      <c r="E23" s="153"/>
      <c r="F23" s="153"/>
      <c r="G23" s="153"/>
      <c r="H23" s="153"/>
      <c r="I23" s="888">
        <f t="shared" si="0"/>
        <v>7.3253458982549743E-3</v>
      </c>
      <c r="J23" s="1481">
        <v>200000</v>
      </c>
      <c r="K23" s="889">
        <f t="shared" si="1"/>
        <v>174056</v>
      </c>
      <c r="L23" s="890"/>
      <c r="M23" s="891"/>
      <c r="N23" s="891">
        <v>174056</v>
      </c>
      <c r="O23" s="891"/>
      <c r="P23" s="891"/>
      <c r="Q23" s="891"/>
      <c r="R23" s="469"/>
      <c r="S23" s="2127">
        <f t="shared" si="2"/>
        <v>25944</v>
      </c>
      <c r="T23" s="890">
        <v>25944</v>
      </c>
      <c r="U23" s="898"/>
      <c r="V23" s="412"/>
    </row>
    <row r="24" spans="2:22" x14ac:dyDescent="0.25">
      <c r="B24" s="458"/>
      <c r="C24" s="45"/>
      <c r="D24" s="44" t="s">
        <v>157</v>
      </c>
      <c r="E24" s="44"/>
      <c r="F24" s="44"/>
      <c r="G24" s="44"/>
      <c r="H24" s="44"/>
      <c r="I24" s="888">
        <f t="shared" si="0"/>
        <v>0</v>
      </c>
      <c r="J24" s="1481"/>
      <c r="K24" s="889">
        <f t="shared" si="1"/>
        <v>0</v>
      </c>
      <c r="L24" s="890"/>
      <c r="M24" s="891"/>
      <c r="N24" s="891"/>
      <c r="O24" s="891"/>
      <c r="P24" s="891"/>
      <c r="Q24" s="891"/>
      <c r="R24" s="469"/>
      <c r="S24" s="2127">
        <f t="shared" si="2"/>
        <v>0</v>
      </c>
      <c r="T24" s="890"/>
      <c r="U24" s="898"/>
      <c r="V24" s="412"/>
    </row>
    <row r="25" spans="2:22" x14ac:dyDescent="0.25">
      <c r="B25" s="458"/>
      <c r="C25" s="45"/>
      <c r="D25" s="44" t="s">
        <v>158</v>
      </c>
      <c r="E25" s="44"/>
      <c r="F25" s="44"/>
      <c r="G25" s="44"/>
      <c r="H25" s="44"/>
      <c r="I25" s="888">
        <f t="shared" si="0"/>
        <v>4.9446084813221079E-4</v>
      </c>
      <c r="J25" s="1481">
        <v>13500</v>
      </c>
      <c r="K25" s="889">
        <f t="shared" si="1"/>
        <v>11749</v>
      </c>
      <c r="L25" s="890"/>
      <c r="M25" s="891"/>
      <c r="N25" s="891">
        <f>8703+3046</f>
        <v>11749</v>
      </c>
      <c r="O25" s="891"/>
      <c r="P25" s="891"/>
      <c r="Q25" s="891"/>
      <c r="R25" s="469"/>
      <c r="S25" s="2127">
        <f t="shared" si="2"/>
        <v>1751</v>
      </c>
      <c r="T25" s="890">
        <f>1297+454</f>
        <v>1751</v>
      </c>
      <c r="U25" s="898"/>
      <c r="V25" s="412"/>
    </row>
    <row r="26" spans="2:22" x14ac:dyDescent="0.25">
      <c r="B26" s="458"/>
      <c r="C26" s="45"/>
      <c r="D26" s="50" t="s">
        <v>159</v>
      </c>
      <c r="E26" s="50"/>
      <c r="F26" s="50"/>
      <c r="G26" s="50"/>
      <c r="H26" s="50"/>
      <c r="I26" s="888">
        <f t="shared" si="0"/>
        <v>0</v>
      </c>
      <c r="J26" s="1481"/>
      <c r="K26" s="889">
        <f t="shared" si="1"/>
        <v>0</v>
      </c>
      <c r="L26" s="890"/>
      <c r="M26" s="891"/>
      <c r="N26" s="891"/>
      <c r="O26" s="891"/>
      <c r="P26" s="891"/>
      <c r="Q26" s="891"/>
      <c r="R26" s="469"/>
      <c r="S26" s="2127">
        <f t="shared" si="2"/>
        <v>0</v>
      </c>
      <c r="T26" s="890"/>
      <c r="U26" s="898"/>
      <c r="V26" s="412"/>
    </row>
    <row r="27" spans="2:22" x14ac:dyDescent="0.25">
      <c r="B27" s="458"/>
      <c r="C27" s="45"/>
      <c r="D27" s="50" t="s">
        <v>427</v>
      </c>
      <c r="E27" s="2289" t="s">
        <v>119</v>
      </c>
      <c r="F27" s="2290"/>
      <c r="G27" s="2291"/>
      <c r="H27" s="161"/>
      <c r="I27" s="892">
        <f t="shared" si="0"/>
        <v>2.7470047118456154E-4</v>
      </c>
      <c r="J27" s="1482">
        <v>7500</v>
      </c>
      <c r="K27" s="893">
        <f t="shared" si="1"/>
        <v>6527</v>
      </c>
      <c r="L27" s="894"/>
      <c r="M27" s="895"/>
      <c r="N27" s="895">
        <v>6527</v>
      </c>
      <c r="O27" s="895"/>
      <c r="P27" s="895"/>
      <c r="Q27" s="895"/>
      <c r="R27" s="469"/>
      <c r="S27" s="2128">
        <f t="shared" si="2"/>
        <v>973</v>
      </c>
      <c r="T27" s="894">
        <v>973</v>
      </c>
      <c r="U27" s="899"/>
      <c r="V27" s="412"/>
    </row>
    <row r="28" spans="2:22" ht="15.75" thickBot="1" x14ac:dyDescent="0.3">
      <c r="B28" s="458"/>
      <c r="C28" s="45"/>
      <c r="D28" s="44"/>
      <c r="E28" s="44"/>
      <c r="F28" s="44"/>
      <c r="G28" s="48" t="s">
        <v>160</v>
      </c>
      <c r="H28" s="48"/>
      <c r="I28" s="353">
        <f t="shared" si="0"/>
        <v>4.8383909657974108E-2</v>
      </c>
      <c r="J28" s="36">
        <f t="shared" ref="J28:Q28" si="3">SUM(J22:J27)</f>
        <v>1321000</v>
      </c>
      <c r="K28" s="22">
        <f t="shared" si="3"/>
        <v>1066600</v>
      </c>
      <c r="L28" s="1538">
        <f t="shared" si="3"/>
        <v>0</v>
      </c>
      <c r="M28" s="1539">
        <f t="shared" si="3"/>
        <v>0</v>
      </c>
      <c r="N28" s="1539">
        <f t="shared" si="3"/>
        <v>1066600</v>
      </c>
      <c r="O28" s="1539">
        <f t="shared" si="3"/>
        <v>0</v>
      </c>
      <c r="P28" s="1539">
        <f t="shared" si="3"/>
        <v>0</v>
      </c>
      <c r="Q28" s="1539">
        <f t="shared" si="3"/>
        <v>0</v>
      </c>
      <c r="R28" s="470"/>
      <c r="S28" s="471">
        <f>SUM(S22:S27)</f>
        <v>254400</v>
      </c>
      <c r="T28" s="1538">
        <f>SUM(T22:T27)</f>
        <v>254400</v>
      </c>
      <c r="U28" s="1540">
        <f>SUM(U22:U27)</f>
        <v>0</v>
      </c>
      <c r="V28" s="412"/>
    </row>
    <row r="29" spans="2:22" ht="3.75" customHeight="1" x14ac:dyDescent="0.25">
      <c r="B29" s="458"/>
      <c r="C29" s="44"/>
      <c r="D29" s="44"/>
      <c r="E29" s="44"/>
      <c r="F29" s="44"/>
      <c r="G29" s="44"/>
      <c r="H29" s="44"/>
      <c r="I29" s="460"/>
      <c r="J29" s="472"/>
      <c r="K29" s="45"/>
      <c r="L29" s="16"/>
      <c r="M29" s="16"/>
      <c r="N29" s="16"/>
      <c r="O29" s="16"/>
      <c r="P29" s="45"/>
      <c r="Q29" s="16"/>
      <c r="R29" s="469"/>
      <c r="S29" s="16"/>
      <c r="T29" s="16"/>
      <c r="U29" s="16"/>
      <c r="V29" s="412"/>
    </row>
    <row r="30" spans="2:22" ht="15.75" thickBot="1" x14ac:dyDescent="0.3">
      <c r="B30" s="458"/>
      <c r="C30" s="78" t="s">
        <v>161</v>
      </c>
      <c r="D30" s="78"/>
      <c r="E30" s="78"/>
      <c r="F30" s="78"/>
      <c r="G30" s="78"/>
      <c r="H30" s="47"/>
      <c r="I30" s="47"/>
      <c r="J30" s="47"/>
      <c r="K30" s="47"/>
      <c r="L30" s="460"/>
      <c r="M30" s="45"/>
      <c r="N30" s="45"/>
      <c r="O30" s="15"/>
      <c r="P30" s="467"/>
      <c r="Q30" s="467"/>
      <c r="R30" s="464"/>
      <c r="S30" s="68"/>
      <c r="T30" s="467"/>
      <c r="U30" s="467"/>
      <c r="V30" s="412"/>
    </row>
    <row r="31" spans="2:22" x14ac:dyDescent="0.25">
      <c r="B31" s="458"/>
      <c r="C31" s="45"/>
      <c r="D31" s="155" t="s">
        <v>162</v>
      </c>
      <c r="E31" s="155"/>
      <c r="F31" s="155"/>
      <c r="G31" s="155"/>
      <c r="H31" s="155"/>
      <c r="I31" s="884">
        <f t="shared" ref="I31:I47" si="4">IFERROR(J31/J$120," ")</f>
        <v>0</v>
      </c>
      <c r="J31" s="1483"/>
      <c r="K31" s="900">
        <f t="shared" ref="K31:K46" si="5">SUM(L31:Q31)</f>
        <v>0</v>
      </c>
      <c r="L31" s="886"/>
      <c r="M31" s="901"/>
      <c r="N31" s="901"/>
      <c r="O31" s="901"/>
      <c r="P31" s="901"/>
      <c r="Q31" s="901"/>
      <c r="R31" s="468"/>
      <c r="S31" s="907">
        <f t="shared" ref="S31:S46" si="6">SUM(T31:U31)</f>
        <v>0</v>
      </c>
      <c r="T31" s="886"/>
      <c r="U31" s="896"/>
      <c r="V31" s="412"/>
    </row>
    <row r="32" spans="2:22" x14ac:dyDescent="0.25">
      <c r="B32" s="458"/>
      <c r="C32" s="45"/>
      <c r="D32" s="44" t="s">
        <v>163</v>
      </c>
      <c r="E32" s="44"/>
      <c r="F32" s="44"/>
      <c r="G32" s="44"/>
      <c r="H32" s="44"/>
      <c r="I32" s="888">
        <f t="shared" si="4"/>
        <v>0.51757832122484182</v>
      </c>
      <c r="J32" s="1481">
        <v>14131164</v>
      </c>
      <c r="K32" s="902">
        <f t="shared" si="5"/>
        <v>12009305</v>
      </c>
      <c r="L32" s="890">
        <v>5278632</v>
      </c>
      <c r="M32" s="903">
        <v>5797273</v>
      </c>
      <c r="N32" s="903">
        <v>933400</v>
      </c>
      <c r="O32" s="903"/>
      <c r="P32" s="903"/>
      <c r="Q32" s="903"/>
      <c r="R32" s="469"/>
      <c r="S32" s="2127">
        <f t="shared" si="6"/>
        <v>2121859</v>
      </c>
      <c r="T32" s="890">
        <v>1266747</v>
      </c>
      <c r="U32" s="898">
        <v>855112</v>
      </c>
      <c r="V32" s="412"/>
    </row>
    <row r="33" spans="2:22" x14ac:dyDescent="0.25">
      <c r="B33" s="458"/>
      <c r="C33" s="45"/>
      <c r="D33" s="44" t="s">
        <v>164</v>
      </c>
      <c r="E33" s="44"/>
      <c r="F33" s="44"/>
      <c r="G33" s="44"/>
      <c r="H33" s="44"/>
      <c r="I33" s="888">
        <f t="shared" si="4"/>
        <v>0</v>
      </c>
      <c r="J33" s="1481"/>
      <c r="K33" s="902">
        <f t="shared" si="5"/>
        <v>0</v>
      </c>
      <c r="L33" s="890"/>
      <c r="M33" s="903"/>
      <c r="N33" s="903"/>
      <c r="O33" s="903"/>
      <c r="P33" s="903"/>
      <c r="Q33" s="903"/>
      <c r="R33" s="469"/>
      <c r="S33" s="2127">
        <f t="shared" si="6"/>
        <v>0</v>
      </c>
      <c r="T33" s="890"/>
      <c r="U33" s="898"/>
      <c r="V33" s="412"/>
    </row>
    <row r="34" spans="2:22" x14ac:dyDescent="0.25">
      <c r="B34" s="458"/>
      <c r="C34" s="45"/>
      <c r="D34" s="44" t="s">
        <v>165</v>
      </c>
      <c r="E34" s="44"/>
      <c r="F34" s="44"/>
      <c r="G34" s="44"/>
      <c r="H34" s="44"/>
      <c r="I34" s="888">
        <f t="shared" si="4"/>
        <v>2.448723952214571E-2</v>
      </c>
      <c r="J34" s="1481">
        <v>668562</v>
      </c>
      <c r="K34" s="902">
        <f t="shared" si="5"/>
        <v>568211</v>
      </c>
      <c r="L34" s="890">
        <v>268211</v>
      </c>
      <c r="M34" s="903">
        <v>300000</v>
      </c>
      <c r="N34" s="903"/>
      <c r="O34" s="903"/>
      <c r="P34" s="903"/>
      <c r="Q34" s="903"/>
      <c r="R34" s="469"/>
      <c r="S34" s="2127">
        <f t="shared" si="6"/>
        <v>100351</v>
      </c>
      <c r="T34" s="890">
        <v>100351</v>
      </c>
      <c r="U34" s="898"/>
      <c r="V34" s="412"/>
    </row>
    <row r="35" spans="2:22" x14ac:dyDescent="0.25">
      <c r="B35" s="458"/>
      <c r="C35" s="45"/>
      <c r="D35" s="44" t="s">
        <v>166</v>
      </c>
      <c r="E35" s="44"/>
      <c r="F35" s="44"/>
      <c r="G35" s="44"/>
      <c r="H35" s="44"/>
      <c r="I35" s="888">
        <f t="shared" si="4"/>
        <v>0</v>
      </c>
      <c r="J35" s="1481"/>
      <c r="K35" s="902">
        <f t="shared" si="5"/>
        <v>0</v>
      </c>
      <c r="L35" s="890"/>
      <c r="M35" s="903"/>
      <c r="N35" s="903"/>
      <c r="O35" s="903"/>
      <c r="P35" s="903"/>
      <c r="Q35" s="903"/>
      <c r="R35" s="469"/>
      <c r="S35" s="2127">
        <f t="shared" si="6"/>
        <v>0</v>
      </c>
      <c r="T35" s="890"/>
      <c r="U35" s="898"/>
      <c r="V35" s="412"/>
    </row>
    <row r="36" spans="2:22" x14ac:dyDescent="0.25">
      <c r="B36" s="458"/>
      <c r="C36" s="45"/>
      <c r="D36" s="44" t="s">
        <v>504</v>
      </c>
      <c r="E36" s="44"/>
      <c r="F36" s="44"/>
      <c r="G36" s="352">
        <f>IFERROR(J36/(J32+J34+J35+J44),)</f>
        <v>0.10190276495659446</v>
      </c>
      <c r="H36" s="53"/>
      <c r="I36" s="888">
        <f t="shared" si="4"/>
        <v>5.5237979427864847E-2</v>
      </c>
      <c r="J36" s="1481">
        <v>1508133</v>
      </c>
      <c r="K36" s="902">
        <f t="shared" si="5"/>
        <v>1312495</v>
      </c>
      <c r="L36" s="890">
        <v>562495</v>
      </c>
      <c r="M36" s="903">
        <v>750000</v>
      </c>
      <c r="N36" s="903"/>
      <c r="O36" s="903"/>
      <c r="P36" s="903"/>
      <c r="Q36" s="903"/>
      <c r="R36" s="469"/>
      <c r="S36" s="2127">
        <f t="shared" si="6"/>
        <v>195638</v>
      </c>
      <c r="T36" s="890"/>
      <c r="U36" s="898">
        <v>195638</v>
      </c>
      <c r="V36" s="412"/>
    </row>
    <row r="37" spans="2:22" x14ac:dyDescent="0.25">
      <c r="B37" s="458"/>
      <c r="C37" s="45"/>
      <c r="D37" s="44" t="s">
        <v>168</v>
      </c>
      <c r="E37" s="44"/>
      <c r="F37" s="44"/>
      <c r="G37" s="352">
        <f>IFERROR(J37/(J33+J34+J35+J44),)</f>
        <v>0</v>
      </c>
      <c r="H37" s="53"/>
      <c r="I37" s="888">
        <f t="shared" si="4"/>
        <v>0</v>
      </c>
      <c r="J37" s="1481"/>
      <c r="K37" s="902">
        <f t="shared" si="5"/>
        <v>0</v>
      </c>
      <c r="L37" s="890"/>
      <c r="M37" s="903"/>
      <c r="N37" s="903"/>
      <c r="O37" s="903"/>
      <c r="P37" s="903"/>
      <c r="Q37" s="903"/>
      <c r="R37" s="469"/>
      <c r="S37" s="2127">
        <f t="shared" si="6"/>
        <v>0</v>
      </c>
      <c r="T37" s="890"/>
      <c r="U37" s="898"/>
      <c r="V37" s="412"/>
    </row>
    <row r="38" spans="2:22" x14ac:dyDescent="0.25">
      <c r="B38" s="458"/>
      <c r="C38" s="45"/>
      <c r="D38" s="44" t="s">
        <v>169</v>
      </c>
      <c r="E38" s="44"/>
      <c r="F38" s="44"/>
      <c r="G38" s="44"/>
      <c r="H38" s="44"/>
      <c r="I38" s="888">
        <f t="shared" si="4"/>
        <v>0</v>
      </c>
      <c r="J38" s="1481"/>
      <c r="K38" s="902">
        <f t="shared" si="5"/>
        <v>0</v>
      </c>
      <c r="L38" s="890"/>
      <c r="M38" s="903"/>
      <c r="N38" s="903"/>
      <c r="O38" s="903"/>
      <c r="P38" s="903"/>
      <c r="Q38" s="903"/>
      <c r="R38" s="469"/>
      <c r="S38" s="2127">
        <f t="shared" si="6"/>
        <v>0</v>
      </c>
      <c r="T38" s="890"/>
      <c r="U38" s="898"/>
      <c r="V38" s="412"/>
    </row>
    <row r="39" spans="2:22" x14ac:dyDescent="0.25">
      <c r="B39" s="458"/>
      <c r="C39" s="45"/>
      <c r="D39" s="44" t="s">
        <v>170</v>
      </c>
      <c r="E39" s="44"/>
      <c r="F39" s="44"/>
      <c r="G39" s="44"/>
      <c r="H39" s="44"/>
      <c r="I39" s="888">
        <f t="shared" si="4"/>
        <v>3.8119048957667379E-2</v>
      </c>
      <c r="J39" s="1481">
        <v>1040744</v>
      </c>
      <c r="K39" s="902">
        <f t="shared" si="5"/>
        <v>884528</v>
      </c>
      <c r="L39" s="890">
        <v>334528</v>
      </c>
      <c r="M39" s="903">
        <v>550000</v>
      </c>
      <c r="N39" s="903"/>
      <c r="O39" s="903"/>
      <c r="P39" s="903"/>
      <c r="Q39" s="903"/>
      <c r="R39" s="469"/>
      <c r="S39" s="2127">
        <f t="shared" si="6"/>
        <v>156216</v>
      </c>
      <c r="T39" s="890"/>
      <c r="U39" s="898">
        <v>156216</v>
      </c>
      <c r="V39" s="412"/>
    </row>
    <row r="40" spans="2:22" x14ac:dyDescent="0.25">
      <c r="B40" s="458"/>
      <c r="C40" s="45"/>
      <c r="D40" s="44" t="s">
        <v>171</v>
      </c>
      <c r="E40" s="44"/>
      <c r="F40" s="44"/>
      <c r="G40" s="44"/>
      <c r="H40" s="44"/>
      <c r="I40" s="888">
        <f t="shared" si="4"/>
        <v>1.3754215965481506E-2</v>
      </c>
      <c r="J40" s="1481">
        <v>375524</v>
      </c>
      <c r="K40" s="902">
        <f t="shared" si="5"/>
        <v>319158</v>
      </c>
      <c r="L40" s="890">
        <v>119158</v>
      </c>
      <c r="M40" s="903">
        <v>200000</v>
      </c>
      <c r="N40" s="903"/>
      <c r="O40" s="903"/>
      <c r="P40" s="903"/>
      <c r="Q40" s="903"/>
      <c r="R40" s="469"/>
      <c r="S40" s="2127">
        <f t="shared" si="6"/>
        <v>56366</v>
      </c>
      <c r="T40" s="890"/>
      <c r="U40" s="898">
        <v>56366</v>
      </c>
      <c r="V40" s="412"/>
    </row>
    <row r="41" spans="2:22" x14ac:dyDescent="0.25">
      <c r="B41" s="458"/>
      <c r="C41" s="45"/>
      <c r="D41" s="44" t="s">
        <v>172</v>
      </c>
      <c r="E41" s="44"/>
      <c r="F41" s="44"/>
      <c r="G41" s="44"/>
      <c r="H41" s="44"/>
      <c r="I41" s="888">
        <f t="shared" si="4"/>
        <v>0</v>
      </c>
      <c r="J41" s="1481"/>
      <c r="K41" s="902">
        <f t="shared" si="5"/>
        <v>0</v>
      </c>
      <c r="L41" s="890"/>
      <c r="M41" s="903"/>
      <c r="N41" s="903"/>
      <c r="O41" s="903"/>
      <c r="P41" s="903"/>
      <c r="Q41" s="903"/>
      <c r="R41" s="469"/>
      <c r="S41" s="2127">
        <f t="shared" si="6"/>
        <v>0</v>
      </c>
      <c r="T41" s="890"/>
      <c r="U41" s="898"/>
      <c r="V41" s="412"/>
    </row>
    <row r="42" spans="2:22" x14ac:dyDescent="0.25">
      <c r="B42" s="458"/>
      <c r="C42" s="45"/>
      <c r="D42" s="44" t="s">
        <v>173</v>
      </c>
      <c r="E42" s="44"/>
      <c r="F42" s="44"/>
      <c r="G42" s="44"/>
      <c r="H42" s="44"/>
      <c r="I42" s="888">
        <f t="shared" si="4"/>
        <v>0</v>
      </c>
      <c r="J42" s="1481"/>
      <c r="K42" s="902">
        <f t="shared" si="5"/>
        <v>0</v>
      </c>
      <c r="L42" s="890"/>
      <c r="M42" s="903"/>
      <c r="N42" s="903"/>
      <c r="O42" s="903"/>
      <c r="P42" s="903"/>
      <c r="Q42" s="903"/>
      <c r="R42" s="469"/>
      <c r="S42" s="2127">
        <f t="shared" si="6"/>
        <v>0</v>
      </c>
      <c r="T42" s="890"/>
      <c r="U42" s="898"/>
      <c r="V42" s="412"/>
    </row>
    <row r="43" spans="2:22" x14ac:dyDescent="0.25">
      <c r="B43" s="458"/>
      <c r="C43" s="45"/>
      <c r="D43" s="44" t="s">
        <v>174</v>
      </c>
      <c r="E43" s="44"/>
      <c r="F43" s="44"/>
      <c r="G43" s="44"/>
      <c r="H43" s="44"/>
      <c r="I43" s="888">
        <f t="shared" si="4"/>
        <v>5.5790347135322764E-2</v>
      </c>
      <c r="J43" s="1481">
        <v>1523214</v>
      </c>
      <c r="K43" s="902">
        <f t="shared" si="5"/>
        <v>1325620</v>
      </c>
      <c r="L43" s="890">
        <f>4637+112582</f>
        <v>117219</v>
      </c>
      <c r="M43" s="903">
        <v>749572</v>
      </c>
      <c r="N43" s="903"/>
      <c r="O43" s="903"/>
      <c r="P43" s="903">
        <v>458829</v>
      </c>
      <c r="Q43" s="903"/>
      <c r="R43" s="469"/>
      <c r="S43" s="2127">
        <f t="shared" si="6"/>
        <v>197594</v>
      </c>
      <c r="T43" s="890"/>
      <c r="U43" s="898">
        <v>197594</v>
      </c>
      <c r="V43" s="412"/>
    </row>
    <row r="44" spans="2:22" x14ac:dyDescent="0.25">
      <c r="B44" s="458"/>
      <c r="C44" s="45"/>
      <c r="D44" s="44" t="s">
        <v>175</v>
      </c>
      <c r="E44" s="44"/>
      <c r="F44" s="44"/>
      <c r="G44" s="44"/>
      <c r="H44" s="44"/>
      <c r="I44" s="888">
        <f t="shared" si="4"/>
        <v>0</v>
      </c>
      <c r="J44" s="1481"/>
      <c r="K44" s="902">
        <f t="shared" si="5"/>
        <v>0</v>
      </c>
      <c r="L44" s="890"/>
      <c r="M44" s="903"/>
      <c r="N44" s="903"/>
      <c r="O44" s="903"/>
      <c r="P44" s="903"/>
      <c r="Q44" s="903"/>
      <c r="R44" s="469"/>
      <c r="S44" s="2127">
        <f t="shared" si="6"/>
        <v>0</v>
      </c>
      <c r="T44" s="890"/>
      <c r="U44" s="898"/>
      <c r="V44" s="412"/>
    </row>
    <row r="45" spans="2:22" x14ac:dyDescent="0.25">
      <c r="B45" s="458"/>
      <c r="C45" s="45"/>
      <c r="D45" s="44" t="s">
        <v>176</v>
      </c>
      <c r="E45" s="44"/>
      <c r="F45" s="44"/>
      <c r="G45" s="44"/>
      <c r="H45" s="44"/>
      <c r="I45" s="888">
        <f t="shared" si="4"/>
        <v>7.3253458982549743E-3</v>
      </c>
      <c r="J45" s="1481">
        <v>200000</v>
      </c>
      <c r="K45" s="902">
        <f t="shared" si="5"/>
        <v>200000</v>
      </c>
      <c r="L45" s="890">
        <v>100000</v>
      </c>
      <c r="M45" s="903">
        <v>100000</v>
      </c>
      <c r="N45" s="903"/>
      <c r="O45" s="903"/>
      <c r="P45" s="903"/>
      <c r="Q45" s="903"/>
      <c r="R45" s="469"/>
      <c r="S45" s="2127">
        <f t="shared" si="6"/>
        <v>0</v>
      </c>
      <c r="T45" s="890"/>
      <c r="U45" s="898"/>
      <c r="V45" s="412"/>
    </row>
    <row r="46" spans="2:22" x14ac:dyDescent="0.25">
      <c r="B46" s="458"/>
      <c r="C46" s="45"/>
      <c r="D46" s="49" t="s">
        <v>427</v>
      </c>
      <c r="E46" s="2289"/>
      <c r="F46" s="2290"/>
      <c r="G46" s="2291"/>
      <c r="H46" s="49"/>
      <c r="I46" s="892">
        <f t="shared" si="4"/>
        <v>0</v>
      </c>
      <c r="J46" s="1482"/>
      <c r="K46" s="904">
        <f t="shared" si="5"/>
        <v>0</v>
      </c>
      <c r="L46" s="905"/>
      <c r="M46" s="906"/>
      <c r="N46" s="906"/>
      <c r="O46" s="906"/>
      <c r="P46" s="906"/>
      <c r="Q46" s="906"/>
      <c r="R46" s="469"/>
      <c r="S46" s="908">
        <f t="shared" si="6"/>
        <v>0</v>
      </c>
      <c r="T46" s="905"/>
      <c r="U46" s="909"/>
      <c r="V46" s="412"/>
    </row>
    <row r="47" spans="2:22" ht="15.75" thickBot="1" x14ac:dyDescent="0.3">
      <c r="B47" s="458"/>
      <c r="C47" s="45"/>
      <c r="D47" s="44"/>
      <c r="E47" s="44"/>
      <c r="F47" s="44"/>
      <c r="G47" s="48" t="s">
        <v>160</v>
      </c>
      <c r="H47" s="48"/>
      <c r="I47" s="353">
        <f t="shared" si="4"/>
        <v>0.71229249813157891</v>
      </c>
      <c r="J47" s="36">
        <f t="shared" ref="J47:Q47" si="7">SUM(J31:J46)</f>
        <v>19447341</v>
      </c>
      <c r="K47" s="22">
        <f t="shared" si="7"/>
        <v>16619317</v>
      </c>
      <c r="L47" s="1538">
        <f t="shared" si="7"/>
        <v>6780243</v>
      </c>
      <c r="M47" s="1539">
        <f t="shared" si="7"/>
        <v>8446845</v>
      </c>
      <c r="N47" s="1539">
        <f t="shared" si="7"/>
        <v>933400</v>
      </c>
      <c r="O47" s="1539">
        <f t="shared" si="7"/>
        <v>0</v>
      </c>
      <c r="P47" s="1539">
        <f t="shared" si="7"/>
        <v>458829</v>
      </c>
      <c r="Q47" s="1539">
        <f t="shared" si="7"/>
        <v>0</v>
      </c>
      <c r="R47" s="470"/>
      <c r="S47" s="471">
        <f>SUM(S31:S46)</f>
        <v>2828024</v>
      </c>
      <c r="T47" s="1538">
        <f>SUM(T31:T46)</f>
        <v>1367098</v>
      </c>
      <c r="U47" s="1540">
        <f>SUM(U31:U46)</f>
        <v>1460926</v>
      </c>
      <c r="V47" s="412"/>
    </row>
    <row r="48" spans="2:22" ht="9" customHeight="1" thickBot="1" x14ac:dyDescent="0.3">
      <c r="B48" s="473"/>
      <c r="C48" s="28"/>
      <c r="D48" s="28"/>
      <c r="E48" s="28"/>
      <c r="F48" s="28"/>
      <c r="G48" s="28"/>
      <c r="H48" s="28"/>
      <c r="I48" s="419"/>
      <c r="J48" s="474"/>
      <c r="K48" s="475"/>
      <c r="L48" s="476"/>
      <c r="M48" s="29"/>
      <c r="N48" s="29"/>
      <c r="O48" s="29"/>
      <c r="P48" s="475"/>
      <c r="Q48" s="29"/>
      <c r="R48" s="477"/>
      <c r="S48" s="29"/>
      <c r="T48" s="476"/>
      <c r="U48" s="29"/>
      <c r="V48" s="420"/>
    </row>
    <row r="49" spans="2:22" ht="15.75" thickBot="1" x14ac:dyDescent="0.3">
      <c r="B49" s="458"/>
      <c r="C49" s="78" t="s">
        <v>177</v>
      </c>
      <c r="D49" s="78"/>
      <c r="E49" s="78"/>
      <c r="F49" s="78"/>
      <c r="G49" s="78"/>
      <c r="H49" s="47"/>
      <c r="I49" s="47"/>
      <c r="J49" s="47"/>
      <c r="K49" s="47"/>
      <c r="L49" s="460"/>
      <c r="M49" s="45"/>
      <c r="N49" s="45"/>
      <c r="O49" s="15"/>
      <c r="P49" s="467"/>
      <c r="Q49" s="467"/>
      <c r="R49" s="464"/>
      <c r="S49" s="68"/>
      <c r="T49" s="467"/>
      <c r="U49" s="467"/>
      <c r="V49" s="412"/>
    </row>
    <row r="50" spans="2:22" x14ac:dyDescent="0.25">
      <c r="B50" s="458"/>
      <c r="C50" s="45"/>
      <c r="D50" s="155" t="s">
        <v>178</v>
      </c>
      <c r="E50" s="155"/>
      <c r="F50" s="155"/>
      <c r="G50" s="155"/>
      <c r="H50" s="155"/>
      <c r="I50" s="884">
        <f t="shared" ref="I50:I63" si="8">IFERROR(J50/J$120," ")</f>
        <v>0</v>
      </c>
      <c r="J50" s="1483"/>
      <c r="K50" s="900">
        <f t="shared" ref="K50:K62" si="9">SUM(L50:Q50)</f>
        <v>0</v>
      </c>
      <c r="L50" s="886"/>
      <c r="M50" s="901"/>
      <c r="N50" s="901"/>
      <c r="O50" s="901"/>
      <c r="P50" s="901"/>
      <c r="Q50" s="901"/>
      <c r="R50" s="468"/>
      <c r="S50" s="907">
        <f t="shared" ref="S50:S62" si="10">SUM(T50:U50)</f>
        <v>0</v>
      </c>
      <c r="T50" s="886"/>
      <c r="U50" s="896"/>
      <c r="V50" s="412"/>
    </row>
    <row r="51" spans="2:22" x14ac:dyDescent="0.25">
      <c r="B51" s="458"/>
      <c r="C51" s="45"/>
      <c r="D51" s="44" t="s">
        <v>179</v>
      </c>
      <c r="E51" s="44"/>
      <c r="F51" s="44"/>
      <c r="G51" s="44"/>
      <c r="H51" s="44"/>
      <c r="I51" s="888">
        <f t="shared" si="8"/>
        <v>2.7470047118456154E-4</v>
      </c>
      <c r="J51" s="1481">
        <v>7500</v>
      </c>
      <c r="K51" s="902">
        <f t="shared" si="9"/>
        <v>7500</v>
      </c>
      <c r="L51" s="890"/>
      <c r="M51" s="903"/>
      <c r="N51" s="903"/>
      <c r="O51" s="903"/>
      <c r="P51" s="903">
        <v>7500</v>
      </c>
      <c r="Q51" s="903"/>
      <c r="R51" s="469"/>
      <c r="S51" s="897">
        <f t="shared" si="10"/>
        <v>0</v>
      </c>
      <c r="T51" s="890"/>
      <c r="U51" s="898"/>
      <c r="V51" s="412"/>
    </row>
    <row r="52" spans="2:22" x14ac:dyDescent="0.25">
      <c r="B52" s="458"/>
      <c r="C52" s="45"/>
      <c r="D52" s="44" t="s">
        <v>180</v>
      </c>
      <c r="E52" s="44"/>
      <c r="F52" s="44"/>
      <c r="G52" s="44"/>
      <c r="H52" s="44"/>
      <c r="I52" s="888">
        <f t="shared" si="8"/>
        <v>4.863015116034395E-2</v>
      </c>
      <c r="J52" s="1481">
        <v>1327723</v>
      </c>
      <c r="K52" s="902">
        <f t="shared" si="9"/>
        <v>1130621</v>
      </c>
      <c r="L52" s="890"/>
      <c r="M52" s="903">
        <v>37036</v>
      </c>
      <c r="N52" s="903"/>
      <c r="O52" s="903"/>
      <c r="P52" s="903">
        <v>1093585</v>
      </c>
      <c r="Q52" s="903"/>
      <c r="R52" s="469"/>
      <c r="S52" s="897">
        <f t="shared" si="10"/>
        <v>197102</v>
      </c>
      <c r="T52" s="890"/>
      <c r="U52" s="898">
        <v>197102</v>
      </c>
      <c r="V52" s="412"/>
    </row>
    <row r="53" spans="2:22" x14ac:dyDescent="0.25">
      <c r="B53" s="458"/>
      <c r="C53" s="45"/>
      <c r="D53" s="44" t="s">
        <v>181</v>
      </c>
      <c r="E53" s="44"/>
      <c r="F53" s="44"/>
      <c r="G53" s="44"/>
      <c r="H53" s="44"/>
      <c r="I53" s="888">
        <f t="shared" si="8"/>
        <v>0</v>
      </c>
      <c r="J53" s="1481"/>
      <c r="K53" s="902">
        <f t="shared" si="9"/>
        <v>0</v>
      </c>
      <c r="L53" s="890"/>
      <c r="M53" s="903"/>
      <c r="N53" s="903"/>
      <c r="O53" s="903"/>
      <c r="P53" s="903"/>
      <c r="Q53" s="903"/>
      <c r="R53" s="469"/>
      <c r="S53" s="897">
        <f t="shared" si="10"/>
        <v>0</v>
      </c>
      <c r="T53" s="890"/>
      <c r="U53" s="898"/>
      <c r="V53" s="412"/>
    </row>
    <row r="54" spans="2:22" x14ac:dyDescent="0.25">
      <c r="B54" s="458"/>
      <c r="C54" s="45"/>
      <c r="D54" s="50" t="s">
        <v>182</v>
      </c>
      <c r="E54" s="50"/>
      <c r="F54" s="50"/>
      <c r="G54" s="50"/>
      <c r="H54" s="50"/>
      <c r="I54" s="888">
        <f t="shared" si="8"/>
        <v>5.4940094236912308E-4</v>
      </c>
      <c r="J54" s="1481">
        <v>15000</v>
      </c>
      <c r="K54" s="902">
        <f t="shared" si="9"/>
        <v>13054</v>
      </c>
      <c r="L54" s="890"/>
      <c r="M54" s="903"/>
      <c r="N54" s="903"/>
      <c r="O54" s="903"/>
      <c r="P54" s="903">
        <v>13054</v>
      </c>
      <c r="Q54" s="903"/>
      <c r="R54" s="469"/>
      <c r="S54" s="897">
        <f t="shared" si="10"/>
        <v>1946</v>
      </c>
      <c r="T54" s="890"/>
      <c r="U54" s="898">
        <v>1946</v>
      </c>
      <c r="V54" s="412"/>
    </row>
    <row r="55" spans="2:22" x14ac:dyDescent="0.25">
      <c r="B55" s="458"/>
      <c r="C55" s="45"/>
      <c r="D55" s="44" t="s">
        <v>183</v>
      </c>
      <c r="E55" s="44"/>
      <c r="F55" s="44"/>
      <c r="G55" s="44"/>
      <c r="H55" s="44"/>
      <c r="I55" s="888">
        <f t="shared" si="8"/>
        <v>9.1566823728187179E-4</v>
      </c>
      <c r="J55" s="1481">
        <v>25000</v>
      </c>
      <c r="K55" s="902">
        <f t="shared" si="9"/>
        <v>21757</v>
      </c>
      <c r="L55" s="890"/>
      <c r="M55" s="903"/>
      <c r="N55" s="903"/>
      <c r="O55" s="903"/>
      <c r="P55" s="903">
        <v>21757</v>
      </c>
      <c r="Q55" s="903"/>
      <c r="R55" s="469"/>
      <c r="S55" s="897">
        <f t="shared" si="10"/>
        <v>3243</v>
      </c>
      <c r="T55" s="890"/>
      <c r="U55" s="898">
        <v>3243</v>
      </c>
      <c r="V55" s="412"/>
    </row>
    <row r="56" spans="2:22" x14ac:dyDescent="0.25">
      <c r="B56" s="458"/>
      <c r="C56" s="45"/>
      <c r="D56" s="44" t="s">
        <v>184</v>
      </c>
      <c r="E56" s="44"/>
      <c r="F56" s="44"/>
      <c r="G56" s="44"/>
      <c r="H56" s="44"/>
      <c r="I56" s="888">
        <f t="shared" si="8"/>
        <v>9.1566823728187179E-4</v>
      </c>
      <c r="J56" s="1481">
        <v>25000</v>
      </c>
      <c r="K56" s="902">
        <f t="shared" si="9"/>
        <v>21757</v>
      </c>
      <c r="L56" s="890"/>
      <c r="M56" s="903"/>
      <c r="N56" s="903"/>
      <c r="O56" s="903"/>
      <c r="P56" s="903">
        <v>21757</v>
      </c>
      <c r="Q56" s="903"/>
      <c r="R56" s="469"/>
      <c r="S56" s="897">
        <f t="shared" si="10"/>
        <v>3243</v>
      </c>
      <c r="T56" s="890"/>
      <c r="U56" s="898">
        <v>3243</v>
      </c>
      <c r="V56" s="412"/>
    </row>
    <row r="57" spans="2:22" x14ac:dyDescent="0.25">
      <c r="B57" s="458"/>
      <c r="C57" s="45"/>
      <c r="D57" s="44" t="s">
        <v>185</v>
      </c>
      <c r="E57" s="44"/>
      <c r="F57" s="44"/>
      <c r="G57" s="44"/>
      <c r="H57" s="44"/>
      <c r="I57" s="888">
        <f t="shared" si="8"/>
        <v>0</v>
      </c>
      <c r="J57" s="1481"/>
      <c r="K57" s="902">
        <f t="shared" si="9"/>
        <v>0</v>
      </c>
      <c r="L57" s="890"/>
      <c r="M57" s="903"/>
      <c r="N57" s="903"/>
      <c r="O57" s="903"/>
      <c r="P57" s="903"/>
      <c r="Q57" s="903"/>
      <c r="R57" s="469"/>
      <c r="S57" s="897">
        <f t="shared" si="10"/>
        <v>0</v>
      </c>
      <c r="T57" s="890"/>
      <c r="U57" s="898"/>
      <c r="V57" s="412"/>
    </row>
    <row r="58" spans="2:22" x14ac:dyDescent="0.25">
      <c r="B58" s="458"/>
      <c r="C58" s="45"/>
      <c r="D58" s="50" t="s">
        <v>186</v>
      </c>
      <c r="E58" s="50"/>
      <c r="F58" s="50"/>
      <c r="G58" s="50"/>
      <c r="H58" s="50"/>
      <c r="I58" s="888">
        <f t="shared" si="8"/>
        <v>3.8036345802476078E-2</v>
      </c>
      <c r="J58" s="1481">
        <v>1038486</v>
      </c>
      <c r="K58" s="902">
        <f t="shared" si="9"/>
        <v>1038486</v>
      </c>
      <c r="L58" s="890"/>
      <c r="M58" s="903"/>
      <c r="N58" s="903"/>
      <c r="O58" s="903">
        <v>1038486</v>
      </c>
      <c r="P58" s="903"/>
      <c r="Q58" s="903"/>
      <c r="R58" s="469"/>
      <c r="S58" s="897">
        <f t="shared" si="10"/>
        <v>0</v>
      </c>
      <c r="T58" s="890"/>
      <c r="U58" s="898"/>
      <c r="V58" s="412"/>
    </row>
    <row r="59" spans="2:22" x14ac:dyDescent="0.25">
      <c r="B59" s="458"/>
      <c r="C59" s="45"/>
      <c r="D59" s="50" t="s">
        <v>187</v>
      </c>
      <c r="E59" s="50"/>
      <c r="F59" s="50"/>
      <c r="G59" s="50"/>
      <c r="H59" s="50"/>
      <c r="I59" s="888">
        <f t="shared" si="8"/>
        <v>4.5288511495207483E-2</v>
      </c>
      <c r="J59" s="1481">
        <f>1226488+10000</f>
        <v>1236488</v>
      </c>
      <c r="K59" s="902">
        <f t="shared" si="9"/>
        <v>1058486</v>
      </c>
      <c r="L59" s="890"/>
      <c r="M59" s="903"/>
      <c r="N59" s="903"/>
      <c r="O59" s="903">
        <v>126929</v>
      </c>
      <c r="P59" s="903">
        <v>931557</v>
      </c>
      <c r="Q59" s="903"/>
      <c r="R59" s="469"/>
      <c r="S59" s="897">
        <f t="shared" si="10"/>
        <v>178002</v>
      </c>
      <c r="T59" s="890">
        <v>178002</v>
      </c>
      <c r="U59" s="898"/>
      <c r="V59" s="412"/>
    </row>
    <row r="60" spans="2:22" x14ac:dyDescent="0.25">
      <c r="B60" s="458"/>
      <c r="C60" s="45"/>
      <c r="D60" s="50" t="s">
        <v>188</v>
      </c>
      <c r="E60" s="50"/>
      <c r="F60" s="50"/>
      <c r="G60" s="50"/>
      <c r="H60" s="50"/>
      <c r="I60" s="888">
        <f t="shared" si="8"/>
        <v>2.0144701220201179E-3</v>
      </c>
      <c r="J60" s="1481">
        <v>55000</v>
      </c>
      <c r="K60" s="902">
        <f t="shared" si="9"/>
        <v>47865</v>
      </c>
      <c r="L60" s="910"/>
      <c r="M60" s="911"/>
      <c r="N60" s="911"/>
      <c r="O60" s="911"/>
      <c r="P60" s="911">
        <v>47865</v>
      </c>
      <c r="Q60" s="911"/>
      <c r="R60" s="469"/>
      <c r="S60" s="897">
        <f t="shared" si="10"/>
        <v>7135</v>
      </c>
      <c r="T60" s="910"/>
      <c r="U60" s="913">
        <v>7135</v>
      </c>
      <c r="V60" s="412"/>
    </row>
    <row r="61" spans="2:22" x14ac:dyDescent="0.25">
      <c r="B61" s="458"/>
      <c r="C61" s="45"/>
      <c r="D61" s="83" t="s">
        <v>189</v>
      </c>
      <c r="E61" s="83"/>
      <c r="F61" s="83"/>
      <c r="G61" s="83"/>
      <c r="H61" s="83"/>
      <c r="I61" s="888">
        <f t="shared" si="8"/>
        <v>0</v>
      </c>
      <c r="J61" s="1481"/>
      <c r="K61" s="902">
        <f t="shared" si="9"/>
        <v>0</v>
      </c>
      <c r="L61" s="910"/>
      <c r="M61" s="911"/>
      <c r="N61" s="911"/>
      <c r="O61" s="911"/>
      <c r="P61" s="911"/>
      <c r="Q61" s="911"/>
      <c r="R61" s="469"/>
      <c r="S61" s="897">
        <f t="shared" si="10"/>
        <v>0</v>
      </c>
      <c r="T61" s="910"/>
      <c r="U61" s="913"/>
      <c r="V61" s="412"/>
    </row>
    <row r="62" spans="2:22" x14ac:dyDescent="0.25">
      <c r="B62" s="458"/>
      <c r="C62" s="45"/>
      <c r="D62" s="49" t="s">
        <v>427</v>
      </c>
      <c r="E62" s="2289"/>
      <c r="F62" s="2290"/>
      <c r="G62" s="2291"/>
      <c r="H62" s="49"/>
      <c r="I62" s="892">
        <f t="shared" si="8"/>
        <v>0</v>
      </c>
      <c r="J62" s="1482"/>
      <c r="K62" s="904">
        <f t="shared" si="9"/>
        <v>0</v>
      </c>
      <c r="L62" s="894"/>
      <c r="M62" s="912"/>
      <c r="N62" s="912"/>
      <c r="O62" s="912"/>
      <c r="P62" s="912"/>
      <c r="Q62" s="912"/>
      <c r="R62" s="469"/>
      <c r="S62" s="908">
        <f t="shared" si="10"/>
        <v>0</v>
      </c>
      <c r="T62" s="894"/>
      <c r="U62" s="899"/>
      <c r="V62" s="412"/>
    </row>
    <row r="63" spans="2:22" ht="15.75" thickBot="1" x14ac:dyDescent="0.3">
      <c r="B63" s="458"/>
      <c r="C63" s="45"/>
      <c r="D63" s="44"/>
      <c r="E63" s="44"/>
      <c r="F63" s="44"/>
      <c r="G63" s="48" t="s">
        <v>160</v>
      </c>
      <c r="H63" s="48"/>
      <c r="I63" s="353">
        <f t="shared" si="8"/>
        <v>0.13662491646816505</v>
      </c>
      <c r="J63" s="36">
        <f t="shared" ref="J63:Q63" si="11">SUM(J50:J62)</f>
        <v>3730197</v>
      </c>
      <c r="K63" s="22">
        <f t="shared" si="11"/>
        <v>3339526</v>
      </c>
      <c r="L63" s="1538">
        <f t="shared" si="11"/>
        <v>0</v>
      </c>
      <c r="M63" s="1539">
        <f t="shared" si="11"/>
        <v>37036</v>
      </c>
      <c r="N63" s="1539">
        <f t="shared" si="11"/>
        <v>0</v>
      </c>
      <c r="O63" s="1539">
        <f t="shared" si="11"/>
        <v>1165415</v>
      </c>
      <c r="P63" s="1539">
        <f t="shared" si="11"/>
        <v>2137075</v>
      </c>
      <c r="Q63" s="1539">
        <f t="shared" si="11"/>
        <v>0</v>
      </c>
      <c r="R63" s="470"/>
      <c r="S63" s="471">
        <f>SUM(S50:S62)</f>
        <v>390671</v>
      </c>
      <c r="T63" s="1538">
        <f>SUM(T50:T62)</f>
        <v>178002</v>
      </c>
      <c r="U63" s="1540">
        <f>SUM(U50:U62)</f>
        <v>212669</v>
      </c>
      <c r="V63" s="412"/>
    </row>
    <row r="64" spans="2:22" ht="3.75" customHeight="1" x14ac:dyDescent="0.25">
      <c r="B64" s="458"/>
      <c r="C64" s="44"/>
      <c r="D64" s="44"/>
      <c r="E64" s="44"/>
      <c r="F64" s="44"/>
      <c r="G64" s="44"/>
      <c r="H64" s="44"/>
      <c r="I64" s="413"/>
      <c r="J64" s="478"/>
      <c r="K64" s="479"/>
      <c r="L64" s="480"/>
      <c r="M64" s="362"/>
      <c r="N64" s="362"/>
      <c r="O64" s="362"/>
      <c r="P64" s="479"/>
      <c r="Q64" s="362"/>
      <c r="R64" s="481"/>
      <c r="S64" s="362"/>
      <c r="T64" s="480"/>
      <c r="U64" s="362"/>
      <c r="V64" s="412"/>
    </row>
    <row r="65" spans="2:22" ht="15.75" thickBot="1" x14ac:dyDescent="0.3">
      <c r="B65" s="458"/>
      <c r="C65" s="78" t="s">
        <v>190</v>
      </c>
      <c r="D65" s="78"/>
      <c r="E65" s="78"/>
      <c r="F65" s="78"/>
      <c r="G65" s="78"/>
      <c r="H65" s="47"/>
      <c r="I65" s="47"/>
      <c r="J65" s="47"/>
      <c r="K65" s="47"/>
      <c r="L65" s="460"/>
      <c r="M65" s="45"/>
      <c r="N65" s="45"/>
      <c r="O65" s="15"/>
      <c r="P65" s="467"/>
      <c r="Q65" s="467"/>
      <c r="R65" s="464"/>
      <c r="S65" s="68"/>
      <c r="T65" s="467"/>
      <c r="U65" s="467"/>
      <c r="V65" s="412"/>
    </row>
    <row r="66" spans="2:22" x14ac:dyDescent="0.25">
      <c r="B66" s="458"/>
      <c r="C66" s="45"/>
      <c r="D66" s="155" t="s">
        <v>191</v>
      </c>
      <c r="E66" s="155"/>
      <c r="F66" s="155"/>
      <c r="G66" s="155"/>
      <c r="H66" s="155"/>
      <c r="I66" s="884">
        <f>IFERROR(J66/J$120," ")</f>
        <v>0</v>
      </c>
      <c r="J66" s="1483"/>
      <c r="K66" s="900">
        <f>SUM(L66:Q66)</f>
        <v>0</v>
      </c>
      <c r="L66" s="886"/>
      <c r="M66" s="901"/>
      <c r="N66" s="901"/>
      <c r="O66" s="901"/>
      <c r="P66" s="901"/>
      <c r="Q66" s="901"/>
      <c r="R66" s="468"/>
      <c r="S66" s="907">
        <f>SUM(T66:U66)</f>
        <v>0</v>
      </c>
      <c r="T66" s="886"/>
      <c r="U66" s="896"/>
      <c r="V66" s="412"/>
    </row>
    <row r="67" spans="2:22" x14ac:dyDescent="0.25">
      <c r="B67" s="458"/>
      <c r="C67" s="45"/>
      <c r="D67" s="44" t="s">
        <v>192</v>
      </c>
      <c r="E67" s="44"/>
      <c r="F67" s="44"/>
      <c r="G67" s="44"/>
      <c r="H67" s="44"/>
      <c r="I67" s="892">
        <f>IFERROR(J67/J$120," ")</f>
        <v>0</v>
      </c>
      <c r="J67" s="1482"/>
      <c r="K67" s="904">
        <f>SUM(L67:Q67)</f>
        <v>0</v>
      </c>
      <c r="L67" s="905"/>
      <c r="M67" s="906"/>
      <c r="N67" s="906"/>
      <c r="O67" s="906"/>
      <c r="P67" s="906"/>
      <c r="Q67" s="906"/>
      <c r="R67" s="469"/>
      <c r="S67" s="908">
        <f>SUM(T67:U67)</f>
        <v>0</v>
      </c>
      <c r="T67" s="905"/>
      <c r="U67" s="909"/>
      <c r="V67" s="412"/>
    </row>
    <row r="68" spans="2:22" ht="15.75" thickBot="1" x14ac:dyDescent="0.3">
      <c r="B68" s="458"/>
      <c r="C68" s="45"/>
      <c r="D68" s="44"/>
      <c r="E68" s="44"/>
      <c r="F68" s="44"/>
      <c r="G68" s="48" t="s">
        <v>160</v>
      </c>
      <c r="H68" s="48"/>
      <c r="I68" s="353">
        <f>IFERROR(J68/J$120," ")</f>
        <v>0</v>
      </c>
      <c r="J68" s="36">
        <f t="shared" ref="J68:Q68" si="12">SUM(J66:J67)</f>
        <v>0</v>
      </c>
      <c r="K68" s="22">
        <f t="shared" si="12"/>
        <v>0</v>
      </c>
      <c r="L68" s="1538">
        <f t="shared" si="12"/>
        <v>0</v>
      </c>
      <c r="M68" s="1539">
        <f t="shared" si="12"/>
        <v>0</v>
      </c>
      <c r="N68" s="1539">
        <f t="shared" si="12"/>
        <v>0</v>
      </c>
      <c r="O68" s="1539">
        <f t="shared" si="12"/>
        <v>0</v>
      </c>
      <c r="P68" s="1539">
        <f t="shared" si="12"/>
        <v>0</v>
      </c>
      <c r="Q68" s="1539">
        <f t="shared" si="12"/>
        <v>0</v>
      </c>
      <c r="R68" s="470"/>
      <c r="S68" s="471">
        <f>SUM(S66:S67)</f>
        <v>0</v>
      </c>
      <c r="T68" s="1538">
        <f>SUM(T66:T67)</f>
        <v>0</v>
      </c>
      <c r="U68" s="1540">
        <f>SUM(U66:U67)</f>
        <v>0</v>
      </c>
      <c r="V68" s="412"/>
    </row>
    <row r="69" spans="2:22" ht="3.75" customHeight="1" x14ac:dyDescent="0.25">
      <c r="B69" s="458"/>
      <c r="C69" s="44"/>
      <c r="D69" s="48"/>
      <c r="E69" s="48"/>
      <c r="F69" s="48"/>
      <c r="G69" s="48"/>
      <c r="H69" s="48"/>
      <c r="I69" s="460"/>
      <c r="J69" s="460"/>
      <c r="K69" s="45"/>
      <c r="L69" s="16"/>
      <c r="M69" s="16"/>
      <c r="N69" s="16"/>
      <c r="O69" s="16"/>
      <c r="P69" s="45"/>
      <c r="Q69" s="16"/>
      <c r="R69" s="469"/>
      <c r="S69" s="16"/>
      <c r="T69" s="16"/>
      <c r="U69" s="16"/>
      <c r="V69" s="412"/>
    </row>
    <row r="70" spans="2:22" ht="15.75" thickBot="1" x14ac:dyDescent="0.3">
      <c r="B70" s="458"/>
      <c r="C70" s="78" t="s">
        <v>193</v>
      </c>
      <c r="D70" s="78"/>
      <c r="E70" s="78"/>
      <c r="F70" s="78"/>
      <c r="G70" s="78"/>
      <c r="H70" s="47"/>
      <c r="I70" s="47"/>
      <c r="J70" s="47"/>
      <c r="K70" s="47"/>
      <c r="L70" s="460"/>
      <c r="M70" s="45"/>
      <c r="N70" s="45"/>
      <c r="O70" s="15"/>
      <c r="P70" s="467"/>
      <c r="Q70" s="467"/>
      <c r="R70" s="464"/>
      <c r="S70" s="68"/>
      <c r="T70" s="467"/>
      <c r="U70" s="467"/>
      <c r="V70" s="412"/>
    </row>
    <row r="71" spans="2:22" x14ac:dyDescent="0.25">
      <c r="B71" s="458"/>
      <c r="C71" s="45"/>
      <c r="D71" s="155" t="s">
        <v>194</v>
      </c>
      <c r="E71" s="155"/>
      <c r="F71" s="155"/>
      <c r="G71" s="155"/>
      <c r="H71" s="155"/>
      <c r="I71" s="884">
        <f t="shared" ref="I71:I76" si="13">IFERROR(J71/J$120," ")</f>
        <v>5.8023698592782743E-3</v>
      </c>
      <c r="J71" s="1483">
        <f>143419+15000</f>
        <v>158419</v>
      </c>
      <c r="K71" s="900">
        <f>SUM(L71:Q71)</f>
        <v>137868</v>
      </c>
      <c r="L71" s="886"/>
      <c r="M71" s="901"/>
      <c r="N71" s="901"/>
      <c r="O71" s="901"/>
      <c r="P71" s="901">
        <f>124814+13054</f>
        <v>137868</v>
      </c>
      <c r="Q71" s="901"/>
      <c r="R71" s="468"/>
      <c r="S71" s="907">
        <f>SUM(T71:U71)</f>
        <v>20551</v>
      </c>
      <c r="T71" s="886"/>
      <c r="U71" s="896">
        <f>18605+1946</f>
        <v>20551</v>
      </c>
      <c r="V71" s="412"/>
    </row>
    <row r="72" spans="2:22" x14ac:dyDescent="0.25">
      <c r="B72" s="458"/>
      <c r="C72" s="45"/>
      <c r="D72" s="44" t="s">
        <v>195</v>
      </c>
      <c r="E72" s="44"/>
      <c r="F72" s="44"/>
      <c r="G72" s="44"/>
      <c r="H72" s="44"/>
      <c r="I72" s="888">
        <f t="shared" si="13"/>
        <v>9.1566823728187179E-4</v>
      </c>
      <c r="J72" s="1481">
        <v>25000</v>
      </c>
      <c r="K72" s="902">
        <f>SUM(L72:Q72)</f>
        <v>21757</v>
      </c>
      <c r="L72" s="890"/>
      <c r="M72" s="903"/>
      <c r="N72" s="903"/>
      <c r="O72" s="903"/>
      <c r="P72" s="903">
        <v>21757</v>
      </c>
      <c r="Q72" s="903"/>
      <c r="R72" s="469"/>
      <c r="S72" s="897">
        <f>SUM(T72:U72)</f>
        <v>3243</v>
      </c>
      <c r="T72" s="890"/>
      <c r="U72" s="898">
        <v>3243</v>
      </c>
      <c r="V72" s="412"/>
    </row>
    <row r="73" spans="2:22" x14ac:dyDescent="0.25">
      <c r="B73" s="458"/>
      <c r="C73" s="45"/>
      <c r="D73" s="44" t="s">
        <v>196</v>
      </c>
      <c r="E73" s="44"/>
      <c r="F73" s="44"/>
      <c r="G73" s="44"/>
      <c r="H73" s="44"/>
      <c r="I73" s="888">
        <f t="shared" si="13"/>
        <v>9.1566823728187179E-4</v>
      </c>
      <c r="J73" s="1481">
        <v>25000</v>
      </c>
      <c r="K73" s="902">
        <f>SUM(L73:Q73)</f>
        <v>21757</v>
      </c>
      <c r="L73" s="890"/>
      <c r="M73" s="903"/>
      <c r="N73" s="903"/>
      <c r="O73" s="903"/>
      <c r="P73" s="903">
        <v>21757</v>
      </c>
      <c r="Q73" s="903"/>
      <c r="R73" s="469"/>
      <c r="S73" s="897">
        <f>SUM(T73:U73)</f>
        <v>3243</v>
      </c>
      <c r="T73" s="890"/>
      <c r="U73" s="898">
        <v>3243</v>
      </c>
      <c r="V73" s="412"/>
    </row>
    <row r="74" spans="2:22" x14ac:dyDescent="0.25">
      <c r="B74" s="458"/>
      <c r="C74" s="45"/>
      <c r="D74" s="44" t="s">
        <v>197</v>
      </c>
      <c r="E74" s="44"/>
      <c r="F74" s="44"/>
      <c r="G74" s="44"/>
      <c r="H74" s="44"/>
      <c r="I74" s="888">
        <f t="shared" si="13"/>
        <v>1.1624225138645906E-2</v>
      </c>
      <c r="J74" s="1481">
        <v>317370</v>
      </c>
      <c r="K74" s="902">
        <f>SUM(L74:Q74)</f>
        <v>254325</v>
      </c>
      <c r="L74" s="890"/>
      <c r="M74" s="903"/>
      <c r="N74" s="903"/>
      <c r="O74" s="903"/>
      <c r="P74" s="903">
        <f>176000+78325</f>
        <v>254325</v>
      </c>
      <c r="Q74" s="903"/>
      <c r="R74" s="469"/>
      <c r="S74" s="897">
        <f>SUM(T74:U74)</f>
        <v>63045</v>
      </c>
      <c r="T74" s="890"/>
      <c r="U74" s="898">
        <f>51370+11675</f>
        <v>63045</v>
      </c>
      <c r="V74" s="412"/>
    </row>
    <row r="75" spans="2:22" x14ac:dyDescent="0.25">
      <c r="B75" s="458"/>
      <c r="C75" s="45"/>
      <c r="D75" s="44" t="s">
        <v>198</v>
      </c>
      <c r="E75" s="44"/>
      <c r="F75" s="44"/>
      <c r="G75" s="44"/>
      <c r="H75" s="44"/>
      <c r="I75" s="892">
        <f t="shared" si="13"/>
        <v>6.1763653941136814E-3</v>
      </c>
      <c r="J75" s="1482">
        <v>168630</v>
      </c>
      <c r="K75" s="914">
        <f>SUM(L75:Q75)</f>
        <v>168630</v>
      </c>
      <c r="L75" s="905"/>
      <c r="M75" s="906"/>
      <c r="N75" s="906"/>
      <c r="O75" s="906"/>
      <c r="P75" s="906">
        <v>168630</v>
      </c>
      <c r="Q75" s="906"/>
      <c r="R75" s="469"/>
      <c r="S75" s="908">
        <f>SUM(T75:U75)</f>
        <v>0</v>
      </c>
      <c r="T75" s="905"/>
      <c r="U75" s="909"/>
      <c r="V75" s="412"/>
    </row>
    <row r="76" spans="2:22" ht="15.75" thickBot="1" x14ac:dyDescent="0.3">
      <c r="B76" s="458"/>
      <c r="C76" s="45"/>
      <c r="D76" s="44"/>
      <c r="E76" s="44"/>
      <c r="F76" s="44"/>
      <c r="G76" s="48" t="s">
        <v>160</v>
      </c>
      <c r="H76" s="48"/>
      <c r="I76" s="353">
        <f t="shared" si="13"/>
        <v>2.5434296866601605E-2</v>
      </c>
      <c r="J76" s="36">
        <f t="shared" ref="J76:Q76" si="14">SUM(J71:J75)</f>
        <v>694419</v>
      </c>
      <c r="K76" s="22">
        <f t="shared" si="14"/>
        <v>604337</v>
      </c>
      <c r="L76" s="1538">
        <f t="shared" si="14"/>
        <v>0</v>
      </c>
      <c r="M76" s="1539">
        <f t="shared" si="14"/>
        <v>0</v>
      </c>
      <c r="N76" s="1539">
        <f t="shared" si="14"/>
        <v>0</v>
      </c>
      <c r="O76" s="1539">
        <f t="shared" si="14"/>
        <v>0</v>
      </c>
      <c r="P76" s="1539">
        <f t="shared" si="14"/>
        <v>604337</v>
      </c>
      <c r="Q76" s="1539">
        <f t="shared" si="14"/>
        <v>0</v>
      </c>
      <c r="R76" s="470"/>
      <c r="S76" s="471">
        <f>SUM(S71:S75)</f>
        <v>90082</v>
      </c>
      <c r="T76" s="1538">
        <f>SUM(T71:T75)</f>
        <v>0</v>
      </c>
      <c r="U76" s="1540">
        <f>SUM(U71:U75)</f>
        <v>90082</v>
      </c>
      <c r="V76" s="412"/>
    </row>
    <row r="77" spans="2:22" ht="9" customHeight="1" thickBot="1" x14ac:dyDescent="0.3">
      <c r="B77" s="473"/>
      <c r="C77" s="28"/>
      <c r="D77" s="31"/>
      <c r="E77" s="31"/>
      <c r="F77" s="31"/>
      <c r="G77" s="31"/>
      <c r="H77" s="31"/>
      <c r="I77" s="419"/>
      <c r="J77" s="474"/>
      <c r="K77" s="475"/>
      <c r="L77" s="29"/>
      <c r="M77" s="29"/>
      <c r="N77" s="29"/>
      <c r="O77" s="29"/>
      <c r="P77" s="475"/>
      <c r="Q77" s="29"/>
      <c r="R77" s="477"/>
      <c r="S77" s="29"/>
      <c r="T77" s="29"/>
      <c r="U77" s="29"/>
      <c r="V77" s="420"/>
    </row>
    <row r="78" spans="2:22" ht="15.75" thickBot="1" x14ac:dyDescent="0.3">
      <c r="B78" s="458"/>
      <c r="C78" s="78" t="s">
        <v>199</v>
      </c>
      <c r="D78" s="78"/>
      <c r="E78" s="78"/>
      <c r="F78" s="78"/>
      <c r="G78" s="78"/>
      <c r="H78" s="47"/>
      <c r="I78" s="47"/>
      <c r="J78" s="47"/>
      <c r="K78" s="47"/>
      <c r="L78" s="16"/>
      <c r="M78" s="16"/>
      <c r="N78" s="16"/>
      <c r="O78" s="16"/>
      <c r="P78" s="45"/>
      <c r="Q78" s="16"/>
      <c r="R78" s="469"/>
      <c r="S78" s="16"/>
      <c r="T78" s="16"/>
      <c r="U78" s="16"/>
      <c r="V78" s="412"/>
    </row>
    <row r="79" spans="2:22" x14ac:dyDescent="0.25">
      <c r="B79" s="458"/>
      <c r="C79" s="45"/>
      <c r="D79" s="155" t="s">
        <v>200</v>
      </c>
      <c r="E79" s="155"/>
      <c r="F79" s="155"/>
      <c r="G79" s="155"/>
      <c r="H79" s="155"/>
      <c r="I79" s="884">
        <f t="shared" ref="I79:I87" si="15">IFERROR(J79/J$120," ")</f>
        <v>1.3185622616858953E-3</v>
      </c>
      <c r="J79" s="1483">
        <v>36000</v>
      </c>
      <c r="K79" s="900">
        <f t="shared" ref="K79:K86" si="16">SUM(L79:Q79)</f>
        <v>0</v>
      </c>
      <c r="L79" s="886"/>
      <c r="M79" s="901"/>
      <c r="N79" s="901"/>
      <c r="O79" s="901"/>
      <c r="P79" s="901"/>
      <c r="Q79" s="901"/>
      <c r="R79" s="468"/>
      <c r="S79" s="907">
        <f t="shared" ref="S79:S86" si="17">SUM(T79:U79)</f>
        <v>36000</v>
      </c>
      <c r="T79" s="886"/>
      <c r="U79" s="896">
        <v>36000</v>
      </c>
      <c r="V79" s="412"/>
    </row>
    <row r="80" spans="2:22" x14ac:dyDescent="0.25">
      <c r="B80" s="458"/>
      <c r="C80" s="45"/>
      <c r="D80" s="44" t="s">
        <v>201</v>
      </c>
      <c r="E80" s="44"/>
      <c r="F80" s="44"/>
      <c r="G80" s="44"/>
      <c r="H80" s="44"/>
      <c r="I80" s="888">
        <f t="shared" si="15"/>
        <v>3.6626729491274872E-4</v>
      </c>
      <c r="J80" s="1481">
        <v>10000</v>
      </c>
      <c r="K80" s="902">
        <f t="shared" si="16"/>
        <v>10000</v>
      </c>
      <c r="L80" s="890"/>
      <c r="M80" s="903"/>
      <c r="N80" s="903"/>
      <c r="O80" s="903"/>
      <c r="P80" s="903">
        <v>10000</v>
      </c>
      <c r="Q80" s="903"/>
      <c r="R80" s="469"/>
      <c r="S80" s="897">
        <f t="shared" si="17"/>
        <v>0</v>
      </c>
      <c r="T80" s="890"/>
      <c r="U80" s="898"/>
      <c r="V80" s="412"/>
    </row>
    <row r="81" spans="2:22" x14ac:dyDescent="0.25">
      <c r="B81" s="458"/>
      <c r="C81" s="45"/>
      <c r="D81" s="44" t="s">
        <v>202</v>
      </c>
      <c r="E81" s="44"/>
      <c r="F81" s="44"/>
      <c r="G81" s="44"/>
      <c r="H81" s="44"/>
      <c r="I81" s="888">
        <f t="shared" si="15"/>
        <v>3.6626729491274872E-4</v>
      </c>
      <c r="J81" s="1481">
        <v>10000</v>
      </c>
      <c r="K81" s="902">
        <f t="shared" si="16"/>
        <v>10000</v>
      </c>
      <c r="L81" s="890"/>
      <c r="M81" s="903"/>
      <c r="N81" s="903"/>
      <c r="O81" s="903"/>
      <c r="P81" s="903">
        <v>10000</v>
      </c>
      <c r="Q81" s="903"/>
      <c r="R81" s="469"/>
      <c r="S81" s="897">
        <f t="shared" si="17"/>
        <v>0</v>
      </c>
      <c r="T81" s="890"/>
      <c r="U81" s="898"/>
      <c r="V81" s="412"/>
    </row>
    <row r="82" spans="2:22" x14ac:dyDescent="0.25">
      <c r="B82" s="458"/>
      <c r="C82" s="45"/>
      <c r="D82" s="49" t="s">
        <v>203</v>
      </c>
      <c r="E82" s="49"/>
      <c r="F82" s="49"/>
      <c r="G82" s="49"/>
      <c r="H82" s="49"/>
      <c r="I82" s="888">
        <f t="shared" si="15"/>
        <v>2.5959927061530892E-3</v>
      </c>
      <c r="J82" s="1481">
        <v>70877</v>
      </c>
      <c r="K82" s="902">
        <f t="shared" si="16"/>
        <v>70877</v>
      </c>
      <c r="L82" s="890"/>
      <c r="M82" s="903"/>
      <c r="N82" s="903"/>
      <c r="O82" s="903"/>
      <c r="P82" s="903">
        <v>70877</v>
      </c>
      <c r="Q82" s="903"/>
      <c r="R82" s="469"/>
      <c r="S82" s="897">
        <f t="shared" si="17"/>
        <v>0</v>
      </c>
      <c r="T82" s="890"/>
      <c r="U82" s="898"/>
      <c r="V82" s="412"/>
    </row>
    <row r="83" spans="2:22" x14ac:dyDescent="0.25">
      <c r="B83" s="458"/>
      <c r="C83" s="45"/>
      <c r="D83" s="49" t="s">
        <v>204</v>
      </c>
      <c r="E83" s="49"/>
      <c r="F83" s="49"/>
      <c r="G83" s="49"/>
      <c r="H83" s="49"/>
      <c r="I83" s="888">
        <f t="shared" si="15"/>
        <v>3.1132720067583641E-3</v>
      </c>
      <c r="J83" s="1481">
        <v>85000</v>
      </c>
      <c r="K83" s="902">
        <f t="shared" si="16"/>
        <v>85000</v>
      </c>
      <c r="L83" s="890"/>
      <c r="M83" s="903"/>
      <c r="N83" s="903"/>
      <c r="O83" s="903"/>
      <c r="P83" s="903">
        <v>85000</v>
      </c>
      <c r="Q83" s="903"/>
      <c r="R83" s="469"/>
      <c r="S83" s="897">
        <f t="shared" si="17"/>
        <v>0</v>
      </c>
      <c r="T83" s="890"/>
      <c r="U83" s="898"/>
      <c r="V83" s="412"/>
    </row>
    <row r="84" spans="2:22" x14ac:dyDescent="0.25">
      <c r="B84" s="458"/>
      <c r="C84" s="45"/>
      <c r="D84" s="49" t="s">
        <v>205</v>
      </c>
      <c r="E84" s="49"/>
      <c r="F84" s="49"/>
      <c r="G84" s="49"/>
      <c r="H84" s="49"/>
      <c r="I84" s="888">
        <f t="shared" si="15"/>
        <v>0</v>
      </c>
      <c r="J84" s="1481"/>
      <c r="K84" s="902">
        <f t="shared" si="16"/>
        <v>0</v>
      </c>
      <c r="L84" s="890"/>
      <c r="M84" s="903"/>
      <c r="N84" s="903"/>
      <c r="O84" s="903"/>
      <c r="P84" s="903"/>
      <c r="Q84" s="903"/>
      <c r="R84" s="469"/>
      <c r="S84" s="897">
        <f t="shared" si="17"/>
        <v>0</v>
      </c>
      <c r="T84" s="890"/>
      <c r="U84" s="898"/>
      <c r="V84" s="412"/>
    </row>
    <row r="85" spans="2:22" x14ac:dyDescent="0.25">
      <c r="B85" s="458"/>
      <c r="C85" s="45"/>
      <c r="D85" s="50" t="s">
        <v>206</v>
      </c>
      <c r="E85" s="50"/>
      <c r="F85" s="50"/>
      <c r="G85" s="50"/>
      <c r="H85" s="50"/>
      <c r="I85" s="888">
        <f t="shared" si="15"/>
        <v>1.4650691796509949E-3</v>
      </c>
      <c r="J85" s="1481">
        <v>40000</v>
      </c>
      <c r="K85" s="902">
        <f t="shared" si="16"/>
        <v>40000</v>
      </c>
      <c r="L85" s="890"/>
      <c r="M85" s="903"/>
      <c r="N85" s="903"/>
      <c r="O85" s="903"/>
      <c r="P85" s="903">
        <v>40000</v>
      </c>
      <c r="Q85" s="903"/>
      <c r="R85" s="469"/>
      <c r="S85" s="897">
        <f t="shared" si="17"/>
        <v>0</v>
      </c>
      <c r="T85" s="890"/>
      <c r="U85" s="898"/>
      <c r="V85" s="412"/>
    </row>
    <row r="86" spans="2:22" x14ac:dyDescent="0.25">
      <c r="B86" s="458"/>
      <c r="C86" s="45"/>
      <c r="D86" s="49" t="s">
        <v>427</v>
      </c>
      <c r="E86" s="2289" t="s">
        <v>2073</v>
      </c>
      <c r="F86" s="2290"/>
      <c r="G86" s="2291"/>
      <c r="H86" s="49"/>
      <c r="I86" s="892">
        <f t="shared" si="15"/>
        <v>7.3253458982549743E-4</v>
      </c>
      <c r="J86" s="1482">
        <v>20000</v>
      </c>
      <c r="K86" s="914">
        <f t="shared" si="16"/>
        <v>20000</v>
      </c>
      <c r="L86" s="905"/>
      <c r="M86" s="906"/>
      <c r="N86" s="906"/>
      <c r="O86" s="906"/>
      <c r="P86" s="906">
        <v>20000</v>
      </c>
      <c r="Q86" s="906"/>
      <c r="R86" s="469"/>
      <c r="S86" s="908">
        <f t="shared" si="17"/>
        <v>0</v>
      </c>
      <c r="T86" s="905"/>
      <c r="U86" s="909"/>
      <c r="V86" s="412"/>
    </row>
    <row r="87" spans="2:22" ht="15.75" thickBot="1" x14ac:dyDescent="0.3">
      <c r="B87" s="458"/>
      <c r="C87" s="45"/>
      <c r="D87" s="44"/>
      <c r="E87" s="44"/>
      <c r="F87" s="44"/>
      <c r="G87" s="48" t="s">
        <v>160</v>
      </c>
      <c r="H87" s="48"/>
      <c r="I87" s="353">
        <f t="shared" si="15"/>
        <v>9.9579653338993379E-3</v>
      </c>
      <c r="J87" s="36">
        <f t="shared" ref="J87:Q87" si="18">SUM(J79:J86)</f>
        <v>271877</v>
      </c>
      <c r="K87" s="22">
        <f t="shared" si="18"/>
        <v>235877</v>
      </c>
      <c r="L87" s="1538">
        <f t="shared" si="18"/>
        <v>0</v>
      </c>
      <c r="M87" s="1539">
        <f t="shared" si="18"/>
        <v>0</v>
      </c>
      <c r="N87" s="1539">
        <f t="shared" si="18"/>
        <v>0</v>
      </c>
      <c r="O87" s="1539">
        <f t="shared" si="18"/>
        <v>0</v>
      </c>
      <c r="P87" s="1539">
        <f t="shared" si="18"/>
        <v>235877</v>
      </c>
      <c r="Q87" s="1539">
        <f t="shared" si="18"/>
        <v>0</v>
      </c>
      <c r="R87" s="470"/>
      <c r="S87" s="471">
        <f>SUM(S79:S86)</f>
        <v>36000</v>
      </c>
      <c r="T87" s="1538">
        <f>SUM(T79:T86)</f>
        <v>0</v>
      </c>
      <c r="U87" s="1540">
        <f>SUM(U79:U86)</f>
        <v>36000</v>
      </c>
      <c r="V87" s="412"/>
    </row>
    <row r="88" spans="2:22" ht="3.75" customHeight="1" x14ac:dyDescent="0.25">
      <c r="B88" s="458"/>
      <c r="C88" s="44"/>
      <c r="D88" s="44"/>
      <c r="E88" s="44"/>
      <c r="F88" s="44"/>
      <c r="G88" s="44"/>
      <c r="H88" s="44"/>
      <c r="I88" s="460"/>
      <c r="J88" s="472"/>
      <c r="K88" s="45"/>
      <c r="L88" s="16"/>
      <c r="M88" s="16"/>
      <c r="N88" s="16"/>
      <c r="O88" s="16"/>
      <c r="P88" s="45"/>
      <c r="Q88" s="16"/>
      <c r="R88" s="469"/>
      <c r="S88" s="16"/>
      <c r="T88" s="16"/>
      <c r="U88" s="16"/>
      <c r="V88" s="412"/>
    </row>
    <row r="89" spans="2:22" ht="15.75" thickBot="1" x14ac:dyDescent="0.3">
      <c r="B89" s="458"/>
      <c r="C89" s="78" t="s">
        <v>207</v>
      </c>
      <c r="D89" s="78"/>
      <c r="E89" s="78"/>
      <c r="F89" s="78"/>
      <c r="G89" s="78"/>
      <c r="H89" s="47"/>
      <c r="I89" s="47"/>
      <c r="J89" s="47"/>
      <c r="K89" s="47"/>
      <c r="L89" s="482"/>
      <c r="M89" s="19"/>
      <c r="N89" s="19"/>
      <c r="O89" s="19"/>
      <c r="P89" s="45"/>
      <c r="Q89" s="19"/>
      <c r="R89" s="469"/>
      <c r="S89" s="19"/>
      <c r="T89" s="19"/>
      <c r="U89" s="19"/>
      <c r="V89" s="412"/>
    </row>
    <row r="90" spans="2:22" x14ac:dyDescent="0.25">
      <c r="B90" s="458"/>
      <c r="C90" s="45"/>
      <c r="D90" s="156" t="s">
        <v>208</v>
      </c>
      <c r="E90" s="156"/>
      <c r="F90" s="156"/>
      <c r="G90" s="156"/>
      <c r="H90" s="156"/>
      <c r="I90" s="884">
        <f>IFERROR(J90/J$120," ")</f>
        <v>1.3397581500424962E-2</v>
      </c>
      <c r="J90" s="1483">
        <v>365787</v>
      </c>
      <c r="K90" s="900">
        <f>SUM(L90:Q90)</f>
        <v>365787</v>
      </c>
      <c r="L90" s="886">
        <v>365787</v>
      </c>
      <c r="M90" s="901"/>
      <c r="N90" s="901"/>
      <c r="O90" s="901"/>
      <c r="P90" s="901"/>
      <c r="Q90" s="901"/>
      <c r="R90" s="468"/>
      <c r="S90" s="907">
        <f>SUM(T90:U90)</f>
        <v>0</v>
      </c>
      <c r="T90" s="886"/>
      <c r="U90" s="896"/>
      <c r="V90" s="412"/>
    </row>
    <row r="91" spans="2:22" x14ac:dyDescent="0.25">
      <c r="B91" s="458"/>
      <c r="C91" s="45"/>
      <c r="D91" s="50" t="s">
        <v>209</v>
      </c>
      <c r="E91" s="50"/>
      <c r="F91" s="50"/>
      <c r="G91" s="50"/>
      <c r="H91" s="50"/>
      <c r="I91" s="888">
        <f>IFERROR(J91/J$120," ")</f>
        <v>9.8709035978985778E-4</v>
      </c>
      <c r="J91" s="1481">
        <v>26950</v>
      </c>
      <c r="K91" s="902">
        <f>SUM(L91:Q91)</f>
        <v>26950</v>
      </c>
      <c r="L91" s="890">
        <v>26950</v>
      </c>
      <c r="M91" s="903"/>
      <c r="N91" s="903"/>
      <c r="O91" s="903"/>
      <c r="P91" s="903"/>
      <c r="Q91" s="903"/>
      <c r="R91" s="469"/>
      <c r="S91" s="897">
        <f>SUM(T91:U91)</f>
        <v>0</v>
      </c>
      <c r="T91" s="890"/>
      <c r="U91" s="898"/>
      <c r="V91" s="412"/>
    </row>
    <row r="92" spans="2:22" x14ac:dyDescent="0.25">
      <c r="B92" s="458"/>
      <c r="C92" s="45"/>
      <c r="D92" s="49" t="s">
        <v>427</v>
      </c>
      <c r="E92" s="2289"/>
      <c r="F92" s="2290"/>
      <c r="G92" s="2291"/>
      <c r="H92" s="49"/>
      <c r="I92" s="892">
        <f>IFERROR(J92/J$120," ")</f>
        <v>0</v>
      </c>
      <c r="J92" s="1482">
        <v>0</v>
      </c>
      <c r="K92" s="914">
        <f>SUM(L92:Q92)</f>
        <v>0</v>
      </c>
      <c r="L92" s="905"/>
      <c r="M92" s="906"/>
      <c r="N92" s="906"/>
      <c r="O92" s="906"/>
      <c r="P92" s="906"/>
      <c r="Q92" s="906"/>
      <c r="R92" s="469"/>
      <c r="S92" s="908">
        <f>SUM(T92:U92)</f>
        <v>0</v>
      </c>
      <c r="T92" s="905"/>
      <c r="U92" s="909"/>
      <c r="V92" s="412"/>
    </row>
    <row r="93" spans="2:22" ht="15.75" thickBot="1" x14ac:dyDescent="0.3">
      <c r="B93" s="458"/>
      <c r="C93" s="45"/>
      <c r="D93" s="44"/>
      <c r="E93" s="44"/>
      <c r="F93" s="44"/>
      <c r="G93" s="48" t="s">
        <v>160</v>
      </c>
      <c r="H93" s="48"/>
      <c r="I93" s="353">
        <f>IFERROR(J93/J$120," ")</f>
        <v>1.4384671860214819E-2</v>
      </c>
      <c r="J93" s="36">
        <f t="shared" ref="J93:Q93" si="19">SUM(J90:J92)</f>
        <v>392737</v>
      </c>
      <c r="K93" s="22">
        <f t="shared" si="19"/>
        <v>392737</v>
      </c>
      <c r="L93" s="1538">
        <f t="shared" si="19"/>
        <v>392737</v>
      </c>
      <c r="M93" s="1539">
        <f t="shared" si="19"/>
        <v>0</v>
      </c>
      <c r="N93" s="1539">
        <f t="shared" si="19"/>
        <v>0</v>
      </c>
      <c r="O93" s="1539">
        <f t="shared" si="19"/>
        <v>0</v>
      </c>
      <c r="P93" s="1539">
        <f t="shared" si="19"/>
        <v>0</v>
      </c>
      <c r="Q93" s="1539">
        <f t="shared" si="19"/>
        <v>0</v>
      </c>
      <c r="R93" s="470"/>
      <c r="S93" s="471">
        <f>SUM(S90:S92)</f>
        <v>0</v>
      </c>
      <c r="T93" s="1538">
        <f>SUM(T90:T92)</f>
        <v>0</v>
      </c>
      <c r="U93" s="1540">
        <f>SUM(U90:U92)</f>
        <v>0</v>
      </c>
      <c r="V93" s="412"/>
    </row>
    <row r="94" spans="2:22" ht="3.75" customHeight="1" x14ac:dyDescent="0.25">
      <c r="B94" s="458"/>
      <c r="C94" s="44"/>
      <c r="D94" s="44"/>
      <c r="E94" s="44"/>
      <c r="F94" s="44"/>
      <c r="G94" s="44"/>
      <c r="H94" s="44"/>
      <c r="I94" s="460"/>
      <c r="J94" s="472"/>
      <c r="K94" s="45"/>
      <c r="L94" s="76"/>
      <c r="M94" s="76"/>
      <c r="N94" s="76"/>
      <c r="O94" s="76"/>
      <c r="P94" s="45"/>
      <c r="Q94" s="76"/>
      <c r="R94" s="469"/>
      <c r="S94" s="76"/>
      <c r="T94" s="76"/>
      <c r="U94" s="76"/>
      <c r="V94" s="412"/>
    </row>
    <row r="95" spans="2:22" ht="15.75" thickBot="1" x14ac:dyDescent="0.3">
      <c r="B95" s="458"/>
      <c r="C95" s="78" t="s">
        <v>210</v>
      </c>
      <c r="D95" s="78"/>
      <c r="E95" s="78"/>
      <c r="F95" s="78"/>
      <c r="G95" s="78"/>
      <c r="H95" s="47"/>
      <c r="I95" s="47"/>
      <c r="J95" s="47"/>
      <c r="K95" s="47"/>
      <c r="L95" s="19"/>
      <c r="M95" s="19"/>
      <c r="N95" s="19"/>
      <c r="O95" s="19"/>
      <c r="P95" s="45"/>
      <c r="Q95" s="19"/>
      <c r="R95" s="469"/>
      <c r="S95" s="19"/>
      <c r="T95" s="19"/>
      <c r="U95" s="19"/>
      <c r="V95" s="412"/>
    </row>
    <row r="96" spans="2:22" x14ac:dyDescent="0.25">
      <c r="B96" s="458"/>
      <c r="C96" s="45"/>
      <c r="D96" s="156" t="s">
        <v>211</v>
      </c>
      <c r="E96" s="156"/>
      <c r="F96" s="156"/>
      <c r="G96" s="156"/>
      <c r="H96" s="156"/>
      <c r="I96" s="884">
        <f t="shared" ref="I96:I107" si="20">IFERROR(J96/J$120," ")</f>
        <v>0</v>
      </c>
      <c r="J96" s="1483"/>
      <c r="K96" s="900">
        <f t="shared" ref="K96:K106" si="21">SUM(L96:Q96)</f>
        <v>0</v>
      </c>
      <c r="L96" s="886"/>
      <c r="M96" s="901"/>
      <c r="N96" s="901"/>
      <c r="O96" s="901"/>
      <c r="P96" s="901"/>
      <c r="Q96" s="901"/>
      <c r="R96" s="468"/>
      <c r="S96" s="907">
        <f t="shared" ref="S96:S106" si="22">SUM(T96:U96)</f>
        <v>0</v>
      </c>
      <c r="T96" s="886"/>
      <c r="U96" s="896"/>
      <c r="V96" s="412"/>
    </row>
    <row r="97" spans="2:22" x14ac:dyDescent="0.25">
      <c r="B97" s="458"/>
      <c r="C97" s="45"/>
      <c r="D97" s="50" t="s">
        <v>212</v>
      </c>
      <c r="E97" s="50"/>
      <c r="F97" s="50"/>
      <c r="G97" s="50"/>
      <c r="H97" s="50"/>
      <c r="I97" s="888">
        <f t="shared" si="20"/>
        <v>2.7470047118456154E-3</v>
      </c>
      <c r="J97" s="1481">
        <v>75000</v>
      </c>
      <c r="K97" s="902">
        <f t="shared" si="21"/>
        <v>59609</v>
      </c>
      <c r="L97" s="890"/>
      <c r="M97" s="903"/>
      <c r="N97" s="903"/>
      <c r="O97" s="903"/>
      <c r="P97" s="903">
        <v>59609</v>
      </c>
      <c r="Q97" s="903"/>
      <c r="R97" s="469"/>
      <c r="S97" s="897">
        <f t="shared" si="22"/>
        <v>15391</v>
      </c>
      <c r="T97" s="890"/>
      <c r="U97" s="898">
        <v>15391</v>
      </c>
      <c r="V97" s="412"/>
    </row>
    <row r="98" spans="2:22" x14ac:dyDescent="0.25">
      <c r="B98" s="458"/>
      <c r="C98" s="45"/>
      <c r="D98" s="50" t="s">
        <v>109</v>
      </c>
      <c r="E98" s="50"/>
      <c r="F98" s="50"/>
      <c r="G98" s="50"/>
      <c r="H98" s="50"/>
      <c r="I98" s="888">
        <f t="shared" si="20"/>
        <v>1.0658378281960987E-2</v>
      </c>
      <c r="J98" s="1481">
        <v>291000</v>
      </c>
      <c r="K98" s="902">
        <f t="shared" si="21"/>
        <v>291000</v>
      </c>
      <c r="L98" s="890"/>
      <c r="M98" s="903">
        <v>291000</v>
      </c>
      <c r="N98" s="903"/>
      <c r="O98" s="903"/>
      <c r="P98" s="903"/>
      <c r="Q98" s="903"/>
      <c r="R98" s="469"/>
      <c r="S98" s="897">
        <f t="shared" si="22"/>
        <v>0</v>
      </c>
      <c r="T98" s="890"/>
      <c r="U98" s="898"/>
      <c r="V98" s="412"/>
    </row>
    <row r="99" spans="2:22" x14ac:dyDescent="0.25">
      <c r="B99" s="458"/>
      <c r="C99" s="45"/>
      <c r="D99" s="50" t="s">
        <v>213</v>
      </c>
      <c r="E99" s="50"/>
      <c r="F99" s="50"/>
      <c r="G99" s="50"/>
      <c r="H99" s="50"/>
      <c r="I99" s="888">
        <f t="shared" si="20"/>
        <v>0</v>
      </c>
      <c r="J99" s="1481"/>
      <c r="K99" s="902">
        <f t="shared" si="21"/>
        <v>0</v>
      </c>
      <c r="L99" s="890"/>
      <c r="M99" s="903"/>
      <c r="N99" s="903"/>
      <c r="O99" s="903"/>
      <c r="P99" s="903"/>
      <c r="Q99" s="903"/>
      <c r="R99" s="469"/>
      <c r="S99" s="897">
        <f t="shared" si="22"/>
        <v>0</v>
      </c>
      <c r="T99" s="890"/>
      <c r="U99" s="898"/>
      <c r="V99" s="412"/>
    </row>
    <row r="100" spans="2:22" x14ac:dyDescent="0.25">
      <c r="B100" s="458"/>
      <c r="C100" s="45"/>
      <c r="D100" s="50" t="s">
        <v>214</v>
      </c>
      <c r="E100" s="50"/>
      <c r="F100" s="50"/>
      <c r="G100" s="354" t="str">
        <f>IF(AND(J100&lt;&gt;0,'6E'!H58=0),"Complete Form 6E","")</f>
        <v/>
      </c>
      <c r="H100" s="50"/>
      <c r="I100" s="888">
        <f t="shared" si="20"/>
        <v>1.9333309281780967E-2</v>
      </c>
      <c r="J100" s="1481">
        <v>527847</v>
      </c>
      <c r="K100" s="902">
        <f t="shared" si="21"/>
        <v>459373</v>
      </c>
      <c r="L100" s="890"/>
      <c r="M100" s="903">
        <v>459373</v>
      </c>
      <c r="N100" s="903"/>
      <c r="O100" s="903"/>
      <c r="P100" s="903"/>
      <c r="Q100" s="903"/>
      <c r="R100" s="469"/>
      <c r="S100" s="897">
        <f t="shared" si="22"/>
        <v>68474</v>
      </c>
      <c r="T100" s="890"/>
      <c r="U100" s="898">
        <v>68474</v>
      </c>
      <c r="V100" s="412"/>
    </row>
    <row r="101" spans="2:22" x14ac:dyDescent="0.25">
      <c r="B101" s="458"/>
      <c r="C101" s="45"/>
      <c r="D101" s="49" t="s">
        <v>215</v>
      </c>
      <c r="E101" s="49"/>
      <c r="F101" s="49"/>
      <c r="G101" s="354" t="str">
        <f>IF(AND(J101&lt;&gt;0,'6E'!H58=0),"Complete Form 6E","")</f>
        <v/>
      </c>
      <c r="H101" s="49"/>
      <c r="I101" s="888">
        <f t="shared" si="20"/>
        <v>1.3295502805332779E-2</v>
      </c>
      <c r="J101" s="1481">
        <v>363000</v>
      </c>
      <c r="K101" s="902">
        <f t="shared" si="21"/>
        <v>308000</v>
      </c>
      <c r="L101" s="890"/>
      <c r="M101" s="903">
        <v>308000</v>
      </c>
      <c r="N101" s="903"/>
      <c r="O101" s="903"/>
      <c r="P101" s="903"/>
      <c r="Q101" s="903"/>
      <c r="R101" s="469"/>
      <c r="S101" s="897">
        <f t="shared" si="22"/>
        <v>55000</v>
      </c>
      <c r="T101" s="890"/>
      <c r="U101" s="898">
        <v>55000</v>
      </c>
      <c r="V101" s="412"/>
    </row>
    <row r="102" spans="2:22" x14ac:dyDescent="0.25">
      <c r="B102" s="458"/>
      <c r="C102" s="45"/>
      <c r="D102" s="49" t="s">
        <v>216</v>
      </c>
      <c r="E102" s="49"/>
      <c r="F102" s="49"/>
      <c r="G102" s="49"/>
      <c r="H102" s="49"/>
      <c r="I102" s="888">
        <f t="shared" si="20"/>
        <v>0</v>
      </c>
      <c r="J102" s="1481"/>
      <c r="K102" s="902">
        <f t="shared" si="21"/>
        <v>0</v>
      </c>
      <c r="L102" s="890"/>
      <c r="M102" s="903"/>
      <c r="N102" s="903"/>
      <c r="O102" s="903"/>
      <c r="P102" s="903"/>
      <c r="Q102" s="903"/>
      <c r="R102" s="469"/>
      <c r="S102" s="897">
        <f t="shared" si="22"/>
        <v>0</v>
      </c>
      <c r="T102" s="890"/>
      <c r="U102" s="898"/>
      <c r="V102" s="412"/>
    </row>
    <row r="103" spans="2:22" x14ac:dyDescent="0.25">
      <c r="B103" s="458"/>
      <c r="C103" s="45"/>
      <c r="D103" s="49" t="s">
        <v>217</v>
      </c>
      <c r="E103" s="49"/>
      <c r="F103" s="49"/>
      <c r="G103" s="49"/>
      <c r="H103" s="49"/>
      <c r="I103" s="888">
        <f t="shared" si="20"/>
        <v>0</v>
      </c>
      <c r="J103" s="1481"/>
      <c r="K103" s="902">
        <f t="shared" si="21"/>
        <v>0</v>
      </c>
      <c r="L103" s="890"/>
      <c r="M103" s="903"/>
      <c r="N103" s="903"/>
      <c r="O103" s="903"/>
      <c r="P103" s="903"/>
      <c r="Q103" s="903"/>
      <c r="R103" s="469"/>
      <c r="S103" s="897">
        <f t="shared" si="22"/>
        <v>0</v>
      </c>
      <c r="T103" s="890"/>
      <c r="U103" s="898"/>
      <c r="V103" s="412"/>
    </row>
    <row r="104" spans="2:22" x14ac:dyDescent="0.25">
      <c r="B104" s="458"/>
      <c r="C104" s="45"/>
      <c r="D104" s="50" t="s">
        <v>218</v>
      </c>
      <c r="E104" s="50"/>
      <c r="F104" s="50"/>
      <c r="G104" s="50"/>
      <c r="H104" s="50"/>
      <c r="I104" s="888">
        <f t="shared" si="20"/>
        <v>7.3253458982549743E-4</v>
      </c>
      <c r="J104" s="1481">
        <v>20000</v>
      </c>
      <c r="K104" s="902">
        <f t="shared" si="21"/>
        <v>20000</v>
      </c>
      <c r="L104" s="890"/>
      <c r="M104" s="903"/>
      <c r="N104" s="903"/>
      <c r="O104" s="903"/>
      <c r="P104" s="903">
        <v>20000</v>
      </c>
      <c r="Q104" s="903"/>
      <c r="R104" s="469"/>
      <c r="S104" s="897">
        <f t="shared" si="22"/>
        <v>0</v>
      </c>
      <c r="T104" s="890"/>
      <c r="U104" s="898"/>
      <c r="V104" s="412"/>
    </row>
    <row r="105" spans="2:22" x14ac:dyDescent="0.25">
      <c r="B105" s="458"/>
      <c r="C105" s="45"/>
      <c r="D105" s="49" t="s">
        <v>219</v>
      </c>
      <c r="E105" s="49"/>
      <c r="F105" s="49"/>
      <c r="G105" s="49"/>
      <c r="H105" s="49"/>
      <c r="I105" s="888">
        <f t="shared" si="20"/>
        <v>2.7470047118456154E-3</v>
      </c>
      <c r="J105" s="1481">
        <v>75000</v>
      </c>
      <c r="K105" s="902">
        <f t="shared" si="21"/>
        <v>75000</v>
      </c>
      <c r="L105" s="890"/>
      <c r="M105" s="903"/>
      <c r="N105" s="903"/>
      <c r="O105" s="903"/>
      <c r="P105" s="903">
        <v>75000</v>
      </c>
      <c r="Q105" s="903"/>
      <c r="R105" s="469"/>
      <c r="S105" s="897">
        <f t="shared" si="22"/>
        <v>0</v>
      </c>
      <c r="T105" s="890"/>
      <c r="U105" s="898"/>
      <c r="V105" s="412"/>
    </row>
    <row r="106" spans="2:22" x14ac:dyDescent="0.25">
      <c r="B106" s="458"/>
      <c r="C106" s="45"/>
      <c r="D106" s="50" t="s">
        <v>503</v>
      </c>
      <c r="E106" s="50"/>
      <c r="F106" s="50"/>
      <c r="G106" s="50"/>
      <c r="H106" s="50"/>
      <c r="I106" s="892">
        <f t="shared" si="20"/>
        <v>0</v>
      </c>
      <c r="J106" s="1482"/>
      <c r="K106" s="914">
        <f t="shared" si="21"/>
        <v>0</v>
      </c>
      <c r="L106" s="905"/>
      <c r="M106" s="906"/>
      <c r="N106" s="906"/>
      <c r="O106" s="906"/>
      <c r="P106" s="906"/>
      <c r="Q106" s="906"/>
      <c r="R106" s="469"/>
      <c r="S106" s="908">
        <f t="shared" si="22"/>
        <v>0</v>
      </c>
      <c r="T106" s="905"/>
      <c r="U106" s="909"/>
      <c r="V106" s="412"/>
    </row>
    <row r="107" spans="2:22" ht="15.75" thickBot="1" x14ac:dyDescent="0.3">
      <c r="B107" s="458"/>
      <c r="C107" s="45"/>
      <c r="D107" s="44"/>
      <c r="E107" s="44"/>
      <c r="F107" s="44"/>
      <c r="G107" s="48" t="s">
        <v>160</v>
      </c>
      <c r="H107" s="48"/>
      <c r="I107" s="353">
        <f t="shared" si="20"/>
        <v>4.9513734382591462E-2</v>
      </c>
      <c r="J107" s="36">
        <f t="shared" ref="J107:Q107" si="23">SUM(J96:J106)</f>
        <v>1351847</v>
      </c>
      <c r="K107" s="22">
        <f t="shared" si="23"/>
        <v>1212982</v>
      </c>
      <c r="L107" s="1538">
        <f t="shared" si="23"/>
        <v>0</v>
      </c>
      <c r="M107" s="1539">
        <f t="shared" si="23"/>
        <v>1058373</v>
      </c>
      <c r="N107" s="1539">
        <f t="shared" si="23"/>
        <v>0</v>
      </c>
      <c r="O107" s="1539">
        <f t="shared" si="23"/>
        <v>0</v>
      </c>
      <c r="P107" s="1539">
        <f t="shared" si="23"/>
        <v>154609</v>
      </c>
      <c r="Q107" s="1539">
        <f t="shared" si="23"/>
        <v>0</v>
      </c>
      <c r="R107" s="470"/>
      <c r="S107" s="471">
        <f>SUM(S96:S106)</f>
        <v>138865</v>
      </c>
      <c r="T107" s="1538">
        <f>SUM(T96:T106)</f>
        <v>0</v>
      </c>
      <c r="U107" s="1540">
        <f>SUM(U96:U106)</f>
        <v>138865</v>
      </c>
      <c r="V107" s="412"/>
    </row>
    <row r="108" spans="2:22" ht="9" customHeight="1" thickBot="1" x14ac:dyDescent="0.3">
      <c r="B108" s="473"/>
      <c r="C108" s="30"/>
      <c r="D108" s="31"/>
      <c r="E108" s="31"/>
      <c r="F108" s="31"/>
      <c r="G108" s="31"/>
      <c r="H108" s="31"/>
      <c r="I108" s="419"/>
      <c r="J108" s="474"/>
      <c r="K108" s="483"/>
      <c r="L108" s="32"/>
      <c r="M108" s="32"/>
      <c r="N108" s="32"/>
      <c r="O108" s="32"/>
      <c r="P108" s="483"/>
      <c r="Q108" s="32"/>
      <c r="R108" s="484"/>
      <c r="S108" s="32"/>
      <c r="T108" s="32"/>
      <c r="U108" s="32"/>
      <c r="V108" s="420"/>
    </row>
    <row r="109" spans="2:22" ht="3.75" customHeight="1" x14ac:dyDescent="0.25">
      <c r="B109" s="458"/>
      <c r="C109" s="47"/>
      <c r="D109" s="48"/>
      <c r="E109" s="48"/>
      <c r="F109" s="48"/>
      <c r="G109" s="48"/>
      <c r="H109" s="48"/>
      <c r="I109" s="460"/>
      <c r="J109" s="460"/>
      <c r="K109" s="45"/>
      <c r="L109" s="16"/>
      <c r="M109" s="16"/>
      <c r="N109" s="16"/>
      <c r="O109" s="16"/>
      <c r="P109" s="45"/>
      <c r="Q109" s="16"/>
      <c r="R109" s="469"/>
      <c r="S109" s="16"/>
      <c r="T109" s="16"/>
      <c r="U109" s="16"/>
      <c r="V109" s="412"/>
    </row>
    <row r="110" spans="2:22" ht="15.75" thickBot="1" x14ac:dyDescent="0.3">
      <c r="B110" s="458"/>
      <c r="C110" s="78" t="s">
        <v>221</v>
      </c>
      <c r="D110" s="78"/>
      <c r="E110" s="78"/>
      <c r="F110" s="78"/>
      <c r="G110" s="78"/>
      <c r="H110" s="47"/>
      <c r="I110" s="47"/>
      <c r="J110" s="47"/>
      <c r="K110" s="47"/>
      <c r="L110" s="16"/>
      <c r="M110" s="16"/>
      <c r="N110" s="16"/>
      <c r="O110" s="16"/>
      <c r="P110" s="68"/>
      <c r="Q110" s="16"/>
      <c r="R110" s="469"/>
      <c r="S110" s="16"/>
      <c r="T110" s="16"/>
      <c r="U110" s="16"/>
      <c r="V110" s="412"/>
    </row>
    <row r="111" spans="2:22" x14ac:dyDescent="0.25">
      <c r="B111" s="458"/>
      <c r="C111" s="68"/>
      <c r="D111" s="155" t="s">
        <v>222</v>
      </c>
      <c r="E111" s="155"/>
      <c r="F111" s="155"/>
      <c r="G111" s="155"/>
      <c r="H111" s="155"/>
      <c r="I111" s="884">
        <f t="shared" ref="I111:I118" si="24">IFERROR(J111/J$120," ")</f>
        <v>3.408007298974653E-3</v>
      </c>
      <c r="J111" s="1483">
        <v>93047</v>
      </c>
      <c r="K111" s="900">
        <f t="shared" ref="K111:K117" si="25">SUM(L111:Q111)</f>
        <v>93047</v>
      </c>
      <c r="L111" s="886"/>
      <c r="M111" s="901"/>
      <c r="N111" s="901"/>
      <c r="O111" s="901"/>
      <c r="P111" s="901">
        <v>93047</v>
      </c>
      <c r="Q111" s="901"/>
      <c r="R111" s="468"/>
      <c r="S111" s="907">
        <f t="shared" ref="S111:S117" si="26">SUM(T111:U111)</f>
        <v>0</v>
      </c>
      <c r="T111" s="886"/>
      <c r="U111" s="896"/>
      <c r="V111" s="412"/>
    </row>
    <row r="112" spans="2:22" x14ac:dyDescent="0.25">
      <c r="B112" s="458"/>
      <c r="C112" s="68"/>
      <c r="D112" s="44" t="s">
        <v>223</v>
      </c>
      <c r="E112" s="44"/>
      <c r="F112" s="44"/>
      <c r="G112" s="44"/>
      <c r="H112" s="44"/>
      <c r="I112" s="888">
        <f t="shared" si="24"/>
        <v>0</v>
      </c>
      <c r="J112" s="1481">
        <v>0</v>
      </c>
      <c r="K112" s="915">
        <f t="shared" si="25"/>
        <v>0</v>
      </c>
      <c r="L112" s="890"/>
      <c r="M112" s="903"/>
      <c r="N112" s="903"/>
      <c r="O112" s="903"/>
      <c r="P112" s="903"/>
      <c r="Q112" s="903"/>
      <c r="R112" s="469"/>
      <c r="S112" s="918">
        <f t="shared" si="26"/>
        <v>0</v>
      </c>
      <c r="T112" s="890"/>
      <c r="U112" s="898"/>
      <c r="V112" s="412"/>
    </row>
    <row r="113" spans="2:22" x14ac:dyDescent="0.25">
      <c r="B113" s="458"/>
      <c r="C113" s="45"/>
      <c r="D113" s="44" t="s">
        <v>224</v>
      </c>
      <c r="E113" s="44"/>
      <c r="F113" s="44"/>
      <c r="G113" s="44"/>
      <c r="H113" s="44"/>
      <c r="I113" s="888">
        <f t="shared" si="24"/>
        <v>0</v>
      </c>
      <c r="J113" s="1481">
        <v>0</v>
      </c>
      <c r="K113" s="915">
        <f t="shared" si="25"/>
        <v>0</v>
      </c>
      <c r="L113" s="890"/>
      <c r="M113" s="903"/>
      <c r="N113" s="903"/>
      <c r="O113" s="903"/>
      <c r="P113" s="903"/>
      <c r="Q113" s="903"/>
      <c r="R113" s="469"/>
      <c r="S113" s="918">
        <f t="shared" si="26"/>
        <v>0</v>
      </c>
      <c r="T113" s="890"/>
      <c r="U113" s="898"/>
      <c r="V113" s="412"/>
    </row>
    <row r="114" spans="2:22" x14ac:dyDescent="0.25">
      <c r="B114" s="458"/>
      <c r="C114" s="45"/>
      <c r="D114" s="44" t="s">
        <v>225</v>
      </c>
      <c r="E114" s="44"/>
      <c r="F114" s="44"/>
      <c r="G114" s="44"/>
      <c r="H114" s="44"/>
      <c r="I114" s="888">
        <f>IFERROR(J114/J$120," ")</f>
        <v>0</v>
      </c>
      <c r="J114" s="1481">
        <v>0</v>
      </c>
      <c r="K114" s="915">
        <f t="shared" si="25"/>
        <v>0</v>
      </c>
      <c r="L114" s="890"/>
      <c r="M114" s="903"/>
      <c r="N114" s="903"/>
      <c r="O114" s="903"/>
      <c r="P114" s="903"/>
      <c r="Q114" s="903"/>
      <c r="R114" s="469"/>
      <c r="S114" s="918">
        <f t="shared" si="26"/>
        <v>0</v>
      </c>
      <c r="T114" s="890"/>
      <c r="U114" s="898"/>
      <c r="V114" s="412"/>
    </row>
    <row r="115" spans="2:22" x14ac:dyDescent="0.25">
      <c r="B115" s="458"/>
      <c r="C115" s="45"/>
      <c r="D115" s="44" t="s">
        <v>226</v>
      </c>
      <c r="E115" s="44"/>
      <c r="F115" s="44"/>
      <c r="G115" s="44"/>
      <c r="H115" s="44"/>
      <c r="I115" s="888">
        <f t="shared" si="24"/>
        <v>0</v>
      </c>
      <c r="J115" s="1481">
        <v>0</v>
      </c>
      <c r="K115" s="915">
        <f t="shared" si="25"/>
        <v>0</v>
      </c>
      <c r="L115" s="890"/>
      <c r="M115" s="903"/>
      <c r="N115" s="903"/>
      <c r="O115" s="903"/>
      <c r="P115" s="903"/>
      <c r="Q115" s="903"/>
      <c r="R115" s="469"/>
      <c r="S115" s="918">
        <f t="shared" si="26"/>
        <v>0</v>
      </c>
      <c r="T115" s="890"/>
      <c r="U115" s="898"/>
      <c r="V115" s="412"/>
    </row>
    <row r="116" spans="2:22" x14ac:dyDescent="0.25">
      <c r="B116" s="458"/>
      <c r="C116" s="45"/>
      <c r="D116" s="44" t="s">
        <v>227</v>
      </c>
      <c r="E116" s="44"/>
      <c r="F116" s="44"/>
      <c r="G116" s="44"/>
      <c r="H116" s="44"/>
      <c r="I116" s="888">
        <f t="shared" si="24"/>
        <v>0</v>
      </c>
      <c r="J116" s="1481">
        <v>0</v>
      </c>
      <c r="K116" s="915">
        <f t="shared" si="25"/>
        <v>0</v>
      </c>
      <c r="L116" s="890"/>
      <c r="M116" s="903"/>
      <c r="N116" s="903"/>
      <c r="O116" s="903"/>
      <c r="P116" s="903"/>
      <c r="Q116" s="903"/>
      <c r="R116" s="469"/>
      <c r="S116" s="918">
        <f t="shared" si="26"/>
        <v>0</v>
      </c>
      <c r="T116" s="890"/>
      <c r="U116" s="898"/>
      <c r="V116" s="412"/>
    </row>
    <row r="117" spans="2:22" x14ac:dyDescent="0.25">
      <c r="B117" s="458"/>
      <c r="C117" s="45"/>
      <c r="D117" s="44" t="s">
        <v>228</v>
      </c>
      <c r="E117" s="44"/>
      <c r="F117" s="44"/>
      <c r="G117" s="44"/>
      <c r="H117" s="44"/>
      <c r="I117" s="916">
        <f t="shared" si="24"/>
        <v>0</v>
      </c>
      <c r="J117" s="1482">
        <v>0</v>
      </c>
      <c r="K117" s="917">
        <f t="shared" si="25"/>
        <v>0</v>
      </c>
      <c r="L117" s="905"/>
      <c r="M117" s="906"/>
      <c r="N117" s="906"/>
      <c r="O117" s="906"/>
      <c r="P117" s="906"/>
      <c r="Q117" s="906"/>
      <c r="R117" s="469"/>
      <c r="S117" s="920">
        <f t="shared" si="26"/>
        <v>0</v>
      </c>
      <c r="T117" s="905"/>
      <c r="U117" s="909"/>
      <c r="V117" s="412"/>
    </row>
    <row r="118" spans="2:22" ht="15.75" thickBot="1" x14ac:dyDescent="0.3">
      <c r="B118" s="458"/>
      <c r="C118" s="45"/>
      <c r="D118" s="44"/>
      <c r="E118" s="44"/>
      <c r="F118" s="44"/>
      <c r="G118" s="48" t="s">
        <v>160</v>
      </c>
      <c r="H118" s="48"/>
      <c r="I118" s="353">
        <f t="shared" si="24"/>
        <v>3.408007298974653E-3</v>
      </c>
      <c r="J118" s="36">
        <f t="shared" ref="J118:Q118" si="27">SUM(J111:J117)</f>
        <v>93047</v>
      </c>
      <c r="K118" s="22">
        <f t="shared" si="27"/>
        <v>93047</v>
      </c>
      <c r="L118" s="1538">
        <f t="shared" si="27"/>
        <v>0</v>
      </c>
      <c r="M118" s="1539">
        <f t="shared" si="27"/>
        <v>0</v>
      </c>
      <c r="N118" s="1539">
        <f t="shared" si="27"/>
        <v>0</v>
      </c>
      <c r="O118" s="1539">
        <f t="shared" si="27"/>
        <v>0</v>
      </c>
      <c r="P118" s="1539">
        <f t="shared" si="27"/>
        <v>93047</v>
      </c>
      <c r="Q118" s="1539">
        <f t="shared" si="27"/>
        <v>0</v>
      </c>
      <c r="R118" s="470"/>
      <c r="S118" s="919">
        <f>SUM(S111:S117)</f>
        <v>0</v>
      </c>
      <c r="T118" s="1541">
        <f>SUM(T111:T117)</f>
        <v>0</v>
      </c>
      <c r="U118" s="1542">
        <f>SUM(U111:U117)</f>
        <v>0</v>
      </c>
      <c r="V118" s="412"/>
    </row>
    <row r="119" spans="2:22" ht="7.5" customHeight="1" thickBot="1" x14ac:dyDescent="0.3">
      <c r="B119" s="458"/>
      <c r="C119" s="50"/>
      <c r="D119" s="44"/>
      <c r="E119" s="44"/>
      <c r="F119" s="44"/>
      <c r="G119" s="44"/>
      <c r="H119" s="44"/>
      <c r="I119" s="45"/>
      <c r="J119" s="20"/>
      <c r="K119" s="45"/>
      <c r="L119" s="20"/>
      <c r="M119" s="20"/>
      <c r="N119" s="20"/>
      <c r="O119" s="20"/>
      <c r="P119" s="45"/>
      <c r="Q119" s="20"/>
      <c r="R119" s="469"/>
      <c r="S119" s="20"/>
      <c r="T119" s="20"/>
      <c r="U119" s="20"/>
      <c r="V119" s="412"/>
    </row>
    <row r="120" spans="2:22" ht="15.75" thickBot="1" x14ac:dyDescent="0.3">
      <c r="B120" s="458"/>
      <c r="C120" s="157" t="s">
        <v>229</v>
      </c>
      <c r="D120" s="158"/>
      <c r="E120" s="158"/>
      <c r="F120" s="158"/>
      <c r="G120" s="158"/>
      <c r="H120" s="158"/>
      <c r="I120" s="34"/>
      <c r="J120" s="25">
        <f>J28+J47+J63+J68+J76+J87+J93+J107+J118</f>
        <v>27302465</v>
      </c>
      <c r="K120" s="21">
        <f>K28+K47+K63+K68+K76+K87+K93+K107+K118</f>
        <v>23564423</v>
      </c>
      <c r="L120" s="485"/>
      <c r="M120" s="485"/>
      <c r="N120" s="485"/>
      <c r="O120" s="485"/>
      <c r="P120" s="485"/>
      <c r="Q120" s="485"/>
      <c r="R120" s="468"/>
      <c r="S120" s="23">
        <f>S28+S47+S63+S68+S76+S87+S93+S107+S118</f>
        <v>3738042</v>
      </c>
      <c r="T120" s="485"/>
      <c r="U120" s="486"/>
      <c r="V120" s="412"/>
    </row>
    <row r="121" spans="2:22" ht="15.75" thickBot="1" x14ac:dyDescent="0.3">
      <c r="B121" s="458"/>
      <c r="C121" s="159" t="s">
        <v>230</v>
      </c>
      <c r="D121" s="160"/>
      <c r="E121" s="160"/>
      <c r="F121" s="160"/>
      <c r="G121" s="160"/>
      <c r="H121" s="160"/>
      <c r="I121" s="35"/>
      <c r="J121" s="24">
        <f>(K121+S121)</f>
        <v>27302465</v>
      </c>
      <c r="K121" s="22">
        <f>SUM(L121:Q121)</f>
        <v>23564423</v>
      </c>
      <c r="L121" s="1543">
        <f t="shared" ref="L121:Q121" si="28">L28+L47+L63+L68+L76+L87+L93+L107+L118</f>
        <v>7172980</v>
      </c>
      <c r="M121" s="1544">
        <f t="shared" si="28"/>
        <v>9542254</v>
      </c>
      <c r="N121" s="1544">
        <f t="shared" si="28"/>
        <v>2000000</v>
      </c>
      <c r="O121" s="1544">
        <f t="shared" si="28"/>
        <v>1165415</v>
      </c>
      <c r="P121" s="1544">
        <f t="shared" si="28"/>
        <v>3683774</v>
      </c>
      <c r="Q121" s="1544">
        <f t="shared" si="28"/>
        <v>0</v>
      </c>
      <c r="R121" s="487"/>
      <c r="S121" s="471">
        <f>SUM(T121:U121)</f>
        <v>3738042</v>
      </c>
      <c r="T121" s="1543">
        <f>T28+T47+T63+T68+T76+T87+T93+T107+T118</f>
        <v>1799500</v>
      </c>
      <c r="U121" s="1545">
        <f>U28+U47+U63+U68+U76+U87+U93+U107+U118</f>
        <v>1938542</v>
      </c>
      <c r="V121" s="412"/>
    </row>
    <row r="122" spans="2:22" x14ac:dyDescent="0.25">
      <c r="B122" s="458"/>
      <c r="C122" s="355"/>
      <c r="D122" s="355"/>
      <c r="E122" s="355"/>
      <c r="F122" s="355"/>
      <c r="G122" s="355"/>
      <c r="H122" s="355"/>
      <c r="I122" s="356"/>
      <c r="J122" s="357" t="str">
        <f>IF((ROUND(J121,0))&lt;&gt;((ROUND(('7A'!F39+'7A'!F48),0))),"WARNING: Sources on Form 6A do not match Sources on Form 7A","")</f>
        <v/>
      </c>
      <c r="K122" s="1976"/>
      <c r="L122" s="16"/>
      <c r="M122" s="16"/>
      <c r="N122" s="16"/>
      <c r="O122" s="16"/>
      <c r="P122" s="16"/>
      <c r="Q122" s="16"/>
      <c r="R122" s="488"/>
      <c r="S122" s="16"/>
      <c r="T122" s="16"/>
      <c r="U122" s="16"/>
      <c r="V122" s="412"/>
    </row>
    <row r="123" spans="2:22" ht="9" customHeight="1" thickBot="1" x14ac:dyDescent="0.3">
      <c r="B123" s="473"/>
      <c r="C123" s="489"/>
      <c r="D123" s="489"/>
      <c r="E123" s="489"/>
      <c r="F123" s="489"/>
      <c r="G123" s="489"/>
      <c r="H123" s="489"/>
      <c r="I123" s="489"/>
      <c r="J123" s="490" t="s">
        <v>34</v>
      </c>
      <c r="K123" s="489"/>
      <c r="L123" s="489"/>
      <c r="M123" s="489"/>
      <c r="N123" s="489"/>
      <c r="O123" s="489"/>
      <c r="P123" s="489"/>
      <c r="Q123" s="489"/>
      <c r="R123" s="489"/>
      <c r="S123" s="489"/>
      <c r="T123" s="489"/>
      <c r="U123" s="489"/>
      <c r="V123" s="491"/>
    </row>
    <row r="126" spans="2:22" x14ac:dyDescent="0.25">
      <c r="J126" s="1756"/>
    </row>
    <row r="127" spans="2:22" x14ac:dyDescent="0.25">
      <c r="J127" s="1755"/>
    </row>
  </sheetData>
  <sheetProtection algorithmName="SHA-512" hashValue="LqjIU6ON554sphfvVEBSuBqWUYv5T4yKQR0mvYRj1CD1gheBohf572SHyB4D5BZet7EG8Na+WcPexwil95zj8w==" saltValue="v+ua2FgjDihDvUxvEsdgXA==" spinCount="100000" sheet="1" formatCells="0" formatColumns="0" formatRows="0"/>
  <mergeCells count="21">
    <mergeCell ref="E27:G27"/>
    <mergeCell ref="E46:G46"/>
    <mergeCell ref="E62:G62"/>
    <mergeCell ref="E86:G86"/>
    <mergeCell ref="E92:G92"/>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s>
  <conditionalFormatting sqref="J22">
    <cfRule type="expression" dxfId="58" priority="26">
      <formula>J22&lt;&gt;(K22+S22)</formula>
    </cfRule>
  </conditionalFormatting>
  <conditionalFormatting sqref="J27">
    <cfRule type="expression" dxfId="57" priority="25">
      <formula>J27&lt;&gt;(K27+S27)</formula>
    </cfRule>
  </conditionalFormatting>
  <conditionalFormatting sqref="J23:J26">
    <cfRule type="expression" dxfId="56" priority="24">
      <formula>J23&lt;&gt;(K23+S23)</formula>
    </cfRule>
  </conditionalFormatting>
  <conditionalFormatting sqref="J31">
    <cfRule type="expression" dxfId="55" priority="23">
      <formula>J31&lt;&gt;(K31+S31)</formula>
    </cfRule>
  </conditionalFormatting>
  <conditionalFormatting sqref="J50">
    <cfRule type="expression" dxfId="54" priority="22">
      <formula>J50&lt;&gt;(K50+S50)</formula>
    </cfRule>
  </conditionalFormatting>
  <conditionalFormatting sqref="J66">
    <cfRule type="expression" dxfId="53" priority="21">
      <formula>J66&lt;&gt;(K66+S66)</formula>
    </cfRule>
  </conditionalFormatting>
  <conditionalFormatting sqref="J71">
    <cfRule type="expression" dxfId="52" priority="20">
      <formula>J71&lt;&gt;(K71+S71)</formula>
    </cfRule>
  </conditionalFormatting>
  <conditionalFormatting sqref="J79">
    <cfRule type="expression" dxfId="51" priority="19">
      <formula>J79&lt;&gt;(K79+S79)</formula>
    </cfRule>
  </conditionalFormatting>
  <conditionalFormatting sqref="J90">
    <cfRule type="expression" dxfId="50" priority="18">
      <formula>J90&lt;&gt;(K90+S90)</formula>
    </cfRule>
  </conditionalFormatting>
  <conditionalFormatting sqref="J96">
    <cfRule type="expression" dxfId="49" priority="17">
      <formula>J96&lt;&gt;(K96+S96)</formula>
    </cfRule>
  </conditionalFormatting>
  <conditionalFormatting sqref="J111">
    <cfRule type="expression" dxfId="48" priority="16">
      <formula>J111&lt;&gt;(K111+S111)</formula>
    </cfRule>
  </conditionalFormatting>
  <conditionalFormatting sqref="J46">
    <cfRule type="expression" dxfId="47" priority="15">
      <formula>J46&lt;&gt;(K46+S46)</formula>
    </cfRule>
  </conditionalFormatting>
  <conditionalFormatting sqref="J62">
    <cfRule type="expression" dxfId="46" priority="14">
      <formula>J62&lt;&gt;(K62+S62)</formula>
    </cfRule>
  </conditionalFormatting>
  <conditionalFormatting sqref="J67">
    <cfRule type="expression" dxfId="45" priority="13">
      <formula>J67&lt;&gt;(K67+S67)</formula>
    </cfRule>
  </conditionalFormatting>
  <conditionalFormatting sqref="J75">
    <cfRule type="expression" dxfId="44" priority="12">
      <formula>J75&lt;&gt;(K75+S75)</formula>
    </cfRule>
  </conditionalFormatting>
  <conditionalFormatting sqref="J86">
    <cfRule type="expression" dxfId="43" priority="11">
      <formula>J86&lt;&gt;(K86+S86)</formula>
    </cfRule>
  </conditionalFormatting>
  <conditionalFormatting sqref="J92">
    <cfRule type="expression" dxfId="42" priority="10">
      <formula>J92&lt;&gt;(K92+S92)</formula>
    </cfRule>
  </conditionalFormatting>
  <conditionalFormatting sqref="J106">
    <cfRule type="expression" dxfId="41" priority="9">
      <formula>J106&lt;&gt;(K106+S106)</formula>
    </cfRule>
  </conditionalFormatting>
  <conditionalFormatting sqref="J117">
    <cfRule type="expression" dxfId="40" priority="8">
      <formula>J117&lt;&gt;(K117+S117)</formula>
    </cfRule>
  </conditionalFormatting>
  <conditionalFormatting sqref="J32:J45">
    <cfRule type="expression" dxfId="39" priority="7">
      <formula>J32&lt;&gt;(K32+S32)</formula>
    </cfRule>
  </conditionalFormatting>
  <conditionalFormatting sqref="J51:J61">
    <cfRule type="expression" dxfId="38" priority="6">
      <formula>J51&lt;&gt;(K51+S51)</formula>
    </cfRule>
  </conditionalFormatting>
  <conditionalFormatting sqref="J72:J74">
    <cfRule type="expression" dxfId="37" priority="5">
      <formula>J72&lt;&gt;(K72+S72)</formula>
    </cfRule>
  </conditionalFormatting>
  <conditionalFormatting sqref="J80:J85">
    <cfRule type="expression" dxfId="36" priority="4">
      <formula>J80&lt;&gt;(K80+S80)</formula>
    </cfRule>
  </conditionalFormatting>
  <conditionalFormatting sqref="J91">
    <cfRule type="expression" dxfId="35" priority="3">
      <formula>J91&lt;&gt;(K91+S91)</formula>
    </cfRule>
  </conditionalFormatting>
  <conditionalFormatting sqref="J97:J105">
    <cfRule type="expression" dxfId="34" priority="2">
      <formula>J97&lt;&gt;(K97+S97)</formula>
    </cfRule>
  </conditionalFormatting>
  <conditionalFormatting sqref="J112:J116">
    <cfRule type="expression" dxfId="33" priority="1">
      <formula>J112&lt;&gt;(K112+S112)</formula>
    </cfRule>
  </conditionalFormatting>
  <conditionalFormatting sqref="J121">
    <cfRule type="expression" dxfId="32" priority="30">
      <formula>$J$121&lt;&gt;(#REF!+#REF!)</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80" fitToHeight="4" orientation="landscape" r:id="rId1"/>
  <headerFooter>
    <oddFooter>&amp;LForm 6A
Development Budgets&amp;CCFA Forms&amp;REdition: 2016
Version: 1.0</oddFooter>
  </headerFooter>
  <rowBreaks count="3" manualBreakCount="3">
    <brk id="48" min="1" max="21" man="1"/>
    <brk id="77" min="1" max="21" man="1"/>
    <brk id="108" min="1"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topLeftCell="A51" zoomScaleNormal="100" workbookViewId="0">
      <selection activeCell="J73" sqref="J73:K73"/>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13.85546875" style="402" customWidth="1"/>
    <col min="10" max="10" width="19.28515625" style="402" customWidth="1"/>
    <col min="11" max="11" width="40.7109375" style="402" customWidth="1"/>
    <col min="12" max="12" width="1.7109375" style="402" customWidth="1"/>
    <col min="13" max="16384" width="9.140625" style="402"/>
  </cols>
  <sheetData>
    <row r="5" spans="2:12" ht="15.75" thickBot="1" x14ac:dyDescent="0.3"/>
    <row r="6" spans="2:12" ht="9" customHeight="1" x14ac:dyDescent="0.25">
      <c r="B6" s="493"/>
      <c r="C6" s="494"/>
      <c r="D6" s="494"/>
      <c r="E6" s="494"/>
      <c r="F6" s="494"/>
      <c r="G6" s="494"/>
      <c r="H6" s="494"/>
      <c r="I6" s="494"/>
      <c r="J6" s="494"/>
      <c r="K6" s="494"/>
      <c r="L6" s="495"/>
    </row>
    <row r="7" spans="2:12" ht="18.75" x14ac:dyDescent="0.3">
      <c r="B7" s="496"/>
      <c r="C7" s="2144" t="s">
        <v>542</v>
      </c>
      <c r="D7" s="2144"/>
      <c r="E7" s="2144"/>
      <c r="F7" s="2144"/>
      <c r="G7" s="2144"/>
      <c r="H7" s="2144"/>
      <c r="I7" s="2144"/>
      <c r="J7" s="2144"/>
      <c r="K7" s="2144"/>
      <c r="L7" s="497"/>
    </row>
    <row r="8" spans="2:12" x14ac:dyDescent="0.25">
      <c r="B8" s="496"/>
      <c r="C8" s="498"/>
      <c r="D8" s="498"/>
      <c r="E8" s="498"/>
      <c r="F8" s="498"/>
      <c r="G8" s="498"/>
      <c r="H8" s="498"/>
      <c r="I8" s="498"/>
      <c r="J8" s="498"/>
      <c r="K8" s="498"/>
      <c r="L8" s="497"/>
    </row>
    <row r="9" spans="2:12" ht="15.75" thickBot="1" x14ac:dyDescent="0.3">
      <c r="B9" s="496"/>
      <c r="C9" s="2300" t="str">
        <f>IF('1'!G5="","Enter Project Name on Form 1",(CONCATENATE("Project Name: ",'1'!G5)))</f>
        <v>Project Name: Filipino Community Village</v>
      </c>
      <c r="D9" s="2300"/>
      <c r="E9" s="2300"/>
      <c r="F9" s="2300"/>
      <c r="G9" s="2300"/>
      <c r="H9" s="2300"/>
      <c r="I9" s="2300"/>
      <c r="J9" s="2300"/>
      <c r="K9" s="2300"/>
      <c r="L9" s="497"/>
    </row>
    <row r="10" spans="2:12" ht="7.5" customHeight="1" thickBot="1" x14ac:dyDescent="0.3">
      <c r="B10" s="501"/>
      <c r="C10" s="502"/>
      <c r="D10" s="502"/>
      <c r="E10" s="502"/>
      <c r="F10" s="502"/>
      <c r="G10" s="502"/>
      <c r="H10" s="502"/>
      <c r="I10" s="502"/>
      <c r="J10" s="502"/>
      <c r="K10" s="460"/>
      <c r="L10" s="497"/>
    </row>
    <row r="11" spans="2:12" x14ac:dyDescent="0.25">
      <c r="B11" s="501"/>
      <c r="C11" s="68"/>
      <c r="D11" s="68"/>
      <c r="E11" s="68"/>
      <c r="F11" s="68"/>
      <c r="G11" s="68"/>
      <c r="H11" s="68"/>
      <c r="I11" s="2301" t="s">
        <v>151</v>
      </c>
      <c r="J11" s="2302"/>
      <c r="K11" s="2303"/>
      <c r="L11" s="497"/>
    </row>
    <row r="12" spans="2:12" ht="37.5" customHeight="1" thickBot="1" x14ac:dyDescent="0.3">
      <c r="B12" s="501"/>
      <c r="C12" s="69"/>
      <c r="D12" s="45"/>
      <c r="E12" s="45"/>
      <c r="F12" s="70"/>
      <c r="G12" s="70"/>
      <c r="H12" s="70"/>
      <c r="I12" s="164" t="s">
        <v>231</v>
      </c>
      <c r="J12" s="2304" t="s">
        <v>232</v>
      </c>
      <c r="K12" s="2305"/>
      <c r="L12" s="497"/>
    </row>
    <row r="13" spans="2:12" ht="15.75" thickBot="1" x14ac:dyDescent="0.3">
      <c r="B13" s="501"/>
      <c r="C13" s="60" t="s">
        <v>154</v>
      </c>
      <c r="D13" s="61"/>
      <c r="E13" s="61"/>
      <c r="F13" s="62"/>
      <c r="G13" s="62"/>
      <c r="H13" s="62"/>
      <c r="I13" s="43"/>
      <c r="J13" s="43"/>
      <c r="K13" s="498"/>
      <c r="L13" s="497"/>
    </row>
    <row r="14" spans="2:12" ht="15.75" thickBot="1" x14ac:dyDescent="0.3">
      <c r="B14" s="501"/>
      <c r="C14" s="460"/>
      <c r="D14" s="151" t="s">
        <v>155</v>
      </c>
      <c r="E14" s="151"/>
      <c r="F14" s="151"/>
      <c r="G14" s="151"/>
      <c r="H14" s="152"/>
      <c r="I14" s="921">
        <f>'6A'!K22</f>
        <v>874268</v>
      </c>
      <c r="J14" s="2296" t="s">
        <v>2093</v>
      </c>
      <c r="K14" s="2297"/>
      <c r="L14" s="497"/>
    </row>
    <row r="15" spans="2:12" x14ac:dyDescent="0.25">
      <c r="B15" s="501"/>
      <c r="C15" s="460"/>
      <c r="D15" s="153" t="s">
        <v>156</v>
      </c>
      <c r="E15" s="153"/>
      <c r="F15" s="153"/>
      <c r="G15" s="153"/>
      <c r="H15" s="154"/>
      <c r="I15" s="922">
        <f>'6A'!K23</f>
        <v>174056</v>
      </c>
      <c r="J15" s="2296" t="s">
        <v>2093</v>
      </c>
      <c r="K15" s="2297"/>
      <c r="L15" s="497"/>
    </row>
    <row r="16" spans="2:12" ht="15.75" thickBot="1" x14ac:dyDescent="0.3">
      <c r="B16" s="501"/>
      <c r="C16" s="460"/>
      <c r="D16" s="153" t="s">
        <v>157</v>
      </c>
      <c r="E16" s="153"/>
      <c r="F16" s="153"/>
      <c r="G16" s="153"/>
      <c r="H16" s="154"/>
      <c r="I16" s="922">
        <f>'6A'!K24</f>
        <v>0</v>
      </c>
      <c r="J16" s="2292"/>
      <c r="K16" s="2293"/>
      <c r="L16" s="497"/>
    </row>
    <row r="17" spans="2:12" x14ac:dyDescent="0.25">
      <c r="B17" s="501"/>
      <c r="C17" s="460"/>
      <c r="D17" s="153" t="s">
        <v>158</v>
      </c>
      <c r="E17" s="153"/>
      <c r="F17" s="153"/>
      <c r="G17" s="153"/>
      <c r="H17" s="154"/>
      <c r="I17" s="922">
        <f>'6A'!K25</f>
        <v>11749</v>
      </c>
      <c r="J17" s="2296" t="s">
        <v>2093</v>
      </c>
      <c r="K17" s="2297"/>
      <c r="L17" s="497"/>
    </row>
    <row r="18" spans="2:12" ht="15.75" thickBot="1" x14ac:dyDescent="0.3">
      <c r="B18" s="501"/>
      <c r="C18" s="460"/>
      <c r="D18" s="153" t="s">
        <v>159</v>
      </c>
      <c r="E18" s="153"/>
      <c r="F18" s="153"/>
      <c r="G18" s="153"/>
      <c r="H18" s="154"/>
      <c r="I18" s="922">
        <f>'6A'!K26</f>
        <v>0</v>
      </c>
      <c r="J18" s="2292"/>
      <c r="K18" s="2293"/>
      <c r="L18" s="497"/>
    </row>
    <row r="19" spans="2:12" ht="15.75" thickBot="1" x14ac:dyDescent="0.3">
      <c r="B19" s="501"/>
      <c r="C19" s="460"/>
      <c r="D19" s="153" t="s">
        <v>233</v>
      </c>
      <c r="E19" s="153"/>
      <c r="F19" s="153"/>
      <c r="G19" s="153"/>
      <c r="H19" s="154"/>
      <c r="I19" s="923">
        <f>'6A'!K27</f>
        <v>6527</v>
      </c>
      <c r="J19" s="2296" t="s">
        <v>2093</v>
      </c>
      <c r="K19" s="2297"/>
      <c r="L19" s="497"/>
    </row>
    <row r="20" spans="2:12" ht="3.75" customHeight="1" x14ac:dyDescent="0.25">
      <c r="B20" s="501"/>
      <c r="C20" s="47"/>
      <c r="D20" s="48"/>
      <c r="E20" s="48"/>
      <c r="F20" s="44"/>
      <c r="G20" s="44"/>
      <c r="H20" s="44"/>
      <c r="I20" s="39"/>
      <c r="J20" s="39"/>
      <c r="K20" s="498"/>
      <c r="L20" s="497"/>
    </row>
    <row r="21" spans="2:12" ht="15.75" thickBot="1" x14ac:dyDescent="0.3">
      <c r="B21" s="501"/>
      <c r="C21" s="60" t="s">
        <v>161</v>
      </c>
      <c r="D21" s="61"/>
      <c r="E21" s="61"/>
      <c r="F21" s="62"/>
      <c r="G21" s="62"/>
      <c r="H21" s="62"/>
      <c r="I21" s="40"/>
      <c r="J21" s="40"/>
      <c r="K21" s="460"/>
      <c r="L21" s="497"/>
    </row>
    <row r="22" spans="2:12" x14ac:dyDescent="0.25">
      <c r="B22" s="501"/>
      <c r="C22" s="460"/>
      <c r="D22" s="151" t="s">
        <v>162</v>
      </c>
      <c r="E22" s="151"/>
      <c r="F22" s="151"/>
      <c r="G22" s="151"/>
      <c r="H22" s="152"/>
      <c r="I22" s="921">
        <f>'6A'!K31</f>
        <v>0</v>
      </c>
      <c r="J22" s="2296"/>
      <c r="K22" s="2297"/>
      <c r="L22" s="497"/>
    </row>
    <row r="23" spans="2:12" x14ac:dyDescent="0.25">
      <c r="B23" s="501"/>
      <c r="C23" s="460"/>
      <c r="D23" s="153" t="s">
        <v>163</v>
      </c>
      <c r="E23" s="153"/>
      <c r="F23" s="153"/>
      <c r="G23" s="153"/>
      <c r="H23" s="154"/>
      <c r="I23" s="922">
        <f>'6A'!K32</f>
        <v>12009305</v>
      </c>
      <c r="J23" s="2292" t="s">
        <v>2094</v>
      </c>
      <c r="K23" s="2293"/>
      <c r="L23" s="497"/>
    </row>
    <row r="24" spans="2:12" x14ac:dyDescent="0.25">
      <c r="B24" s="501"/>
      <c r="C24" s="460"/>
      <c r="D24" s="153" t="s">
        <v>164</v>
      </c>
      <c r="E24" s="153"/>
      <c r="F24" s="153"/>
      <c r="G24" s="153"/>
      <c r="H24" s="154"/>
      <c r="I24" s="922">
        <f>'6A'!K33</f>
        <v>0</v>
      </c>
      <c r="J24" s="2292"/>
      <c r="K24" s="2293"/>
      <c r="L24" s="497"/>
    </row>
    <row r="25" spans="2:12" x14ac:dyDescent="0.25">
      <c r="B25" s="501"/>
      <c r="C25" s="460"/>
      <c r="D25" s="153" t="s">
        <v>165</v>
      </c>
      <c r="E25" s="153"/>
      <c r="F25" s="153"/>
      <c r="G25" s="153"/>
      <c r="H25" s="154"/>
      <c r="I25" s="922">
        <f>'6A'!K34</f>
        <v>568211</v>
      </c>
      <c r="J25" s="2292" t="s">
        <v>2095</v>
      </c>
      <c r="K25" s="2293"/>
      <c r="L25" s="497"/>
    </row>
    <row r="26" spans="2:12" x14ac:dyDescent="0.25">
      <c r="B26" s="501"/>
      <c r="C26" s="460"/>
      <c r="D26" s="153" t="s">
        <v>166</v>
      </c>
      <c r="E26" s="153"/>
      <c r="F26" s="153"/>
      <c r="G26" s="153"/>
      <c r="H26" s="154"/>
      <c r="I26" s="922">
        <f>'6A'!K35</f>
        <v>0</v>
      </c>
      <c r="J26" s="2292"/>
      <c r="K26" s="2293"/>
      <c r="L26" s="497"/>
    </row>
    <row r="27" spans="2:12" x14ac:dyDescent="0.25">
      <c r="B27" s="501"/>
      <c r="C27" s="460"/>
      <c r="D27" s="153" t="s">
        <v>167</v>
      </c>
      <c r="E27" s="153"/>
      <c r="F27" s="153"/>
      <c r="G27" s="153"/>
      <c r="H27" s="154"/>
      <c r="I27" s="922">
        <f>'6A'!K36</f>
        <v>1312495</v>
      </c>
      <c r="J27" s="2292" t="s">
        <v>2096</v>
      </c>
      <c r="K27" s="2293"/>
      <c r="L27" s="497"/>
    </row>
    <row r="28" spans="2:12" x14ac:dyDescent="0.25">
      <c r="B28" s="501"/>
      <c r="C28" s="460"/>
      <c r="D28" s="153" t="s">
        <v>168</v>
      </c>
      <c r="E28" s="153"/>
      <c r="F28" s="153"/>
      <c r="G28" s="153"/>
      <c r="H28" s="154"/>
      <c r="I28" s="922">
        <f>'6A'!K37</f>
        <v>0</v>
      </c>
      <c r="J28" s="2292"/>
      <c r="K28" s="2293"/>
      <c r="L28" s="497"/>
    </row>
    <row r="29" spans="2:12" x14ac:dyDescent="0.25">
      <c r="B29" s="501"/>
      <c r="C29" s="460"/>
      <c r="D29" s="153" t="s">
        <v>169</v>
      </c>
      <c r="E29" s="153"/>
      <c r="F29" s="153"/>
      <c r="G29" s="153"/>
      <c r="H29" s="154"/>
      <c r="I29" s="922">
        <f>'6A'!K38</f>
        <v>0</v>
      </c>
      <c r="J29" s="2292"/>
      <c r="K29" s="2293"/>
      <c r="L29" s="497"/>
    </row>
    <row r="30" spans="2:12" x14ac:dyDescent="0.25">
      <c r="B30" s="501"/>
      <c r="C30" s="460"/>
      <c r="D30" s="153" t="s">
        <v>170</v>
      </c>
      <c r="E30" s="153"/>
      <c r="F30" s="153"/>
      <c r="G30" s="153"/>
      <c r="H30" s="154"/>
      <c r="I30" s="922">
        <f>'6A'!K39</f>
        <v>884528</v>
      </c>
      <c r="J30" s="2292" t="s">
        <v>2097</v>
      </c>
      <c r="K30" s="2293"/>
      <c r="L30" s="497"/>
    </row>
    <row r="31" spans="2:12" x14ac:dyDescent="0.25">
      <c r="B31" s="501"/>
      <c r="C31" s="460"/>
      <c r="D31" s="153" t="s">
        <v>171</v>
      </c>
      <c r="E31" s="153"/>
      <c r="F31" s="153"/>
      <c r="G31" s="153"/>
      <c r="H31" s="154"/>
      <c r="I31" s="922">
        <f>'6A'!K40</f>
        <v>319158</v>
      </c>
      <c r="J31" s="2292" t="s">
        <v>2097</v>
      </c>
      <c r="K31" s="2293"/>
      <c r="L31" s="497"/>
    </row>
    <row r="32" spans="2:12" x14ac:dyDescent="0.25">
      <c r="B32" s="501"/>
      <c r="C32" s="460"/>
      <c r="D32" s="153" t="s">
        <v>172</v>
      </c>
      <c r="E32" s="153"/>
      <c r="F32" s="153"/>
      <c r="G32" s="153"/>
      <c r="H32" s="154"/>
      <c r="I32" s="922">
        <f>'6A'!K41</f>
        <v>0</v>
      </c>
      <c r="J32" s="2292"/>
      <c r="K32" s="2293"/>
      <c r="L32" s="497"/>
    </row>
    <row r="33" spans="2:12" x14ac:dyDescent="0.25">
      <c r="B33" s="501"/>
      <c r="C33" s="460"/>
      <c r="D33" s="153" t="s">
        <v>173</v>
      </c>
      <c r="E33" s="153"/>
      <c r="F33" s="153"/>
      <c r="G33" s="153"/>
      <c r="H33" s="154"/>
      <c r="I33" s="922">
        <f>'6A'!K42</f>
        <v>0</v>
      </c>
      <c r="J33" s="2292"/>
      <c r="K33" s="2293"/>
      <c r="L33" s="497"/>
    </row>
    <row r="34" spans="2:12" x14ac:dyDescent="0.25">
      <c r="B34" s="501"/>
      <c r="C34" s="460"/>
      <c r="D34" s="153" t="s">
        <v>174</v>
      </c>
      <c r="E34" s="153"/>
      <c r="F34" s="153"/>
      <c r="G34" s="153"/>
      <c r="H34" s="154"/>
      <c r="I34" s="922">
        <f>'6A'!K43</f>
        <v>1325620</v>
      </c>
      <c r="J34" s="2298">
        <v>0.10100000000000001</v>
      </c>
      <c r="K34" s="2299"/>
      <c r="L34" s="497"/>
    </row>
    <row r="35" spans="2:12" x14ac:dyDescent="0.25">
      <c r="B35" s="501"/>
      <c r="C35" s="460"/>
      <c r="D35" s="153" t="s">
        <v>175</v>
      </c>
      <c r="E35" s="153"/>
      <c r="F35" s="153"/>
      <c r="G35" s="153"/>
      <c r="H35" s="154"/>
      <c r="I35" s="922">
        <f>'6A'!K44</f>
        <v>0</v>
      </c>
      <c r="J35" s="2292"/>
      <c r="K35" s="2293"/>
      <c r="L35" s="497"/>
    </row>
    <row r="36" spans="2:12" x14ac:dyDescent="0.25">
      <c r="B36" s="501"/>
      <c r="C36" s="460"/>
      <c r="D36" s="153" t="s">
        <v>176</v>
      </c>
      <c r="E36" s="153"/>
      <c r="F36" s="153"/>
      <c r="G36" s="153"/>
      <c r="H36" s="154"/>
      <c r="I36" s="922">
        <f>'6A'!K45</f>
        <v>200000</v>
      </c>
      <c r="J36" s="2292" t="s">
        <v>2098</v>
      </c>
      <c r="K36" s="2293"/>
      <c r="L36" s="497"/>
    </row>
    <row r="37" spans="2:12" ht="15.75" thickBot="1" x14ac:dyDescent="0.3">
      <c r="B37" s="501"/>
      <c r="C37" s="460"/>
      <c r="D37" s="153" t="s">
        <v>234</v>
      </c>
      <c r="E37" s="153"/>
      <c r="F37" s="153"/>
      <c r="G37" s="153"/>
      <c r="H37" s="154"/>
      <c r="I37" s="923">
        <f>'6A'!K46</f>
        <v>0</v>
      </c>
      <c r="J37" s="2294"/>
      <c r="K37" s="2295"/>
      <c r="L37" s="497"/>
    </row>
    <row r="38" spans="2:12" ht="3.75" customHeight="1" x14ac:dyDescent="0.25">
      <c r="B38" s="501"/>
      <c r="C38" s="47"/>
      <c r="D38" s="48"/>
      <c r="E38" s="48"/>
      <c r="F38" s="44"/>
      <c r="G38" s="44"/>
      <c r="H38" s="44"/>
      <c r="I38" s="39"/>
      <c r="J38" s="39"/>
      <c r="K38" s="498"/>
      <c r="L38" s="497"/>
    </row>
    <row r="39" spans="2:12" ht="15.75" thickBot="1" x14ac:dyDescent="0.3">
      <c r="B39" s="501"/>
      <c r="C39" s="60" t="s">
        <v>177</v>
      </c>
      <c r="D39" s="61"/>
      <c r="E39" s="61"/>
      <c r="F39" s="62"/>
      <c r="G39" s="62"/>
      <c r="H39" s="62"/>
      <c r="I39" s="39"/>
      <c r="J39" s="39"/>
      <c r="K39" s="460"/>
      <c r="L39" s="497"/>
    </row>
    <row r="40" spans="2:12" x14ac:dyDescent="0.25">
      <c r="B40" s="501"/>
      <c r="C40" s="460"/>
      <c r="D40" s="151" t="s">
        <v>178</v>
      </c>
      <c r="E40" s="151"/>
      <c r="F40" s="151"/>
      <c r="G40" s="151"/>
      <c r="H40" s="152"/>
      <c r="I40" s="921">
        <f>'6A'!K50</f>
        <v>0</v>
      </c>
      <c r="J40" s="2296"/>
      <c r="K40" s="2297"/>
      <c r="L40" s="497"/>
    </row>
    <row r="41" spans="2:12" x14ac:dyDescent="0.25">
      <c r="B41" s="501"/>
      <c r="C41" s="460"/>
      <c r="D41" s="153" t="s">
        <v>179</v>
      </c>
      <c r="E41" s="153"/>
      <c r="F41" s="153"/>
      <c r="G41" s="153"/>
      <c r="H41" s="154"/>
      <c r="I41" s="922">
        <f>'6A'!K51</f>
        <v>7500</v>
      </c>
      <c r="J41" s="2292" t="s">
        <v>2099</v>
      </c>
      <c r="K41" s="2293"/>
      <c r="L41" s="497"/>
    </row>
    <row r="42" spans="2:12" x14ac:dyDescent="0.25">
      <c r="B42" s="501"/>
      <c r="C42" s="460"/>
      <c r="D42" s="153" t="s">
        <v>180</v>
      </c>
      <c r="E42" s="153"/>
      <c r="F42" s="153"/>
      <c r="G42" s="153"/>
      <c r="H42" s="154"/>
      <c r="I42" s="922">
        <f>'6A'!K52</f>
        <v>1130621</v>
      </c>
      <c r="J42" s="2292" t="s">
        <v>2100</v>
      </c>
      <c r="K42" s="2293"/>
      <c r="L42" s="497"/>
    </row>
    <row r="43" spans="2:12" x14ac:dyDescent="0.25">
      <c r="B43" s="501"/>
      <c r="C43" s="460"/>
      <c r="D43" s="153" t="s">
        <v>181</v>
      </c>
      <c r="E43" s="153"/>
      <c r="F43" s="153"/>
      <c r="G43" s="153"/>
      <c r="H43" s="154"/>
      <c r="I43" s="922">
        <f>'6A'!K53</f>
        <v>0</v>
      </c>
      <c r="J43" s="2292"/>
      <c r="K43" s="2293"/>
      <c r="L43" s="497"/>
    </row>
    <row r="44" spans="2:12" x14ac:dyDescent="0.25">
      <c r="B44" s="501"/>
      <c r="C44" s="460"/>
      <c r="D44" s="153" t="s">
        <v>182</v>
      </c>
      <c r="E44" s="153"/>
      <c r="F44" s="153"/>
      <c r="G44" s="153"/>
      <c r="H44" s="154"/>
      <c r="I44" s="922">
        <f>'6A'!K54</f>
        <v>13054</v>
      </c>
      <c r="J44" s="2292" t="s">
        <v>2101</v>
      </c>
      <c r="K44" s="2293"/>
      <c r="L44" s="497"/>
    </row>
    <row r="45" spans="2:12" x14ac:dyDescent="0.25">
      <c r="B45" s="501"/>
      <c r="C45" s="460"/>
      <c r="D45" s="153" t="s">
        <v>183</v>
      </c>
      <c r="E45" s="153"/>
      <c r="F45" s="153"/>
      <c r="G45" s="153"/>
      <c r="H45" s="154"/>
      <c r="I45" s="922">
        <f>'6A'!K55</f>
        <v>21757</v>
      </c>
      <c r="J45" s="2292" t="s">
        <v>2101</v>
      </c>
      <c r="K45" s="2293"/>
      <c r="L45" s="497"/>
    </row>
    <row r="46" spans="2:12" x14ac:dyDescent="0.25">
      <c r="B46" s="501"/>
      <c r="C46" s="460"/>
      <c r="D46" s="153" t="s">
        <v>184</v>
      </c>
      <c r="E46" s="153"/>
      <c r="F46" s="153"/>
      <c r="G46" s="153"/>
      <c r="H46" s="154"/>
      <c r="I46" s="922">
        <f>'6A'!K56</f>
        <v>21757</v>
      </c>
      <c r="J46" s="2292" t="s">
        <v>2101</v>
      </c>
      <c r="K46" s="2293"/>
      <c r="L46" s="497"/>
    </row>
    <row r="47" spans="2:12" x14ac:dyDescent="0.25">
      <c r="B47" s="501"/>
      <c r="C47" s="460"/>
      <c r="D47" s="153" t="s">
        <v>185</v>
      </c>
      <c r="E47" s="153"/>
      <c r="F47" s="153"/>
      <c r="G47" s="153"/>
      <c r="H47" s="154"/>
      <c r="I47" s="922">
        <f>'6A'!K57</f>
        <v>0</v>
      </c>
      <c r="J47" s="2292"/>
      <c r="K47" s="2293"/>
      <c r="L47" s="497"/>
    </row>
    <row r="48" spans="2:12" x14ac:dyDescent="0.25">
      <c r="B48" s="501"/>
      <c r="C48" s="460"/>
      <c r="D48" s="153" t="s">
        <v>186</v>
      </c>
      <c r="E48" s="153"/>
      <c r="F48" s="153"/>
      <c r="G48" s="153"/>
      <c r="H48" s="154"/>
      <c r="I48" s="922">
        <f>'6A'!K58</f>
        <v>1038486</v>
      </c>
      <c r="J48" s="2292"/>
      <c r="K48" s="2293"/>
      <c r="L48" s="497"/>
    </row>
    <row r="49" spans="2:12" x14ac:dyDescent="0.25">
      <c r="B49" s="501"/>
      <c r="C49" s="460"/>
      <c r="D49" s="153" t="s">
        <v>187</v>
      </c>
      <c r="E49" s="153"/>
      <c r="F49" s="153"/>
      <c r="G49" s="153"/>
      <c r="H49" s="154"/>
      <c r="I49" s="922">
        <f>'6A'!K59</f>
        <v>1058486</v>
      </c>
      <c r="J49" s="2292"/>
      <c r="K49" s="2293"/>
      <c r="L49" s="497"/>
    </row>
    <row r="50" spans="2:12" x14ac:dyDescent="0.25">
      <c r="B50" s="501"/>
      <c r="C50" s="460"/>
      <c r="D50" s="153" t="s">
        <v>188</v>
      </c>
      <c r="E50" s="153"/>
      <c r="F50" s="153"/>
      <c r="G50" s="153"/>
      <c r="H50" s="154"/>
      <c r="I50" s="922">
        <f>'6A'!K60</f>
        <v>47865</v>
      </c>
      <c r="J50" s="2292" t="s">
        <v>2102</v>
      </c>
      <c r="K50" s="2293"/>
      <c r="L50" s="497"/>
    </row>
    <row r="51" spans="2:12" x14ac:dyDescent="0.25">
      <c r="B51" s="501"/>
      <c r="C51" s="503"/>
      <c r="D51" s="91" t="s">
        <v>189</v>
      </c>
      <c r="E51" s="91"/>
      <c r="F51" s="91"/>
      <c r="G51" s="91"/>
      <c r="H51" s="91"/>
      <c r="I51" s="922">
        <f>'6A'!K61</f>
        <v>0</v>
      </c>
      <c r="J51" s="2292"/>
      <c r="K51" s="2293"/>
      <c r="L51" s="497"/>
    </row>
    <row r="52" spans="2:12" ht="15.75" thickBot="1" x14ac:dyDescent="0.3">
      <c r="B52" s="501"/>
      <c r="C52" s="460"/>
      <c r="D52" s="153" t="s">
        <v>233</v>
      </c>
      <c r="E52" s="153"/>
      <c r="F52" s="153"/>
      <c r="G52" s="153"/>
      <c r="H52" s="154"/>
      <c r="I52" s="923">
        <f>'6A'!K62</f>
        <v>0</v>
      </c>
      <c r="J52" s="2294"/>
      <c r="K52" s="2295"/>
      <c r="L52" s="497"/>
    </row>
    <row r="53" spans="2:12" ht="3.75" customHeight="1" x14ac:dyDescent="0.25">
      <c r="B53" s="501"/>
      <c r="C53" s="47"/>
      <c r="D53" s="48"/>
      <c r="E53" s="48"/>
      <c r="F53" s="44"/>
      <c r="G53" s="44"/>
      <c r="H53" s="44"/>
      <c r="I53" s="39"/>
      <c r="J53" s="39"/>
      <c r="K53" s="498"/>
      <c r="L53" s="497"/>
    </row>
    <row r="54" spans="2:12" ht="15.75" thickBot="1" x14ac:dyDescent="0.3">
      <c r="B54" s="501"/>
      <c r="C54" s="60" t="s">
        <v>190</v>
      </c>
      <c r="D54" s="61"/>
      <c r="E54" s="61"/>
      <c r="F54" s="62"/>
      <c r="G54" s="62"/>
      <c r="H54" s="62"/>
      <c r="I54" s="39"/>
      <c r="J54" s="39"/>
      <c r="K54" s="460"/>
      <c r="L54" s="497"/>
    </row>
    <row r="55" spans="2:12" x14ac:dyDescent="0.25">
      <c r="B55" s="501"/>
      <c r="C55" s="460"/>
      <c r="D55" s="151" t="s">
        <v>191</v>
      </c>
      <c r="E55" s="151"/>
      <c r="F55" s="151"/>
      <c r="G55" s="151"/>
      <c r="H55" s="152"/>
      <c r="I55" s="921">
        <f>'6A'!K66</f>
        <v>0</v>
      </c>
      <c r="J55" s="2296" t="s">
        <v>2103</v>
      </c>
      <c r="K55" s="2297"/>
      <c r="L55" s="497"/>
    </row>
    <row r="56" spans="2:12" ht="15.75" thickBot="1" x14ac:dyDescent="0.3">
      <c r="B56" s="501"/>
      <c r="C56" s="460"/>
      <c r="D56" s="153" t="s">
        <v>192</v>
      </c>
      <c r="E56" s="153"/>
      <c r="F56" s="153"/>
      <c r="G56" s="153"/>
      <c r="H56" s="154"/>
      <c r="I56" s="923">
        <f>'6A'!K67</f>
        <v>0</v>
      </c>
      <c r="J56" s="2294" t="s">
        <v>2104</v>
      </c>
      <c r="K56" s="2295"/>
      <c r="L56" s="497"/>
    </row>
    <row r="57" spans="2:12" ht="9" customHeight="1" thickBot="1" x14ac:dyDescent="0.3">
      <c r="B57" s="504"/>
      <c r="C57" s="57"/>
      <c r="D57" s="58"/>
      <c r="E57" s="58"/>
      <c r="F57" s="57"/>
      <c r="G57" s="57"/>
      <c r="H57" s="57"/>
      <c r="I57" s="41"/>
      <c r="J57" s="41"/>
      <c r="K57" s="505"/>
      <c r="L57" s="506"/>
    </row>
    <row r="58" spans="2:12" ht="15.75" thickBot="1" x14ac:dyDescent="0.3">
      <c r="B58" s="501"/>
      <c r="C58" s="60" t="s">
        <v>193</v>
      </c>
      <c r="D58" s="61"/>
      <c r="E58" s="61"/>
      <c r="F58" s="62"/>
      <c r="G58" s="62"/>
      <c r="H58" s="62"/>
      <c r="I58" s="39"/>
      <c r="J58" s="39"/>
      <c r="K58" s="460"/>
      <c r="L58" s="497"/>
    </row>
    <row r="59" spans="2:12" x14ac:dyDescent="0.25">
      <c r="B59" s="501"/>
      <c r="C59" s="460"/>
      <c r="D59" s="151" t="s">
        <v>194</v>
      </c>
      <c r="E59" s="151"/>
      <c r="F59" s="151"/>
      <c r="G59" s="151"/>
      <c r="H59" s="152"/>
      <c r="I59" s="921">
        <f>'6A'!K71</f>
        <v>137868</v>
      </c>
      <c r="J59" s="2296" t="s">
        <v>2105</v>
      </c>
      <c r="K59" s="2297"/>
      <c r="L59" s="507"/>
    </row>
    <row r="60" spans="2:12" x14ac:dyDescent="0.25">
      <c r="B60" s="501"/>
      <c r="C60" s="460"/>
      <c r="D60" s="153" t="s">
        <v>195</v>
      </c>
      <c r="E60" s="153"/>
      <c r="F60" s="153"/>
      <c r="G60" s="153"/>
      <c r="H60" s="154"/>
      <c r="I60" s="922">
        <f>'6A'!K72</f>
        <v>21757</v>
      </c>
      <c r="J60" s="2292" t="s">
        <v>2107</v>
      </c>
      <c r="K60" s="2293"/>
      <c r="L60" s="497"/>
    </row>
    <row r="61" spans="2:12" x14ac:dyDescent="0.25">
      <c r="B61" s="501"/>
      <c r="C61" s="460"/>
      <c r="D61" s="153" t="s">
        <v>196</v>
      </c>
      <c r="E61" s="153"/>
      <c r="F61" s="153"/>
      <c r="G61" s="153"/>
      <c r="H61" s="154"/>
      <c r="I61" s="922">
        <f>'6A'!K73</f>
        <v>21757</v>
      </c>
      <c r="J61" s="2292" t="s">
        <v>2106</v>
      </c>
      <c r="K61" s="2293"/>
      <c r="L61" s="497"/>
    </row>
    <row r="62" spans="2:12" x14ac:dyDescent="0.25">
      <c r="B62" s="501"/>
      <c r="C62" s="460"/>
      <c r="D62" s="153" t="s">
        <v>197</v>
      </c>
      <c r="E62" s="153"/>
      <c r="F62" s="153"/>
      <c r="G62" s="153"/>
      <c r="H62" s="154"/>
      <c r="I62" s="922">
        <f>'6A'!K74</f>
        <v>254325</v>
      </c>
      <c r="J62" s="2292" t="s">
        <v>2108</v>
      </c>
      <c r="K62" s="2293"/>
      <c r="L62" s="497"/>
    </row>
    <row r="63" spans="2:12" ht="15.75" thickBot="1" x14ac:dyDescent="0.3">
      <c r="B63" s="501"/>
      <c r="C63" s="460"/>
      <c r="D63" s="153" t="s">
        <v>198</v>
      </c>
      <c r="E63" s="153"/>
      <c r="F63" s="153"/>
      <c r="G63" s="153"/>
      <c r="H63" s="154"/>
      <c r="I63" s="923">
        <f>'6A'!K75</f>
        <v>168630</v>
      </c>
      <c r="J63" s="2294" t="s">
        <v>2108</v>
      </c>
      <c r="K63" s="2295"/>
      <c r="L63" s="497"/>
    </row>
    <row r="64" spans="2:12" ht="4.5" customHeight="1" x14ac:dyDescent="0.25">
      <c r="B64" s="501"/>
      <c r="C64" s="44"/>
      <c r="D64" s="48"/>
      <c r="E64" s="48"/>
      <c r="F64" s="44"/>
      <c r="G64" s="44"/>
      <c r="H64" s="44"/>
      <c r="I64" s="39"/>
      <c r="J64" s="39"/>
      <c r="K64" s="498"/>
      <c r="L64" s="497"/>
    </row>
    <row r="65" spans="2:12" ht="15.75" thickBot="1" x14ac:dyDescent="0.3">
      <c r="B65" s="501"/>
      <c r="C65" s="60" t="s">
        <v>199</v>
      </c>
      <c r="D65" s="61"/>
      <c r="E65" s="61"/>
      <c r="F65" s="62"/>
      <c r="G65" s="62"/>
      <c r="H65" s="62"/>
      <c r="I65" s="39"/>
      <c r="J65" s="39"/>
      <c r="K65" s="460"/>
      <c r="L65" s="497"/>
    </row>
    <row r="66" spans="2:12" x14ac:dyDescent="0.25">
      <c r="B66" s="501"/>
      <c r="C66" s="460"/>
      <c r="D66" s="151" t="s">
        <v>200</v>
      </c>
      <c r="E66" s="151"/>
      <c r="F66" s="151"/>
      <c r="G66" s="151"/>
      <c r="H66" s="152"/>
      <c r="I66" s="921">
        <f>'6A'!K79</f>
        <v>0</v>
      </c>
      <c r="J66" s="2296"/>
      <c r="K66" s="2297"/>
      <c r="L66" s="497"/>
    </row>
    <row r="67" spans="2:12" x14ac:dyDescent="0.25">
      <c r="B67" s="501"/>
      <c r="C67" s="460"/>
      <c r="D67" s="153" t="s">
        <v>201</v>
      </c>
      <c r="E67" s="153"/>
      <c r="F67" s="153"/>
      <c r="G67" s="153"/>
      <c r="H67" s="154"/>
      <c r="I67" s="922">
        <f>'6A'!K80</f>
        <v>10000</v>
      </c>
      <c r="J67" s="2292" t="s">
        <v>2110</v>
      </c>
      <c r="K67" s="2293"/>
      <c r="L67" s="497"/>
    </row>
    <row r="68" spans="2:12" x14ac:dyDescent="0.25">
      <c r="B68" s="501"/>
      <c r="C68" s="460"/>
      <c r="D68" s="153" t="s">
        <v>202</v>
      </c>
      <c r="E68" s="153"/>
      <c r="F68" s="153"/>
      <c r="G68" s="153"/>
      <c r="H68" s="154"/>
      <c r="I68" s="922">
        <f>'6A'!K81</f>
        <v>10000</v>
      </c>
      <c r="J68" s="2292" t="s">
        <v>2111</v>
      </c>
      <c r="K68" s="2293"/>
      <c r="L68" s="497"/>
    </row>
    <row r="69" spans="2:12" x14ac:dyDescent="0.25">
      <c r="B69" s="501"/>
      <c r="C69" s="460"/>
      <c r="D69" s="153" t="s">
        <v>203</v>
      </c>
      <c r="E69" s="153"/>
      <c r="F69" s="153"/>
      <c r="G69" s="153"/>
      <c r="H69" s="154"/>
      <c r="I69" s="922">
        <f>'6A'!K82</f>
        <v>70877</v>
      </c>
      <c r="J69" s="2292" t="s">
        <v>2112</v>
      </c>
      <c r="K69" s="2293"/>
      <c r="L69" s="497"/>
    </row>
    <row r="70" spans="2:12" x14ac:dyDescent="0.25">
      <c r="B70" s="501"/>
      <c r="C70" s="460"/>
      <c r="D70" s="153" t="s">
        <v>204</v>
      </c>
      <c r="E70" s="153"/>
      <c r="F70" s="153"/>
      <c r="G70" s="153"/>
      <c r="H70" s="154"/>
      <c r="I70" s="922">
        <f>'6A'!K83</f>
        <v>85000</v>
      </c>
      <c r="J70" s="2292" t="s">
        <v>2113</v>
      </c>
      <c r="K70" s="2293"/>
      <c r="L70" s="497"/>
    </row>
    <row r="71" spans="2:12" x14ac:dyDescent="0.25">
      <c r="B71" s="501"/>
      <c r="C71" s="460"/>
      <c r="D71" s="153" t="s">
        <v>205</v>
      </c>
      <c r="E71" s="153"/>
      <c r="F71" s="153"/>
      <c r="G71" s="153"/>
      <c r="H71" s="154"/>
      <c r="I71" s="922">
        <f>'6A'!K84</f>
        <v>0</v>
      </c>
      <c r="J71" s="2292"/>
      <c r="K71" s="2293"/>
      <c r="L71" s="497"/>
    </row>
    <row r="72" spans="2:12" x14ac:dyDescent="0.25">
      <c r="B72" s="501"/>
      <c r="C72" s="460"/>
      <c r="D72" s="153" t="s">
        <v>206</v>
      </c>
      <c r="E72" s="153"/>
      <c r="F72" s="153"/>
      <c r="G72" s="153"/>
      <c r="H72" s="154"/>
      <c r="I72" s="922">
        <f>'6A'!K85</f>
        <v>40000</v>
      </c>
      <c r="J72" s="2292" t="s">
        <v>2109</v>
      </c>
      <c r="K72" s="2293"/>
      <c r="L72" s="497"/>
    </row>
    <row r="73" spans="2:12" ht="15.75" thickBot="1" x14ac:dyDescent="0.3">
      <c r="B73" s="501"/>
      <c r="C73" s="460"/>
      <c r="D73" s="153" t="s">
        <v>233</v>
      </c>
      <c r="E73" s="153"/>
      <c r="F73" s="153"/>
      <c r="G73" s="153"/>
      <c r="H73" s="154"/>
      <c r="I73" s="923">
        <f>'6A'!K86</f>
        <v>20000</v>
      </c>
      <c r="J73" s="2294" t="s">
        <v>2114</v>
      </c>
      <c r="K73" s="2295"/>
      <c r="L73" s="497"/>
    </row>
    <row r="74" spans="2:12" ht="3.75" customHeight="1" x14ac:dyDescent="0.25">
      <c r="B74" s="501"/>
      <c r="C74" s="47"/>
      <c r="D74" s="48"/>
      <c r="E74" s="48"/>
      <c r="F74" s="44"/>
      <c r="G74" s="44"/>
      <c r="H74" s="44"/>
      <c r="I74" s="39"/>
      <c r="J74" s="39"/>
      <c r="K74" s="498"/>
      <c r="L74" s="497"/>
    </row>
    <row r="75" spans="2:12" ht="15.75" thickBot="1" x14ac:dyDescent="0.3">
      <c r="B75" s="501"/>
      <c r="C75" s="60" t="s">
        <v>207</v>
      </c>
      <c r="D75" s="61"/>
      <c r="E75" s="61"/>
      <c r="F75" s="62"/>
      <c r="G75" s="62"/>
      <c r="H75" s="62"/>
      <c r="I75" s="42"/>
      <c r="J75" s="163"/>
      <c r="K75" s="413"/>
      <c r="L75" s="497"/>
    </row>
    <row r="76" spans="2:12" x14ac:dyDescent="0.25">
      <c r="B76" s="501"/>
      <c r="C76" s="460"/>
      <c r="D76" s="151" t="s">
        <v>208</v>
      </c>
      <c r="E76" s="151"/>
      <c r="F76" s="151"/>
      <c r="G76" s="151"/>
      <c r="H76" s="152"/>
      <c r="I76" s="921">
        <f>'6A'!K90</f>
        <v>365787</v>
      </c>
      <c r="J76" s="2296" t="s">
        <v>2115</v>
      </c>
      <c r="K76" s="2297"/>
      <c r="L76" s="497"/>
    </row>
    <row r="77" spans="2:12" x14ac:dyDescent="0.25">
      <c r="B77" s="501"/>
      <c r="C77" s="460"/>
      <c r="D77" s="153" t="s">
        <v>209</v>
      </c>
      <c r="E77" s="153"/>
      <c r="F77" s="153"/>
      <c r="G77" s="153"/>
      <c r="H77" s="154"/>
      <c r="I77" s="922">
        <f>'6A'!K91</f>
        <v>26950</v>
      </c>
      <c r="J77" s="2292" t="s">
        <v>2116</v>
      </c>
      <c r="K77" s="2293"/>
      <c r="L77" s="497"/>
    </row>
    <row r="78" spans="2:12" ht="15.75" thickBot="1" x14ac:dyDescent="0.3">
      <c r="B78" s="501"/>
      <c r="C78" s="460"/>
      <c r="D78" s="153" t="s">
        <v>235</v>
      </c>
      <c r="E78" s="153"/>
      <c r="F78" s="153"/>
      <c r="G78" s="153"/>
      <c r="H78" s="154"/>
      <c r="I78" s="923">
        <f>'6A'!K92</f>
        <v>0</v>
      </c>
      <c r="J78" s="2294"/>
      <c r="K78" s="2295"/>
      <c r="L78" s="497"/>
    </row>
    <row r="79" spans="2:12" ht="3.75" customHeight="1" x14ac:dyDescent="0.25">
      <c r="B79" s="501"/>
      <c r="C79" s="47"/>
      <c r="D79" s="48"/>
      <c r="E79" s="48"/>
      <c r="F79" s="44"/>
      <c r="G79" s="44"/>
      <c r="H79" s="44"/>
      <c r="I79" s="39"/>
      <c r="J79" s="39"/>
      <c r="K79" s="498"/>
      <c r="L79" s="497"/>
    </row>
    <row r="80" spans="2:12" ht="15.75" thickBot="1" x14ac:dyDescent="0.3">
      <c r="B80" s="501"/>
      <c r="C80" s="60" t="s">
        <v>210</v>
      </c>
      <c r="D80" s="61"/>
      <c r="E80" s="61"/>
      <c r="F80" s="62"/>
      <c r="G80" s="62"/>
      <c r="H80" s="62"/>
      <c r="I80" s="42"/>
      <c r="J80" s="163"/>
      <c r="K80" s="413"/>
      <c r="L80" s="497"/>
    </row>
    <row r="81" spans="2:12" x14ac:dyDescent="0.25">
      <c r="B81" s="501"/>
      <c r="C81" s="460"/>
      <c r="D81" s="151" t="s">
        <v>211</v>
      </c>
      <c r="E81" s="151"/>
      <c r="F81" s="151"/>
      <c r="G81" s="151"/>
      <c r="H81" s="152"/>
      <c r="I81" s="921">
        <f>'6A'!K96</f>
        <v>0</v>
      </c>
      <c r="J81" s="2296"/>
      <c r="K81" s="2297"/>
      <c r="L81" s="497"/>
    </row>
    <row r="82" spans="2:12" x14ac:dyDescent="0.25">
      <c r="B82" s="501"/>
      <c r="C82" s="460"/>
      <c r="D82" s="153" t="s">
        <v>212</v>
      </c>
      <c r="E82" s="153"/>
      <c r="F82" s="153"/>
      <c r="G82" s="153"/>
      <c r="H82" s="154"/>
      <c r="I82" s="922">
        <f>'6A'!K97</f>
        <v>59609</v>
      </c>
      <c r="J82" s="2292" t="s">
        <v>2117</v>
      </c>
      <c r="K82" s="2293"/>
      <c r="L82" s="497"/>
    </row>
    <row r="83" spans="2:12" x14ac:dyDescent="0.25">
      <c r="B83" s="501"/>
      <c r="C83" s="460"/>
      <c r="D83" s="153" t="s">
        <v>109</v>
      </c>
      <c r="E83" s="153"/>
      <c r="F83" s="153"/>
      <c r="G83" s="153"/>
      <c r="H83" s="154"/>
      <c r="I83" s="922">
        <f>'6A'!K98</f>
        <v>291000</v>
      </c>
      <c r="J83" s="2292" t="s">
        <v>2118</v>
      </c>
      <c r="K83" s="2293"/>
      <c r="L83" s="497"/>
    </row>
    <row r="84" spans="2:12" x14ac:dyDescent="0.25">
      <c r="B84" s="501"/>
      <c r="C84" s="460"/>
      <c r="D84" s="153" t="s">
        <v>213</v>
      </c>
      <c r="E84" s="153"/>
      <c r="F84" s="153"/>
      <c r="G84" s="153"/>
      <c r="H84" s="154"/>
      <c r="I84" s="922">
        <f>'6A'!K99</f>
        <v>0</v>
      </c>
      <c r="J84" s="2292"/>
      <c r="K84" s="2293"/>
      <c r="L84" s="497"/>
    </row>
    <row r="85" spans="2:12" x14ac:dyDescent="0.25">
      <c r="B85" s="501"/>
      <c r="C85" s="460"/>
      <c r="D85" s="153" t="s">
        <v>214</v>
      </c>
      <c r="E85" s="153"/>
      <c r="F85" s="153"/>
      <c r="G85" s="153"/>
      <c r="H85" s="154"/>
      <c r="I85" s="922">
        <f>'6A'!K100</f>
        <v>459373</v>
      </c>
      <c r="J85" s="2292" t="s">
        <v>2119</v>
      </c>
      <c r="K85" s="2293"/>
      <c r="L85" s="497"/>
    </row>
    <row r="86" spans="2:12" x14ac:dyDescent="0.25">
      <c r="B86" s="501"/>
      <c r="C86" s="460"/>
      <c r="D86" s="153" t="s">
        <v>215</v>
      </c>
      <c r="E86" s="153"/>
      <c r="F86" s="153"/>
      <c r="G86" s="153"/>
      <c r="H86" s="154"/>
      <c r="I86" s="922">
        <f>'6A'!K101</f>
        <v>308000</v>
      </c>
      <c r="J86" s="2292" t="s">
        <v>2119</v>
      </c>
      <c r="K86" s="2293"/>
      <c r="L86" s="497"/>
    </row>
    <row r="87" spans="2:12" x14ac:dyDescent="0.25">
      <c r="B87" s="501"/>
      <c r="C87" s="460"/>
      <c r="D87" s="153" t="s">
        <v>216</v>
      </c>
      <c r="E87" s="153"/>
      <c r="F87" s="153"/>
      <c r="G87" s="153"/>
      <c r="H87" s="154"/>
      <c r="I87" s="922">
        <f>'6A'!K102</f>
        <v>0</v>
      </c>
      <c r="J87" s="2292"/>
      <c r="K87" s="2293"/>
      <c r="L87" s="497"/>
    </row>
    <row r="88" spans="2:12" x14ac:dyDescent="0.25">
      <c r="B88" s="501"/>
      <c r="C88" s="460"/>
      <c r="D88" s="153" t="s">
        <v>217</v>
      </c>
      <c r="E88" s="153"/>
      <c r="F88" s="153"/>
      <c r="G88" s="153"/>
      <c r="H88" s="154"/>
      <c r="I88" s="922">
        <f>'6A'!K103</f>
        <v>0</v>
      </c>
      <c r="J88" s="2292"/>
      <c r="K88" s="2293"/>
      <c r="L88" s="497"/>
    </row>
    <row r="89" spans="2:12" x14ac:dyDescent="0.25">
      <c r="B89" s="501"/>
      <c r="C89" s="460"/>
      <c r="D89" s="153" t="s">
        <v>218</v>
      </c>
      <c r="E89" s="153"/>
      <c r="F89" s="153"/>
      <c r="G89" s="153"/>
      <c r="H89" s="154"/>
      <c r="I89" s="922">
        <f>'6A'!K104</f>
        <v>20000</v>
      </c>
      <c r="J89" s="2292" t="s">
        <v>2120</v>
      </c>
      <c r="K89" s="2293"/>
      <c r="L89" s="497"/>
    </row>
    <row r="90" spans="2:12" x14ac:dyDescent="0.25">
      <c r="B90" s="501"/>
      <c r="C90" s="460"/>
      <c r="D90" s="153" t="s">
        <v>219</v>
      </c>
      <c r="E90" s="153"/>
      <c r="F90" s="153"/>
      <c r="G90" s="153"/>
      <c r="H90" s="154"/>
      <c r="I90" s="922">
        <f>'6A'!K105</f>
        <v>75000</v>
      </c>
      <c r="J90" s="2292" t="s">
        <v>2119</v>
      </c>
      <c r="K90" s="2293"/>
      <c r="L90" s="497"/>
    </row>
    <row r="91" spans="2:12" ht="15.75" thickBot="1" x14ac:dyDescent="0.3">
      <c r="B91" s="501"/>
      <c r="C91" s="460"/>
      <c r="D91" s="153" t="s">
        <v>220</v>
      </c>
      <c r="E91" s="153"/>
      <c r="F91" s="153"/>
      <c r="G91" s="153"/>
      <c r="H91" s="154"/>
      <c r="I91" s="923">
        <f>'6A'!K106</f>
        <v>0</v>
      </c>
      <c r="J91" s="2294"/>
      <c r="K91" s="2295"/>
      <c r="L91" s="497"/>
    </row>
    <row r="92" spans="2:12" ht="3.75" customHeight="1" x14ac:dyDescent="0.25">
      <c r="B92" s="501"/>
      <c r="C92" s="47"/>
      <c r="D92" s="48"/>
      <c r="E92" s="48"/>
      <c r="F92" s="44"/>
      <c r="G92" s="44"/>
      <c r="H92" s="44"/>
      <c r="I92" s="39"/>
      <c r="J92" s="39"/>
      <c r="K92" s="413"/>
      <c r="L92" s="497"/>
    </row>
    <row r="93" spans="2:12" ht="15.75" thickBot="1" x14ac:dyDescent="0.3">
      <c r="B93" s="501"/>
      <c r="C93" s="60" t="s">
        <v>221</v>
      </c>
      <c r="D93" s="61"/>
      <c r="E93" s="61"/>
      <c r="F93" s="62"/>
      <c r="G93" s="62"/>
      <c r="H93" s="62"/>
      <c r="I93" s="39"/>
      <c r="J93" s="39"/>
      <c r="K93" s="502"/>
      <c r="L93" s="508"/>
    </row>
    <row r="94" spans="2:12" x14ac:dyDescent="0.25">
      <c r="B94" s="501"/>
      <c r="C94" s="509"/>
      <c r="D94" s="151" t="s">
        <v>222</v>
      </c>
      <c r="E94" s="151"/>
      <c r="F94" s="151"/>
      <c r="G94" s="151"/>
      <c r="H94" s="152"/>
      <c r="I94" s="921">
        <f>'6A'!K111</f>
        <v>93047</v>
      </c>
      <c r="J94" s="2296" t="s">
        <v>2121</v>
      </c>
      <c r="K94" s="2297"/>
      <c r="L94" s="508"/>
    </row>
    <row r="95" spans="2:12" x14ac:dyDescent="0.25">
      <c r="B95" s="501"/>
      <c r="C95" s="509"/>
      <c r="D95" s="153" t="s">
        <v>223</v>
      </c>
      <c r="E95" s="153"/>
      <c r="F95" s="153"/>
      <c r="G95" s="153"/>
      <c r="H95" s="154"/>
      <c r="I95" s="922">
        <f>'6A'!K112</f>
        <v>0</v>
      </c>
      <c r="J95" s="2292"/>
      <c r="K95" s="2293"/>
      <c r="L95" s="508"/>
    </row>
    <row r="96" spans="2:12" x14ac:dyDescent="0.25">
      <c r="B96" s="501"/>
      <c r="C96" s="460"/>
      <c r="D96" s="153" t="s">
        <v>224</v>
      </c>
      <c r="E96" s="153"/>
      <c r="F96" s="153"/>
      <c r="G96" s="153"/>
      <c r="H96" s="154"/>
      <c r="I96" s="922">
        <f>'6A'!K113</f>
        <v>0</v>
      </c>
      <c r="J96" s="2292"/>
      <c r="K96" s="2293"/>
      <c r="L96" s="497"/>
    </row>
    <row r="97" spans="2:12" x14ac:dyDescent="0.25">
      <c r="B97" s="501"/>
      <c r="C97" s="460"/>
      <c r="D97" s="153" t="s">
        <v>225</v>
      </c>
      <c r="E97" s="153"/>
      <c r="F97" s="153"/>
      <c r="G97" s="153"/>
      <c r="H97" s="154"/>
      <c r="I97" s="922">
        <f>'6A'!K114</f>
        <v>0</v>
      </c>
      <c r="J97" s="2292"/>
      <c r="K97" s="2293"/>
      <c r="L97" s="497"/>
    </row>
    <row r="98" spans="2:12" x14ac:dyDescent="0.25">
      <c r="B98" s="501"/>
      <c r="C98" s="460"/>
      <c r="D98" s="153" t="s">
        <v>226</v>
      </c>
      <c r="E98" s="153"/>
      <c r="F98" s="153"/>
      <c r="G98" s="153"/>
      <c r="H98" s="154"/>
      <c r="I98" s="922">
        <f>'6A'!K115</f>
        <v>0</v>
      </c>
      <c r="J98" s="2292"/>
      <c r="K98" s="2293"/>
      <c r="L98" s="497"/>
    </row>
    <row r="99" spans="2:12" x14ac:dyDescent="0.25">
      <c r="B99" s="501"/>
      <c r="C99" s="460"/>
      <c r="D99" s="153" t="s">
        <v>227</v>
      </c>
      <c r="E99" s="153"/>
      <c r="F99" s="153"/>
      <c r="G99" s="153"/>
      <c r="H99" s="154"/>
      <c r="I99" s="922">
        <f>'6A'!K116</f>
        <v>0</v>
      </c>
      <c r="J99" s="2292"/>
      <c r="K99" s="2293"/>
      <c r="L99" s="497"/>
    </row>
    <row r="100" spans="2:12" ht="15.75" thickBot="1" x14ac:dyDescent="0.3">
      <c r="B100" s="501"/>
      <c r="C100" s="460"/>
      <c r="D100" s="153" t="s">
        <v>228</v>
      </c>
      <c r="E100" s="153"/>
      <c r="F100" s="153"/>
      <c r="G100" s="153"/>
      <c r="H100" s="154"/>
      <c r="I100" s="923">
        <f>'6A'!K117</f>
        <v>0</v>
      </c>
      <c r="J100" s="2294"/>
      <c r="K100" s="2295"/>
      <c r="L100" s="497"/>
    </row>
    <row r="101" spans="2:12" ht="15.75" thickBot="1" x14ac:dyDescent="0.3">
      <c r="B101" s="504"/>
      <c r="C101" s="37"/>
      <c r="D101" s="510"/>
      <c r="E101" s="510"/>
      <c r="F101" s="37"/>
      <c r="G101" s="37"/>
      <c r="H101" s="37"/>
      <c r="I101" s="38"/>
      <c r="J101" s="38"/>
      <c r="K101" s="505"/>
      <c r="L101" s="506"/>
    </row>
    <row r="102" spans="2:12" x14ac:dyDescent="0.25">
      <c r="I102" s="492"/>
    </row>
  </sheetData>
  <sheetProtection algorithmName="SHA-512" hashValue="1vnqvKjdrWrrt4/V8R3Yt9tWjtRSxglHRzzQvE7tcWMZXmZA/FtAFeDHGnBsEOSn/1ny60eDt1GWAF/Os42pRA==" saltValue="nSEOX8QW51UjdTid/Q8z0w==" spinCount="100000" sheet="1" formatCells="0" formatColumns="0" formatRows="0"/>
  <mergeCells count="75">
    <mergeCell ref="C9:K9"/>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7" fitToHeight="2" orientation="portrait" r:id="rId1"/>
  <headerFooter>
    <oddFooter>&amp;LForm 6B
Development Budget Details&amp;CCFA Forms&amp;REdition: 2016
Version: 1.0</oddFooter>
  </headerFooter>
  <rowBreaks count="1" manualBreakCount="1">
    <brk id="5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topLeftCell="A94" zoomScaleNormal="100" workbookViewId="0">
      <selection activeCell="P108" sqref="P108"/>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0.7109375" style="402" customWidth="1"/>
    <col min="9" max="9" width="20" style="402" customWidth="1"/>
    <col min="10" max="10" width="11.42578125" style="402" customWidth="1"/>
    <col min="11" max="11" width="12.140625" style="402" customWidth="1"/>
    <col min="12" max="12" width="1.7109375" style="402" customWidth="1"/>
    <col min="13" max="16384" width="9.140625" style="402"/>
  </cols>
  <sheetData>
    <row r="9" spans="2:12" ht="15.75" thickBot="1" x14ac:dyDescent="0.3"/>
    <row r="10" spans="2:12" x14ac:dyDescent="0.25">
      <c r="B10" s="511"/>
      <c r="C10" s="512"/>
      <c r="D10" s="512"/>
      <c r="E10" s="512"/>
      <c r="F10" s="512"/>
      <c r="G10" s="512"/>
      <c r="H10" s="512"/>
      <c r="I10" s="512"/>
      <c r="J10" s="512"/>
      <c r="K10" s="512"/>
      <c r="L10" s="513"/>
    </row>
    <row r="11" spans="2:12" ht="18.75" x14ac:dyDescent="0.3">
      <c r="B11" s="514"/>
      <c r="C11" s="2260" t="s">
        <v>236</v>
      </c>
      <c r="D11" s="2260"/>
      <c r="E11" s="2260"/>
      <c r="F11" s="2260"/>
      <c r="G11" s="2260"/>
      <c r="H11" s="2260"/>
      <c r="I11" s="2260"/>
      <c r="J11" s="2260"/>
      <c r="K11" s="2260"/>
      <c r="L11" s="515"/>
    </row>
    <row r="12" spans="2:12" x14ac:dyDescent="0.25">
      <c r="B12" s="514"/>
      <c r="C12" s="413"/>
      <c r="D12" s="413"/>
      <c r="E12" s="413"/>
      <c r="F12" s="413"/>
      <c r="G12" s="413"/>
      <c r="H12" s="413"/>
      <c r="I12" s="413"/>
      <c r="J12" s="413"/>
      <c r="K12" s="413"/>
      <c r="L12" s="515"/>
    </row>
    <row r="13" spans="2:12" ht="15.75" thickBot="1" x14ac:dyDescent="0.3">
      <c r="B13" s="514"/>
      <c r="C13" s="2288" t="str">
        <f>IF('1'!G5="","Enter Project Name on Form 1",(CONCATENATE("Project Name: ",'1'!G5)))</f>
        <v>Project Name: Filipino Community Village</v>
      </c>
      <c r="D13" s="2288"/>
      <c r="E13" s="2288"/>
      <c r="F13" s="2288"/>
      <c r="G13" s="2288"/>
      <c r="H13" s="2288"/>
      <c r="I13" s="2288"/>
      <c r="J13" s="2288"/>
      <c r="K13" s="2288"/>
      <c r="L13" s="515"/>
    </row>
    <row r="14" spans="2:12" ht="15.75" thickBot="1" x14ac:dyDescent="0.3">
      <c r="B14" s="143"/>
      <c r="C14" s="413"/>
      <c r="D14" s="63"/>
      <c r="E14" s="63"/>
      <c r="F14" s="63"/>
      <c r="G14" s="63"/>
      <c r="H14" s="63"/>
      <c r="I14" s="63"/>
      <c r="J14" s="63"/>
      <c r="K14" s="413"/>
      <c r="L14" s="515"/>
    </row>
    <row r="15" spans="2:12" x14ac:dyDescent="0.25">
      <c r="B15" s="143"/>
      <c r="C15" s="68"/>
      <c r="D15" s="68"/>
      <c r="E15" s="68"/>
      <c r="F15" s="68"/>
      <c r="G15" s="68"/>
      <c r="H15" s="68"/>
      <c r="I15" s="2273" t="s">
        <v>151</v>
      </c>
      <c r="J15" s="2274"/>
      <c r="K15" s="2306"/>
      <c r="L15" s="515"/>
    </row>
    <row r="16" spans="2:12" x14ac:dyDescent="0.25">
      <c r="B16" s="143"/>
      <c r="C16" s="68"/>
      <c r="D16" s="68"/>
      <c r="E16" s="68"/>
      <c r="F16" s="68"/>
      <c r="G16" s="68"/>
      <c r="H16" s="68"/>
      <c r="I16" s="2321" t="s">
        <v>237</v>
      </c>
      <c r="J16" s="2316" t="s">
        <v>238</v>
      </c>
      <c r="K16" s="2317"/>
      <c r="L16" s="515"/>
    </row>
    <row r="17" spans="2:12" x14ac:dyDescent="0.25">
      <c r="B17" s="143"/>
      <c r="C17" s="69"/>
      <c r="D17" s="45"/>
      <c r="E17" s="45"/>
      <c r="F17" s="70"/>
      <c r="G17" s="70"/>
      <c r="H17" s="70"/>
      <c r="I17" s="2321"/>
      <c r="J17" s="2318" t="s">
        <v>22</v>
      </c>
      <c r="K17" s="2323" t="s">
        <v>506</v>
      </c>
      <c r="L17" s="515"/>
    </row>
    <row r="18" spans="2:12" x14ac:dyDescent="0.25">
      <c r="B18" s="143"/>
      <c r="C18" s="45"/>
      <c r="D18" s="71"/>
      <c r="E18" s="71"/>
      <c r="F18" s="72"/>
      <c r="G18" s="72"/>
      <c r="H18" s="72"/>
      <c r="I18" s="2321"/>
      <c r="J18" s="2319"/>
      <c r="K18" s="2324"/>
      <c r="L18" s="515"/>
    </row>
    <row r="19" spans="2:12" ht="15.75" thickBot="1" x14ac:dyDescent="0.3">
      <c r="B19" s="143"/>
      <c r="C19" s="45"/>
      <c r="D19" s="71"/>
      <c r="E19" s="71"/>
      <c r="F19" s="72"/>
      <c r="G19" s="72"/>
      <c r="H19" s="72"/>
      <c r="I19" s="2322"/>
      <c r="J19" s="2320"/>
      <c r="K19" s="2325"/>
      <c r="L19" s="515"/>
    </row>
    <row r="20" spans="2:12" ht="15.75" thickBot="1" x14ac:dyDescent="0.3">
      <c r="B20" s="143"/>
      <c r="C20" s="60" t="s">
        <v>154</v>
      </c>
      <c r="D20" s="61"/>
      <c r="E20" s="61"/>
      <c r="F20" s="62"/>
      <c r="G20" s="62"/>
      <c r="H20" s="62"/>
      <c r="I20" s="84"/>
      <c r="J20" s="64"/>
      <c r="K20" s="413"/>
      <c r="L20" s="515"/>
    </row>
    <row r="21" spans="2:12" x14ac:dyDescent="0.25">
      <c r="B21" s="143"/>
      <c r="C21" s="413"/>
      <c r="D21" s="91" t="s">
        <v>155</v>
      </c>
      <c r="E21" s="44"/>
      <c r="F21" s="45"/>
      <c r="G21" s="45"/>
      <c r="H21" s="45"/>
      <c r="I21" s="943">
        <f>'6A'!K22</f>
        <v>874268</v>
      </c>
      <c r="J21" s="101"/>
      <c r="K21" s="102"/>
      <c r="L21" s="515"/>
    </row>
    <row r="22" spans="2:12" x14ac:dyDescent="0.25">
      <c r="B22" s="143"/>
      <c r="C22" s="413"/>
      <c r="D22" s="91" t="s">
        <v>156</v>
      </c>
      <c r="E22" s="44"/>
      <c r="F22" s="45"/>
      <c r="G22" s="45"/>
      <c r="H22" s="45"/>
      <c r="I22" s="941">
        <f>'6A'!K23</f>
        <v>174056</v>
      </c>
      <c r="J22" s="924"/>
      <c r="K22" s="103"/>
      <c r="L22" s="515"/>
    </row>
    <row r="23" spans="2:12" x14ac:dyDescent="0.25">
      <c r="B23" s="143"/>
      <c r="C23" s="413"/>
      <c r="D23" s="90" t="s">
        <v>157</v>
      </c>
      <c r="E23" s="44"/>
      <c r="F23" s="46"/>
      <c r="G23" s="46"/>
      <c r="H23" s="46"/>
      <c r="I23" s="925">
        <f>'6A'!K24</f>
        <v>0</v>
      </c>
      <c r="J23" s="926"/>
      <c r="K23" s="103"/>
      <c r="L23" s="515"/>
    </row>
    <row r="24" spans="2:12" x14ac:dyDescent="0.25">
      <c r="B24" s="143"/>
      <c r="C24" s="413"/>
      <c r="D24" s="90" t="s">
        <v>158</v>
      </c>
      <c r="E24" s="44"/>
      <c r="F24" s="46"/>
      <c r="G24" s="46"/>
      <c r="H24" s="46"/>
      <c r="I24" s="925">
        <f>'6A'!K25</f>
        <v>11749</v>
      </c>
      <c r="J24" s="926"/>
      <c r="K24" s="103"/>
      <c r="L24" s="515"/>
    </row>
    <row r="25" spans="2:12" x14ac:dyDescent="0.25">
      <c r="B25" s="143"/>
      <c r="C25" s="413"/>
      <c r="D25" s="83" t="s">
        <v>159</v>
      </c>
      <c r="E25" s="44"/>
      <c r="F25" s="46"/>
      <c r="G25" s="46"/>
      <c r="H25" s="46"/>
      <c r="I25" s="925">
        <f>'6A'!K26</f>
        <v>0</v>
      </c>
      <c r="J25" s="926"/>
      <c r="K25" s="103"/>
      <c r="L25" s="515"/>
    </row>
    <row r="26" spans="2:12" x14ac:dyDescent="0.25">
      <c r="B26" s="143"/>
      <c r="C26" s="413"/>
      <c r="D26" s="50" t="s">
        <v>427</v>
      </c>
      <c r="E26" s="2326" t="str">
        <f>(IF(AND(I26&lt;&gt;0,'6A'!E27=""),"Enter Item on Form 6A",'6A'!E27))</f>
        <v>Appraisal</v>
      </c>
      <c r="F26" s="2327"/>
      <c r="G26" s="2328"/>
      <c r="H26" s="516"/>
      <c r="I26" s="927">
        <f>'6A'!K27</f>
        <v>6527</v>
      </c>
      <c r="J26" s="928"/>
      <c r="K26" s="114"/>
      <c r="L26" s="515"/>
    </row>
    <row r="27" spans="2:12" ht="15.75" thickBot="1" x14ac:dyDescent="0.3">
      <c r="B27" s="143"/>
      <c r="C27" s="45"/>
      <c r="D27" s="44"/>
      <c r="E27" s="44"/>
      <c r="F27" s="413"/>
      <c r="G27" s="48" t="s">
        <v>160</v>
      </c>
      <c r="H27" s="89"/>
      <c r="I27" s="113">
        <f>SUM(I21:I26)</f>
        <v>1066600</v>
      </c>
      <c r="J27" s="93">
        <f>SUM(J22:J26)</f>
        <v>0</v>
      </c>
      <c r="K27" s="95">
        <v>0</v>
      </c>
      <c r="L27" s="515"/>
    </row>
    <row r="28" spans="2:12" ht="3.75" customHeight="1" x14ac:dyDescent="0.25">
      <c r="B28" s="143"/>
      <c r="C28" s="47"/>
      <c r="D28" s="48"/>
      <c r="E28" s="48"/>
      <c r="F28" s="44"/>
      <c r="G28" s="44"/>
      <c r="H28" s="44"/>
      <c r="I28" s="73"/>
      <c r="J28" s="73"/>
      <c r="K28" s="73"/>
      <c r="L28" s="515"/>
    </row>
    <row r="29" spans="2:12" ht="15.75" thickBot="1" x14ac:dyDescent="0.3">
      <c r="B29" s="143"/>
      <c r="C29" s="78" t="s">
        <v>161</v>
      </c>
      <c r="D29" s="79"/>
      <c r="E29" s="79"/>
      <c r="F29" s="80"/>
      <c r="G29" s="80"/>
      <c r="H29" s="80"/>
      <c r="I29" s="74"/>
      <c r="J29" s="73"/>
      <c r="K29" s="73"/>
      <c r="L29" s="515"/>
    </row>
    <row r="30" spans="2:12" x14ac:dyDescent="0.25">
      <c r="B30" s="143"/>
      <c r="C30" s="413"/>
      <c r="D30" s="90" t="s">
        <v>162</v>
      </c>
      <c r="E30" s="44"/>
      <c r="F30" s="46"/>
      <c r="G30" s="46"/>
      <c r="H30" s="46"/>
      <c r="I30" s="929">
        <f>'6A'!K31</f>
        <v>0</v>
      </c>
      <c r="J30" s="930"/>
      <c r="K30" s="931"/>
      <c r="L30" s="515"/>
    </row>
    <row r="31" spans="2:12" x14ac:dyDescent="0.25">
      <c r="B31" s="143"/>
      <c r="C31" s="413"/>
      <c r="D31" s="90" t="s">
        <v>163</v>
      </c>
      <c r="E31" s="44"/>
      <c r="F31" s="49"/>
      <c r="G31" s="49"/>
      <c r="H31" s="49"/>
      <c r="I31" s="925">
        <f>'6A'!K32</f>
        <v>12009305</v>
      </c>
      <c r="J31" s="926"/>
      <c r="K31" s="932">
        <v>12009305</v>
      </c>
      <c r="L31" s="515"/>
    </row>
    <row r="32" spans="2:12" x14ac:dyDescent="0.25">
      <c r="B32" s="143"/>
      <c r="C32" s="413"/>
      <c r="D32" s="90" t="s">
        <v>164</v>
      </c>
      <c r="E32" s="44"/>
      <c r="F32" s="49"/>
      <c r="G32" s="49"/>
      <c r="H32" s="49"/>
      <c r="I32" s="925">
        <f>'6A'!K33</f>
        <v>0</v>
      </c>
      <c r="J32" s="926"/>
      <c r="K32" s="932"/>
      <c r="L32" s="515"/>
    </row>
    <row r="33" spans="2:12" x14ac:dyDescent="0.25">
      <c r="B33" s="143"/>
      <c r="C33" s="413"/>
      <c r="D33" s="90" t="s">
        <v>165</v>
      </c>
      <c r="E33" s="44"/>
      <c r="F33" s="49"/>
      <c r="G33" s="49"/>
      <c r="H33" s="49"/>
      <c r="I33" s="925">
        <f>'6A'!K34</f>
        <v>568211</v>
      </c>
      <c r="J33" s="926"/>
      <c r="K33" s="932">
        <v>568211</v>
      </c>
      <c r="L33" s="515"/>
    </row>
    <row r="34" spans="2:12" x14ac:dyDescent="0.25">
      <c r="B34" s="143"/>
      <c r="C34" s="413"/>
      <c r="D34" s="90" t="s">
        <v>166</v>
      </c>
      <c r="E34" s="44"/>
      <c r="F34" s="49"/>
      <c r="G34" s="49"/>
      <c r="H34" s="49"/>
      <c r="I34" s="925">
        <f>'6A'!K35</f>
        <v>0</v>
      </c>
      <c r="J34" s="926"/>
      <c r="K34" s="932"/>
      <c r="L34" s="515"/>
    </row>
    <row r="35" spans="2:12" x14ac:dyDescent="0.25">
      <c r="B35" s="143"/>
      <c r="C35" s="413"/>
      <c r="D35" s="90" t="s">
        <v>167</v>
      </c>
      <c r="E35" s="44"/>
      <c r="F35" s="50"/>
      <c r="G35" s="50"/>
      <c r="H35" s="50"/>
      <c r="I35" s="925">
        <f>'6A'!K36</f>
        <v>1312495</v>
      </c>
      <c r="J35" s="926"/>
      <c r="K35" s="932">
        <v>1312495</v>
      </c>
      <c r="L35" s="515"/>
    </row>
    <row r="36" spans="2:12" x14ac:dyDescent="0.25">
      <c r="B36" s="143"/>
      <c r="C36" s="413"/>
      <c r="D36" s="90" t="s">
        <v>168</v>
      </c>
      <c r="E36" s="44"/>
      <c r="F36" s="50"/>
      <c r="G36" s="50"/>
      <c r="H36" s="50"/>
      <c r="I36" s="925">
        <f>'6A'!K37</f>
        <v>0</v>
      </c>
      <c r="J36" s="926"/>
      <c r="K36" s="932"/>
      <c r="L36" s="515"/>
    </row>
    <row r="37" spans="2:12" x14ac:dyDescent="0.25">
      <c r="B37" s="143"/>
      <c r="C37" s="413"/>
      <c r="D37" s="90" t="s">
        <v>169</v>
      </c>
      <c r="E37" s="44"/>
      <c r="F37" s="51"/>
      <c r="G37" s="51"/>
      <c r="H37" s="51"/>
      <c r="I37" s="941">
        <f>'6A'!K38</f>
        <v>0</v>
      </c>
      <c r="J37" s="926"/>
      <c r="K37" s="932"/>
      <c r="L37" s="515"/>
    </row>
    <row r="38" spans="2:12" x14ac:dyDescent="0.25">
      <c r="B38" s="143"/>
      <c r="C38" s="413"/>
      <c r="D38" s="90" t="s">
        <v>170</v>
      </c>
      <c r="E38" s="44"/>
      <c r="F38" s="51"/>
      <c r="G38" s="51"/>
      <c r="H38" s="51"/>
      <c r="I38" s="941">
        <f>'6A'!K39</f>
        <v>884528</v>
      </c>
      <c r="J38" s="933"/>
      <c r="K38" s="934">
        <v>884528</v>
      </c>
      <c r="L38" s="515"/>
    </row>
    <row r="39" spans="2:12" x14ac:dyDescent="0.25">
      <c r="B39" s="143"/>
      <c r="C39" s="413"/>
      <c r="D39" s="90" t="s">
        <v>171</v>
      </c>
      <c r="E39" s="44"/>
      <c r="F39" s="52"/>
      <c r="G39" s="52"/>
      <c r="H39" s="52"/>
      <c r="I39" s="941">
        <f>'6A'!K40</f>
        <v>319158</v>
      </c>
      <c r="J39" s="128"/>
      <c r="K39" s="104"/>
      <c r="L39" s="515"/>
    </row>
    <row r="40" spans="2:12" x14ac:dyDescent="0.25">
      <c r="B40" s="143"/>
      <c r="C40" s="413"/>
      <c r="D40" s="90" t="s">
        <v>240</v>
      </c>
      <c r="E40" s="44"/>
      <c r="F40" s="52"/>
      <c r="G40" s="52"/>
      <c r="H40" s="52"/>
      <c r="I40" s="941">
        <f>'6A'!K41</f>
        <v>0</v>
      </c>
      <c r="J40" s="924"/>
      <c r="K40" s="935"/>
      <c r="L40" s="515"/>
    </row>
    <row r="41" spans="2:12" x14ac:dyDescent="0.25">
      <c r="B41" s="143"/>
      <c r="C41" s="413"/>
      <c r="D41" s="90" t="s">
        <v>241</v>
      </c>
      <c r="E41" s="44"/>
      <c r="F41" s="52"/>
      <c r="G41" s="52"/>
      <c r="H41" s="52"/>
      <c r="I41" s="941">
        <f>'6A'!K42</f>
        <v>0</v>
      </c>
      <c r="J41" s="926"/>
      <c r="K41" s="932"/>
      <c r="L41" s="515"/>
    </row>
    <row r="42" spans="2:12" x14ac:dyDescent="0.25">
      <c r="B42" s="143"/>
      <c r="C42" s="413"/>
      <c r="D42" s="90" t="s">
        <v>174</v>
      </c>
      <c r="E42" s="52"/>
      <c r="F42" s="53"/>
      <c r="G42" s="53"/>
      <c r="H42" s="53"/>
      <c r="I42" s="941">
        <f>'6A'!K43</f>
        <v>1325620</v>
      </c>
      <c r="J42" s="926"/>
      <c r="K42" s="932">
        <v>1325620</v>
      </c>
      <c r="L42" s="515"/>
    </row>
    <row r="43" spans="2:12" x14ac:dyDescent="0.25">
      <c r="B43" s="143"/>
      <c r="C43" s="413"/>
      <c r="D43" s="90" t="s">
        <v>175</v>
      </c>
      <c r="E43" s="44"/>
      <c r="F43" s="51"/>
      <c r="G43" s="51"/>
      <c r="H43" s="51"/>
      <c r="I43" s="925">
        <f>'6A'!K44</f>
        <v>0</v>
      </c>
      <c r="J43" s="926"/>
      <c r="K43" s="932"/>
      <c r="L43" s="515"/>
    </row>
    <row r="44" spans="2:12" x14ac:dyDescent="0.25">
      <c r="B44" s="143"/>
      <c r="C44" s="413"/>
      <c r="D44" s="90" t="s">
        <v>176</v>
      </c>
      <c r="E44" s="44"/>
      <c r="F44" s="52"/>
      <c r="G44" s="52"/>
      <c r="H44" s="52"/>
      <c r="I44" s="925">
        <f>'6A'!K45</f>
        <v>200000</v>
      </c>
      <c r="J44" s="926"/>
      <c r="K44" s="932">
        <v>200000</v>
      </c>
      <c r="L44" s="515"/>
    </row>
    <row r="45" spans="2:12" x14ac:dyDescent="0.25">
      <c r="B45" s="143"/>
      <c r="C45" s="413"/>
      <c r="D45" s="50" t="s">
        <v>427</v>
      </c>
      <c r="E45" s="2326">
        <f>(IF(AND(I45&lt;&gt;0,'6A'!E46=""),"Enter Item on Form 6A",'6A'!E46))</f>
        <v>0</v>
      </c>
      <c r="F45" s="2327"/>
      <c r="G45" s="2328"/>
      <c r="H45" s="516"/>
      <c r="I45" s="927">
        <f>'6A'!K46</f>
        <v>0</v>
      </c>
      <c r="J45" s="936"/>
      <c r="K45" s="937"/>
      <c r="L45" s="515"/>
    </row>
    <row r="46" spans="2:12" ht="15.75" thickBot="1" x14ac:dyDescent="0.3">
      <c r="B46" s="143"/>
      <c r="C46" s="45"/>
      <c r="D46" s="44"/>
      <c r="E46" s="44"/>
      <c r="F46" s="413"/>
      <c r="G46" s="48" t="s">
        <v>160</v>
      </c>
      <c r="H46" s="89"/>
      <c r="I46" s="113">
        <f>SUM(I30:I45)</f>
        <v>16619317</v>
      </c>
      <c r="J46" s="93">
        <f>(SUM(J30:J38))+(SUM(J40:J45))</f>
        <v>0</v>
      </c>
      <c r="K46" s="97">
        <f>(SUM(K30:K38))+(SUM(K40:K45))</f>
        <v>16300159</v>
      </c>
      <c r="L46" s="515"/>
    </row>
    <row r="47" spans="2:12" ht="3.75" customHeight="1" x14ac:dyDescent="0.25">
      <c r="B47" s="143"/>
      <c r="C47" s="47"/>
      <c r="D47" s="48"/>
      <c r="E47" s="48"/>
      <c r="F47" s="44"/>
      <c r="G47" s="44"/>
      <c r="H47" s="44"/>
      <c r="I47" s="73"/>
      <c r="J47" s="73"/>
      <c r="K47" s="73"/>
      <c r="L47" s="515"/>
    </row>
    <row r="48" spans="2:12" ht="15.75" thickBot="1" x14ac:dyDescent="0.3">
      <c r="B48" s="143"/>
      <c r="C48" s="81" t="s">
        <v>177</v>
      </c>
      <c r="D48" s="81"/>
      <c r="E48" s="81"/>
      <c r="F48" s="81"/>
      <c r="G48" s="81"/>
      <c r="H48" s="81"/>
      <c r="I48" s="73"/>
      <c r="J48" s="75"/>
      <c r="K48" s="75"/>
      <c r="L48" s="515"/>
    </row>
    <row r="49" spans="2:12" x14ac:dyDescent="0.25">
      <c r="B49" s="143"/>
      <c r="C49" s="413"/>
      <c r="D49" s="90" t="s">
        <v>178</v>
      </c>
      <c r="E49" s="44"/>
      <c r="F49" s="46"/>
      <c r="G49" s="46"/>
      <c r="H49" s="46"/>
      <c r="I49" s="943">
        <f>'6A'!K50</f>
        <v>0</v>
      </c>
      <c r="J49" s="105"/>
      <c r="K49" s="106"/>
      <c r="L49" s="515"/>
    </row>
    <row r="50" spans="2:12" x14ac:dyDescent="0.25">
      <c r="B50" s="143"/>
      <c r="C50" s="413"/>
      <c r="D50" s="90" t="s">
        <v>179</v>
      </c>
      <c r="E50" s="44"/>
      <c r="F50" s="46"/>
      <c r="G50" s="46"/>
      <c r="H50" s="46"/>
      <c r="I50" s="941">
        <f>'6A'!K51</f>
        <v>7500</v>
      </c>
      <c r="J50" s="924"/>
      <c r="K50" s="935"/>
      <c r="L50" s="515"/>
    </row>
    <row r="51" spans="2:12" x14ac:dyDescent="0.25">
      <c r="B51" s="143"/>
      <c r="C51" s="413"/>
      <c r="D51" s="90" t="s">
        <v>180</v>
      </c>
      <c r="E51" s="44"/>
      <c r="F51" s="46"/>
      <c r="G51" s="46"/>
      <c r="H51" s="46"/>
      <c r="I51" s="925">
        <f>'6A'!K52</f>
        <v>1130621</v>
      </c>
      <c r="J51" s="926"/>
      <c r="K51" s="932">
        <v>1130621</v>
      </c>
      <c r="L51" s="515"/>
    </row>
    <row r="52" spans="2:12" x14ac:dyDescent="0.25">
      <c r="B52" s="143"/>
      <c r="C52" s="413"/>
      <c r="D52" s="90" t="s">
        <v>181</v>
      </c>
      <c r="E52" s="44"/>
      <c r="F52" s="46"/>
      <c r="G52" s="46"/>
      <c r="H52" s="46"/>
      <c r="I52" s="925">
        <f>'6A'!K53</f>
        <v>0</v>
      </c>
      <c r="J52" s="926"/>
      <c r="K52" s="932"/>
      <c r="L52" s="515"/>
    </row>
    <row r="53" spans="2:12" x14ac:dyDescent="0.25">
      <c r="B53" s="143"/>
      <c r="C53" s="413"/>
      <c r="D53" s="83" t="s">
        <v>182</v>
      </c>
      <c r="E53" s="54"/>
      <c r="F53" s="46"/>
      <c r="G53" s="46"/>
      <c r="H53" s="46"/>
      <c r="I53" s="925">
        <f>'6A'!K54</f>
        <v>13054</v>
      </c>
      <c r="J53" s="926"/>
      <c r="K53" s="932"/>
      <c r="L53" s="515"/>
    </row>
    <row r="54" spans="2:12" x14ac:dyDescent="0.25">
      <c r="B54" s="143"/>
      <c r="C54" s="413"/>
      <c r="D54" s="90" t="s">
        <v>183</v>
      </c>
      <c r="E54" s="55"/>
      <c r="F54" s="46"/>
      <c r="G54" s="46"/>
      <c r="H54" s="46"/>
      <c r="I54" s="925">
        <f>'6A'!K55</f>
        <v>21757</v>
      </c>
      <c r="J54" s="926"/>
      <c r="K54" s="932">
        <v>21757</v>
      </c>
      <c r="L54" s="515"/>
    </row>
    <row r="55" spans="2:12" x14ac:dyDescent="0.25">
      <c r="B55" s="143"/>
      <c r="C55" s="413"/>
      <c r="D55" s="90" t="s">
        <v>184</v>
      </c>
      <c r="E55" s="56"/>
      <c r="F55" s="46"/>
      <c r="G55" s="46"/>
      <c r="H55" s="46"/>
      <c r="I55" s="925">
        <f>'6A'!K56</f>
        <v>21757</v>
      </c>
      <c r="J55" s="926"/>
      <c r="K55" s="932">
        <v>21757</v>
      </c>
      <c r="L55" s="515"/>
    </row>
    <row r="56" spans="2:12" x14ac:dyDescent="0.25">
      <c r="B56" s="143"/>
      <c r="C56" s="413"/>
      <c r="D56" s="90" t="s">
        <v>185</v>
      </c>
      <c r="E56" s="44"/>
      <c r="F56" s="50"/>
      <c r="G56" s="50"/>
      <c r="H56" s="50"/>
      <c r="I56" s="925">
        <f>'6A'!K57</f>
        <v>0</v>
      </c>
      <c r="J56" s="926"/>
      <c r="K56" s="932"/>
      <c r="L56" s="515"/>
    </row>
    <row r="57" spans="2:12" x14ac:dyDescent="0.25">
      <c r="B57" s="143"/>
      <c r="C57" s="413"/>
      <c r="D57" s="83" t="s">
        <v>186</v>
      </c>
      <c r="E57" s="44"/>
      <c r="F57" s="46"/>
      <c r="G57" s="46"/>
      <c r="H57" s="46"/>
      <c r="I57" s="925">
        <f>'6A'!K58</f>
        <v>1038486</v>
      </c>
      <c r="J57" s="926"/>
      <c r="K57" s="932">
        <v>726940</v>
      </c>
      <c r="L57" s="515"/>
    </row>
    <row r="58" spans="2:12" x14ac:dyDescent="0.25">
      <c r="B58" s="143"/>
      <c r="C58" s="413"/>
      <c r="D58" s="83" t="s">
        <v>242</v>
      </c>
      <c r="E58" s="44"/>
      <c r="F58" s="46"/>
      <c r="G58" s="46"/>
      <c r="H58" s="46"/>
      <c r="I58" s="925">
        <f>'6A'!K59</f>
        <v>1058486</v>
      </c>
      <c r="J58" s="926"/>
      <c r="K58" s="932">
        <v>691440</v>
      </c>
      <c r="L58" s="515"/>
    </row>
    <row r="59" spans="2:12" x14ac:dyDescent="0.25">
      <c r="B59" s="143"/>
      <c r="C59" s="413"/>
      <c r="D59" s="83" t="s">
        <v>188</v>
      </c>
      <c r="E59" s="50"/>
      <c r="F59" s="413"/>
      <c r="G59" s="517"/>
      <c r="H59" s="517"/>
      <c r="I59" s="925">
        <f>'6A'!K60</f>
        <v>47865</v>
      </c>
      <c r="J59" s="926"/>
      <c r="K59" s="938">
        <v>47865</v>
      </c>
      <c r="L59" s="515"/>
    </row>
    <row r="60" spans="2:12" x14ac:dyDescent="0.25">
      <c r="B60" s="143"/>
      <c r="C60" s="413"/>
      <c r="D60" s="83" t="s">
        <v>189</v>
      </c>
      <c r="E60" s="50"/>
      <c r="F60" s="413"/>
      <c r="G60" s="517"/>
      <c r="H60" s="517"/>
      <c r="I60" s="925">
        <f>'6A'!K61</f>
        <v>0</v>
      </c>
      <c r="J60" s="926"/>
      <c r="K60" s="938"/>
      <c r="L60" s="515"/>
    </row>
    <row r="61" spans="2:12" x14ac:dyDescent="0.25">
      <c r="B61" s="143"/>
      <c r="C61" s="413"/>
      <c r="D61" s="50" t="s">
        <v>427</v>
      </c>
      <c r="E61" s="2326">
        <f>(IF(AND(I61&lt;&gt;0,'6A'!E62=""),"Enter Item on Form 6A",'6A'!E62))</f>
        <v>0</v>
      </c>
      <c r="F61" s="2327"/>
      <c r="G61" s="2328"/>
      <c r="H61" s="516"/>
      <c r="I61" s="927">
        <f>'6A'!K62</f>
        <v>0</v>
      </c>
      <c r="J61" s="936"/>
      <c r="K61" s="939"/>
      <c r="L61" s="515"/>
    </row>
    <row r="62" spans="2:12" ht="15.75" thickBot="1" x14ac:dyDescent="0.3">
      <c r="B62" s="143"/>
      <c r="C62" s="45"/>
      <c r="D62" s="44"/>
      <c r="E62" s="44"/>
      <c r="F62" s="413"/>
      <c r="G62" s="48" t="s">
        <v>160</v>
      </c>
      <c r="H62" s="89"/>
      <c r="I62" s="113">
        <f>SUM(I49:I61)</f>
        <v>3339526</v>
      </c>
      <c r="J62" s="93">
        <f>SUM(J50:J61)</f>
        <v>0</v>
      </c>
      <c r="K62" s="97">
        <f>SUM(K50:K61)</f>
        <v>2640380</v>
      </c>
      <c r="L62" s="515"/>
    </row>
    <row r="63" spans="2:12" ht="9" customHeight="1" thickBot="1" x14ac:dyDescent="0.3">
      <c r="B63" s="518"/>
      <c r="C63" s="123"/>
      <c r="D63" s="123"/>
      <c r="E63" s="123"/>
      <c r="F63" s="124"/>
      <c r="G63" s="124"/>
      <c r="H63" s="124"/>
      <c r="I63" s="125"/>
      <c r="J63" s="126"/>
      <c r="K63" s="126"/>
      <c r="L63" s="519"/>
    </row>
    <row r="64" spans="2:12" ht="15.75" thickBot="1" x14ac:dyDescent="0.3">
      <c r="B64" s="143"/>
      <c r="C64" s="119" t="s">
        <v>190</v>
      </c>
      <c r="D64" s="120"/>
      <c r="E64" s="120"/>
      <c r="F64" s="121"/>
      <c r="G64" s="121"/>
      <c r="H64" s="121"/>
      <c r="I64" s="122"/>
      <c r="J64" s="73"/>
      <c r="K64" s="73"/>
      <c r="L64" s="515"/>
    </row>
    <row r="65" spans="2:12" x14ac:dyDescent="0.25">
      <c r="B65" s="143"/>
      <c r="C65" s="413"/>
      <c r="D65" s="1700" t="s">
        <v>191</v>
      </c>
      <c r="E65" s="48"/>
      <c r="F65" s="44"/>
      <c r="G65" s="44"/>
      <c r="H65" s="44"/>
      <c r="I65" s="943">
        <f>'6A'!K66</f>
        <v>0</v>
      </c>
      <c r="J65" s="107"/>
      <c r="K65" s="108"/>
      <c r="L65" s="515"/>
    </row>
    <row r="66" spans="2:12" x14ac:dyDescent="0.25">
      <c r="B66" s="143"/>
      <c r="C66" s="413"/>
      <c r="D66" s="1700" t="s">
        <v>192</v>
      </c>
      <c r="E66" s="48"/>
      <c r="F66" s="44"/>
      <c r="G66" s="44"/>
      <c r="H66" s="44"/>
      <c r="I66" s="942">
        <f>'6A'!K67</f>
        <v>0</v>
      </c>
      <c r="J66" s="115"/>
      <c r="K66" s="116"/>
      <c r="L66" s="515"/>
    </row>
    <row r="67" spans="2:12" ht="15.75" thickBot="1" x14ac:dyDescent="0.3">
      <c r="B67" s="143"/>
      <c r="C67" s="413"/>
      <c r="D67" s="48"/>
      <c r="E67" s="413"/>
      <c r="F67" s="44"/>
      <c r="G67" s="48" t="s">
        <v>160</v>
      </c>
      <c r="H67" s="44"/>
      <c r="I67" s="113">
        <f>SUM(I65:I66)</f>
        <v>0</v>
      </c>
      <c r="J67" s="93">
        <v>0</v>
      </c>
      <c r="K67" s="97">
        <v>0</v>
      </c>
      <c r="L67" s="515"/>
    </row>
    <row r="68" spans="2:12" ht="3.75" customHeight="1" x14ac:dyDescent="0.25">
      <c r="B68" s="143"/>
      <c r="C68" s="413"/>
      <c r="D68" s="48"/>
      <c r="E68" s="413"/>
      <c r="F68" s="44"/>
      <c r="G68" s="44"/>
      <c r="H68" s="44"/>
      <c r="I68" s="73"/>
      <c r="J68" s="73"/>
      <c r="K68" s="73"/>
      <c r="L68" s="515"/>
    </row>
    <row r="69" spans="2:12" ht="15.75" thickBot="1" x14ac:dyDescent="0.3">
      <c r="B69" s="143"/>
      <c r="C69" s="78" t="s">
        <v>193</v>
      </c>
      <c r="D69" s="79"/>
      <c r="E69" s="79"/>
      <c r="F69" s="80"/>
      <c r="G69" s="80"/>
      <c r="H69" s="80"/>
      <c r="I69" s="73"/>
      <c r="J69" s="73"/>
      <c r="K69" s="73"/>
      <c r="L69" s="515"/>
    </row>
    <row r="70" spans="2:12" x14ac:dyDescent="0.25">
      <c r="B70" s="143"/>
      <c r="C70" s="413"/>
      <c r="D70" s="90" t="s">
        <v>194</v>
      </c>
      <c r="E70" s="48"/>
      <c r="F70" s="44"/>
      <c r="G70" s="44"/>
      <c r="H70" s="44"/>
      <c r="I70" s="929">
        <f>'6A'!K71</f>
        <v>137868</v>
      </c>
      <c r="J70" s="930"/>
      <c r="K70" s="940">
        <v>137868</v>
      </c>
      <c r="L70" s="515"/>
    </row>
    <row r="71" spans="2:12" x14ac:dyDescent="0.25">
      <c r="B71" s="143"/>
      <c r="C71" s="413"/>
      <c r="D71" s="90" t="s">
        <v>195</v>
      </c>
      <c r="E71" s="48"/>
      <c r="F71" s="44"/>
      <c r="G71" s="44"/>
      <c r="H71" s="44"/>
      <c r="I71" s="925">
        <f>'6A'!K72</f>
        <v>21757</v>
      </c>
      <c r="J71" s="926"/>
      <c r="K71" s="932">
        <v>21757</v>
      </c>
      <c r="L71" s="515"/>
    </row>
    <row r="72" spans="2:12" x14ac:dyDescent="0.25">
      <c r="B72" s="143"/>
      <c r="C72" s="413"/>
      <c r="D72" s="90" t="s">
        <v>196</v>
      </c>
      <c r="E72" s="48"/>
      <c r="F72" s="44"/>
      <c r="G72" s="44"/>
      <c r="H72" s="44"/>
      <c r="I72" s="925">
        <f>'6A'!K73</f>
        <v>21757</v>
      </c>
      <c r="J72" s="926"/>
      <c r="K72" s="932">
        <v>21757</v>
      </c>
      <c r="L72" s="515"/>
    </row>
    <row r="73" spans="2:12" x14ac:dyDescent="0.25">
      <c r="B73" s="143"/>
      <c r="C73" s="413"/>
      <c r="D73" s="90" t="s">
        <v>197</v>
      </c>
      <c r="E73" s="48"/>
      <c r="F73" s="44"/>
      <c r="G73" s="44"/>
      <c r="H73" s="44"/>
      <c r="I73" s="941">
        <f>'6A'!K74</f>
        <v>254325</v>
      </c>
      <c r="J73" s="933"/>
      <c r="K73" s="934">
        <v>254325</v>
      </c>
      <c r="L73" s="515"/>
    </row>
    <row r="74" spans="2:12" x14ac:dyDescent="0.25">
      <c r="B74" s="143"/>
      <c r="C74" s="413"/>
      <c r="D74" s="90" t="s">
        <v>198</v>
      </c>
      <c r="E74" s="48"/>
      <c r="F74" s="44"/>
      <c r="G74" s="44"/>
      <c r="H74" s="44"/>
      <c r="I74" s="942">
        <f>'6A'!K75</f>
        <v>168630</v>
      </c>
      <c r="J74" s="117"/>
      <c r="K74" s="118"/>
      <c r="L74" s="515"/>
    </row>
    <row r="75" spans="2:12" ht="15.75" thickBot="1" x14ac:dyDescent="0.3">
      <c r="B75" s="143"/>
      <c r="C75" s="45"/>
      <c r="D75" s="44"/>
      <c r="E75" s="44"/>
      <c r="F75" s="413"/>
      <c r="G75" s="48" t="s">
        <v>160</v>
      </c>
      <c r="H75" s="89"/>
      <c r="I75" s="113">
        <f>SUM(I70:I74)</f>
        <v>604337</v>
      </c>
      <c r="J75" s="93">
        <f>SUM(J70:J73)</f>
        <v>0</v>
      </c>
      <c r="K75" s="97">
        <f>SUM(K70:K73)</f>
        <v>435707</v>
      </c>
      <c r="L75" s="515"/>
    </row>
    <row r="76" spans="2:12" ht="3.75" customHeight="1" x14ac:dyDescent="0.25">
      <c r="B76" s="143"/>
      <c r="C76" s="47"/>
      <c r="D76" s="48"/>
      <c r="E76" s="48"/>
      <c r="F76" s="44"/>
      <c r="G76" s="44"/>
      <c r="H76" s="44"/>
      <c r="I76" s="73"/>
      <c r="J76" s="73"/>
      <c r="K76" s="73"/>
      <c r="L76" s="515"/>
    </row>
    <row r="77" spans="2:12" ht="15.75" thickBot="1" x14ac:dyDescent="0.3">
      <c r="B77" s="143"/>
      <c r="C77" s="78" t="s">
        <v>199</v>
      </c>
      <c r="D77" s="79"/>
      <c r="E77" s="79"/>
      <c r="F77" s="80"/>
      <c r="G77" s="80"/>
      <c r="H77" s="80"/>
      <c r="I77" s="73"/>
      <c r="J77" s="73"/>
      <c r="K77" s="73"/>
      <c r="L77" s="515"/>
    </row>
    <row r="78" spans="2:12" x14ac:dyDescent="0.25">
      <c r="B78" s="143"/>
      <c r="C78" s="413"/>
      <c r="D78" s="90" t="s">
        <v>200</v>
      </c>
      <c r="E78" s="48"/>
      <c r="F78" s="44"/>
      <c r="G78" s="44"/>
      <c r="H78" s="44"/>
      <c r="I78" s="943">
        <f>'6A'!K79</f>
        <v>0</v>
      </c>
      <c r="J78" s="107"/>
      <c r="K78" s="108"/>
      <c r="L78" s="515"/>
    </row>
    <row r="79" spans="2:12" x14ac:dyDescent="0.25">
      <c r="B79" s="143"/>
      <c r="C79" s="413"/>
      <c r="D79" s="90" t="s">
        <v>201</v>
      </c>
      <c r="E79" s="48"/>
      <c r="F79" s="44"/>
      <c r="G79" s="44"/>
      <c r="H79" s="44"/>
      <c r="I79" s="941">
        <f>'6A'!K80</f>
        <v>10000</v>
      </c>
      <c r="J79" s="109"/>
      <c r="K79" s="110"/>
      <c r="L79" s="515"/>
    </row>
    <row r="80" spans="2:12" x14ac:dyDescent="0.25">
      <c r="B80" s="143"/>
      <c r="C80" s="413"/>
      <c r="D80" s="90" t="s">
        <v>202</v>
      </c>
      <c r="E80" s="48"/>
      <c r="F80" s="44"/>
      <c r="G80" s="44"/>
      <c r="H80" s="44"/>
      <c r="I80" s="941">
        <f>'6A'!K81</f>
        <v>10000</v>
      </c>
      <c r="J80" s="109"/>
      <c r="K80" s="110"/>
      <c r="L80" s="515"/>
    </row>
    <row r="81" spans="2:12" x14ac:dyDescent="0.25">
      <c r="B81" s="143"/>
      <c r="C81" s="413"/>
      <c r="D81" s="82" t="s">
        <v>203</v>
      </c>
      <c r="E81" s="44"/>
      <c r="F81" s="44"/>
      <c r="G81" s="44"/>
      <c r="H81" s="44"/>
      <c r="I81" s="941">
        <f>'6A'!K82</f>
        <v>70877</v>
      </c>
      <c r="J81" s="109"/>
      <c r="K81" s="110"/>
      <c r="L81" s="515"/>
    </row>
    <row r="82" spans="2:12" x14ac:dyDescent="0.25">
      <c r="B82" s="143"/>
      <c r="C82" s="413"/>
      <c r="D82" s="1701" t="s">
        <v>204</v>
      </c>
      <c r="E82" s="44"/>
      <c r="F82" s="44"/>
      <c r="G82" s="44"/>
      <c r="H82" s="44"/>
      <c r="I82" s="941">
        <f>'6A'!K83</f>
        <v>85000</v>
      </c>
      <c r="J82" s="109"/>
      <c r="K82" s="110"/>
      <c r="L82" s="515"/>
    </row>
    <row r="83" spans="2:12" x14ac:dyDescent="0.25">
      <c r="B83" s="143"/>
      <c r="C83" s="413"/>
      <c r="D83" s="1701" t="s">
        <v>205</v>
      </c>
      <c r="E83" s="44"/>
      <c r="F83" s="44"/>
      <c r="G83" s="44"/>
      <c r="H83" s="44"/>
      <c r="I83" s="941">
        <f>'6A'!K84</f>
        <v>0</v>
      </c>
      <c r="J83" s="109"/>
      <c r="K83" s="110"/>
      <c r="L83" s="515"/>
    </row>
    <row r="84" spans="2:12" x14ac:dyDescent="0.25">
      <c r="B84" s="143"/>
      <c r="C84" s="413"/>
      <c r="D84" s="83" t="s">
        <v>206</v>
      </c>
      <c r="E84" s="48"/>
      <c r="F84" s="44"/>
      <c r="G84" s="44"/>
      <c r="H84" s="44"/>
      <c r="I84" s="941">
        <f>'6A'!K85</f>
        <v>40000</v>
      </c>
      <c r="J84" s="109"/>
      <c r="K84" s="110"/>
      <c r="L84" s="515"/>
    </row>
    <row r="85" spans="2:12" x14ac:dyDescent="0.25">
      <c r="B85" s="143"/>
      <c r="C85" s="413"/>
      <c r="D85" s="50" t="s">
        <v>427</v>
      </c>
      <c r="E85" s="2326" t="str">
        <f>(IF(AND(I85&lt;&gt;0,'6A'!E86=""),"Enter Item on Form 6A",'6A'!E86))</f>
        <v>Syndication consultant</v>
      </c>
      <c r="F85" s="2327"/>
      <c r="G85" s="2328"/>
      <c r="H85" s="516"/>
      <c r="I85" s="942">
        <f>'6A'!K86</f>
        <v>20000</v>
      </c>
      <c r="J85" s="115"/>
      <c r="K85" s="116"/>
      <c r="L85" s="515"/>
    </row>
    <row r="86" spans="2:12" ht="15.75" thickBot="1" x14ac:dyDescent="0.3">
      <c r="B86" s="143"/>
      <c r="C86" s="45"/>
      <c r="D86" s="44"/>
      <c r="E86" s="44"/>
      <c r="F86" s="413"/>
      <c r="G86" s="48" t="s">
        <v>160</v>
      </c>
      <c r="H86" s="89"/>
      <c r="I86" s="113">
        <f>SUM(I78:I85)</f>
        <v>235877</v>
      </c>
      <c r="J86" s="93">
        <v>0</v>
      </c>
      <c r="K86" s="97">
        <v>0</v>
      </c>
      <c r="L86" s="515"/>
    </row>
    <row r="87" spans="2:12" ht="3.75" customHeight="1" x14ac:dyDescent="0.25">
      <c r="B87" s="143"/>
      <c r="C87" s="47"/>
      <c r="D87" s="48"/>
      <c r="E87" s="48"/>
      <c r="F87" s="44"/>
      <c r="G87" s="44"/>
      <c r="H87" s="44"/>
      <c r="I87" s="73"/>
      <c r="J87" s="73"/>
      <c r="K87" s="73"/>
      <c r="L87" s="515"/>
    </row>
    <row r="88" spans="2:12" ht="15.75" thickBot="1" x14ac:dyDescent="0.3">
      <c r="B88" s="143"/>
      <c r="C88" s="78" t="s">
        <v>207</v>
      </c>
      <c r="D88" s="79"/>
      <c r="E88" s="79"/>
      <c r="F88" s="80"/>
      <c r="G88" s="80"/>
      <c r="H88" s="80"/>
      <c r="I88" s="76"/>
      <c r="J88" s="76"/>
      <c r="K88" s="85"/>
      <c r="L88" s="515"/>
    </row>
    <row r="89" spans="2:12" x14ac:dyDescent="0.25">
      <c r="B89" s="143"/>
      <c r="C89" s="413"/>
      <c r="D89" s="1702" t="s">
        <v>208</v>
      </c>
      <c r="E89" s="44"/>
      <c r="F89" s="51"/>
      <c r="G89" s="51"/>
      <c r="H89" s="51"/>
      <c r="I89" s="943">
        <f>'6A'!K90</f>
        <v>365787</v>
      </c>
      <c r="J89" s="107"/>
      <c r="K89" s="108"/>
      <c r="L89" s="515"/>
    </row>
    <row r="90" spans="2:12" x14ac:dyDescent="0.25">
      <c r="B90" s="143"/>
      <c r="C90" s="413"/>
      <c r="D90" s="1702" t="s">
        <v>209</v>
      </c>
      <c r="E90" s="44"/>
      <c r="F90" s="52"/>
      <c r="G90" s="52"/>
      <c r="H90" s="52"/>
      <c r="I90" s="941">
        <f>'6A'!K91</f>
        <v>26950</v>
      </c>
      <c r="J90" s="109"/>
      <c r="K90" s="110"/>
      <c r="L90" s="515"/>
    </row>
    <row r="91" spans="2:12" x14ac:dyDescent="0.25">
      <c r="B91" s="143"/>
      <c r="C91" s="413"/>
      <c r="D91" s="1703" t="s">
        <v>427</v>
      </c>
      <c r="E91" s="2326">
        <f>(IF(AND(I91&lt;&gt;0,'6A'!E92=""),"Enter Item on Form 6A",'6A'!E92))</f>
        <v>0</v>
      </c>
      <c r="F91" s="2327"/>
      <c r="G91" s="2328"/>
      <c r="H91" s="516"/>
      <c r="I91" s="942">
        <f>'6A'!K92</f>
        <v>0</v>
      </c>
      <c r="J91" s="115"/>
      <c r="K91" s="116"/>
      <c r="L91" s="515"/>
    </row>
    <row r="92" spans="2:12" ht="15.75" thickBot="1" x14ac:dyDescent="0.3">
      <c r="B92" s="143"/>
      <c r="C92" s="45"/>
      <c r="D92" s="44"/>
      <c r="E92" s="44"/>
      <c r="F92" s="413"/>
      <c r="G92" s="48" t="s">
        <v>160</v>
      </c>
      <c r="H92" s="89"/>
      <c r="I92" s="113">
        <f>SUM(I89:I91)</f>
        <v>392737</v>
      </c>
      <c r="J92" s="93">
        <v>0</v>
      </c>
      <c r="K92" s="97">
        <v>0</v>
      </c>
      <c r="L92" s="515"/>
    </row>
    <row r="93" spans="2:12" ht="3.75" customHeight="1" x14ac:dyDescent="0.25">
      <c r="B93" s="143"/>
      <c r="C93" s="47"/>
      <c r="D93" s="48"/>
      <c r="E93" s="48"/>
      <c r="F93" s="44"/>
      <c r="G93" s="44"/>
      <c r="H93" s="44"/>
      <c r="I93" s="73"/>
      <c r="J93" s="73"/>
      <c r="K93" s="73"/>
      <c r="L93" s="515"/>
    </row>
    <row r="94" spans="2:12" ht="15.75" thickBot="1" x14ac:dyDescent="0.3">
      <c r="B94" s="143"/>
      <c r="C94" s="78" t="s">
        <v>210</v>
      </c>
      <c r="D94" s="79"/>
      <c r="E94" s="79"/>
      <c r="F94" s="80"/>
      <c r="G94" s="80"/>
      <c r="H94" s="80"/>
      <c r="I94" s="86"/>
      <c r="J94" s="76"/>
      <c r="K94" s="85"/>
      <c r="L94" s="515"/>
    </row>
    <row r="95" spans="2:12" x14ac:dyDescent="0.25">
      <c r="B95" s="143"/>
      <c r="C95" s="413"/>
      <c r="D95" s="83" t="s">
        <v>211</v>
      </c>
      <c r="E95" s="44"/>
      <c r="F95" s="51"/>
      <c r="G95" s="51"/>
      <c r="H95" s="51"/>
      <c r="I95" s="929">
        <f>'6A'!K96</f>
        <v>0</v>
      </c>
      <c r="J95" s="930"/>
      <c r="K95" s="940"/>
      <c r="L95" s="515"/>
    </row>
    <row r="96" spans="2:12" x14ac:dyDescent="0.25">
      <c r="B96" s="143"/>
      <c r="C96" s="413"/>
      <c r="D96" s="83" t="s">
        <v>212</v>
      </c>
      <c r="E96" s="44"/>
      <c r="F96" s="52"/>
      <c r="G96" s="52"/>
      <c r="H96" s="52"/>
      <c r="I96" s="925">
        <f>'6A'!K97</f>
        <v>59609</v>
      </c>
      <c r="J96" s="926"/>
      <c r="K96" s="932">
        <v>59609</v>
      </c>
      <c r="L96" s="515"/>
    </row>
    <row r="97" spans="2:12" x14ac:dyDescent="0.25">
      <c r="B97" s="143"/>
      <c r="C97" s="413"/>
      <c r="D97" s="83" t="s">
        <v>109</v>
      </c>
      <c r="E97" s="44"/>
      <c r="F97" s="44"/>
      <c r="G97" s="44"/>
      <c r="H97" s="44"/>
      <c r="I97" s="925">
        <f>'6A'!K98</f>
        <v>291000</v>
      </c>
      <c r="J97" s="926"/>
      <c r="K97" s="932">
        <v>291000</v>
      </c>
      <c r="L97" s="515"/>
    </row>
    <row r="98" spans="2:12" x14ac:dyDescent="0.25">
      <c r="B98" s="143"/>
      <c r="C98" s="413"/>
      <c r="D98" s="83" t="s">
        <v>213</v>
      </c>
      <c r="E98" s="44"/>
      <c r="F98" s="44"/>
      <c r="G98" s="44"/>
      <c r="H98" s="44"/>
      <c r="I98" s="925">
        <f>'6A'!K99</f>
        <v>0</v>
      </c>
      <c r="J98" s="926"/>
      <c r="K98" s="932"/>
      <c r="L98" s="515"/>
    </row>
    <row r="99" spans="2:12" x14ac:dyDescent="0.25">
      <c r="B99" s="143"/>
      <c r="C99" s="413"/>
      <c r="D99" s="83" t="s">
        <v>214</v>
      </c>
      <c r="E99" s="44"/>
      <c r="F99" s="44"/>
      <c r="G99" s="44"/>
      <c r="H99" s="44"/>
      <c r="I99" s="925">
        <f>'6A'!K100</f>
        <v>459373</v>
      </c>
      <c r="J99" s="926"/>
      <c r="K99" s="932">
        <v>459373</v>
      </c>
      <c r="L99" s="515"/>
    </row>
    <row r="100" spans="2:12" x14ac:dyDescent="0.25">
      <c r="B100" s="143"/>
      <c r="C100" s="413"/>
      <c r="D100" s="82" t="s">
        <v>215</v>
      </c>
      <c r="E100" s="44"/>
      <c r="F100" s="44"/>
      <c r="G100" s="44"/>
      <c r="H100" s="44"/>
      <c r="I100" s="925">
        <f>'6A'!K101</f>
        <v>308000</v>
      </c>
      <c r="J100" s="926"/>
      <c r="K100" s="932">
        <v>308000</v>
      </c>
      <c r="L100" s="515"/>
    </row>
    <row r="101" spans="2:12" x14ac:dyDescent="0.25">
      <c r="B101" s="143"/>
      <c r="C101" s="413"/>
      <c r="D101" s="82" t="s">
        <v>216</v>
      </c>
      <c r="E101" s="44"/>
      <c r="F101" s="44"/>
      <c r="G101" s="44"/>
      <c r="H101" s="44"/>
      <c r="I101" s="941">
        <f>'6A'!K102</f>
        <v>0</v>
      </c>
      <c r="J101" s="933"/>
      <c r="K101" s="934"/>
      <c r="L101" s="515"/>
    </row>
    <row r="102" spans="2:12" x14ac:dyDescent="0.25">
      <c r="B102" s="143"/>
      <c r="C102" s="413"/>
      <c r="D102" s="1701" t="s">
        <v>217</v>
      </c>
      <c r="E102" s="44"/>
      <c r="F102" s="44"/>
      <c r="G102" s="44"/>
      <c r="H102" s="44"/>
      <c r="I102" s="941">
        <f>'6A'!K103</f>
        <v>0</v>
      </c>
      <c r="J102" s="128"/>
      <c r="K102" s="104"/>
      <c r="L102" s="515"/>
    </row>
    <row r="103" spans="2:12" x14ac:dyDescent="0.25">
      <c r="B103" s="143"/>
      <c r="C103" s="413"/>
      <c r="D103" s="83" t="s">
        <v>218</v>
      </c>
      <c r="E103" s="44"/>
      <c r="F103" s="44"/>
      <c r="G103" s="44"/>
      <c r="H103" s="44"/>
      <c r="I103" s="941">
        <f>'6A'!K104</f>
        <v>20000</v>
      </c>
      <c r="J103" s="88"/>
      <c r="K103" s="96"/>
      <c r="L103" s="515"/>
    </row>
    <row r="104" spans="2:12" x14ac:dyDescent="0.25">
      <c r="B104" s="143"/>
      <c r="C104" s="413"/>
      <c r="D104" s="82" t="s">
        <v>219</v>
      </c>
      <c r="E104" s="44"/>
      <c r="F104" s="44"/>
      <c r="G104" s="44"/>
      <c r="H104" s="44"/>
      <c r="I104" s="941">
        <f>'6A'!K105</f>
        <v>75000</v>
      </c>
      <c r="J104" s="111"/>
      <c r="K104" s="112"/>
      <c r="L104" s="515"/>
    </row>
    <row r="105" spans="2:12" x14ac:dyDescent="0.25">
      <c r="B105" s="143"/>
      <c r="C105" s="413"/>
      <c r="D105" s="1702" t="s">
        <v>220</v>
      </c>
      <c r="E105" s="59"/>
      <c r="F105" s="52"/>
      <c r="G105" s="52"/>
      <c r="H105" s="52"/>
      <c r="I105" s="942">
        <f>'6A'!K106</f>
        <v>0</v>
      </c>
      <c r="J105" s="115"/>
      <c r="K105" s="116"/>
      <c r="L105" s="515"/>
    </row>
    <row r="106" spans="2:12" ht="15.75" thickBot="1" x14ac:dyDescent="0.3">
      <c r="B106" s="143"/>
      <c r="C106" s="45"/>
      <c r="D106" s="44"/>
      <c r="E106" s="44"/>
      <c r="F106" s="413"/>
      <c r="G106" s="48" t="s">
        <v>160</v>
      </c>
      <c r="H106" s="89"/>
      <c r="I106" s="113">
        <f>SUM(I95:I105)</f>
        <v>1212982</v>
      </c>
      <c r="J106" s="93">
        <f>SUM(J95:J101)+J103</f>
        <v>0</v>
      </c>
      <c r="K106" s="97">
        <f>SUM(K95:K101)+K103</f>
        <v>1117982</v>
      </c>
      <c r="L106" s="515"/>
    </row>
    <row r="107" spans="2:12" ht="9" customHeight="1" thickBot="1" x14ac:dyDescent="0.3">
      <c r="B107" s="518"/>
      <c r="C107" s="127"/>
      <c r="D107" s="58"/>
      <c r="E107" s="58"/>
      <c r="F107" s="57"/>
      <c r="G107" s="57"/>
      <c r="H107" s="57"/>
      <c r="I107" s="87"/>
      <c r="J107" s="87"/>
      <c r="K107" s="87"/>
      <c r="L107" s="519"/>
    </row>
    <row r="108" spans="2:12" ht="15.75" thickBot="1" x14ac:dyDescent="0.3">
      <c r="B108" s="143"/>
      <c r="C108" s="78" t="s">
        <v>221</v>
      </c>
      <c r="D108" s="79"/>
      <c r="E108" s="79"/>
      <c r="F108" s="80"/>
      <c r="G108" s="80"/>
      <c r="H108" s="80"/>
      <c r="I108" s="73"/>
      <c r="J108" s="73"/>
      <c r="K108" s="73"/>
      <c r="L108" s="145"/>
    </row>
    <row r="109" spans="2:12" x14ac:dyDescent="0.25">
      <c r="B109" s="143"/>
      <c r="C109" s="144"/>
      <c r="D109" s="90" t="s">
        <v>222</v>
      </c>
      <c r="E109" s="48"/>
      <c r="F109" s="44"/>
      <c r="G109" s="44"/>
      <c r="H109" s="44"/>
      <c r="I109" s="943">
        <f>'6A'!K111</f>
        <v>93047</v>
      </c>
      <c r="J109" s="107"/>
      <c r="K109" s="108"/>
      <c r="L109" s="145"/>
    </row>
    <row r="110" spans="2:12" x14ac:dyDescent="0.25">
      <c r="B110" s="143"/>
      <c r="C110" s="144"/>
      <c r="D110" s="90" t="s">
        <v>223</v>
      </c>
      <c r="E110" s="48"/>
      <c r="F110" s="44"/>
      <c r="G110" s="44"/>
      <c r="H110" s="44"/>
      <c r="I110" s="941">
        <f>'6A'!K112</f>
        <v>0</v>
      </c>
      <c r="J110" s="109"/>
      <c r="K110" s="110"/>
      <c r="L110" s="145"/>
    </row>
    <row r="111" spans="2:12" x14ac:dyDescent="0.25">
      <c r="B111" s="143"/>
      <c r="C111" s="413"/>
      <c r="D111" s="90" t="s">
        <v>224</v>
      </c>
      <c r="E111" s="48"/>
      <c r="F111" s="44"/>
      <c r="G111" s="44"/>
      <c r="H111" s="44"/>
      <c r="I111" s="941">
        <f>'6A'!K113</f>
        <v>0</v>
      </c>
      <c r="J111" s="109"/>
      <c r="K111" s="110"/>
      <c r="L111" s="515"/>
    </row>
    <row r="112" spans="2:12" x14ac:dyDescent="0.25">
      <c r="B112" s="143"/>
      <c r="C112" s="413"/>
      <c r="D112" s="90" t="s">
        <v>225</v>
      </c>
      <c r="E112" s="48"/>
      <c r="F112" s="44"/>
      <c r="G112" s="44"/>
      <c r="H112" s="44"/>
      <c r="I112" s="941">
        <f>'6A'!K114</f>
        <v>0</v>
      </c>
      <c r="J112" s="109"/>
      <c r="K112" s="110"/>
      <c r="L112" s="515"/>
    </row>
    <row r="113" spans="2:12" x14ac:dyDescent="0.25">
      <c r="B113" s="143"/>
      <c r="C113" s="413"/>
      <c r="D113" s="90" t="s">
        <v>226</v>
      </c>
      <c r="E113" s="48"/>
      <c r="F113" s="44"/>
      <c r="G113" s="44"/>
      <c r="H113" s="44"/>
      <c r="I113" s="941">
        <f>'6A'!K115</f>
        <v>0</v>
      </c>
      <c r="J113" s="109"/>
      <c r="K113" s="110"/>
      <c r="L113" s="515"/>
    </row>
    <row r="114" spans="2:12" x14ac:dyDescent="0.25">
      <c r="B114" s="143"/>
      <c r="C114" s="413"/>
      <c r="D114" s="90" t="s">
        <v>227</v>
      </c>
      <c r="E114" s="48"/>
      <c r="F114" s="44"/>
      <c r="G114" s="44"/>
      <c r="H114" s="44"/>
      <c r="I114" s="941">
        <f>'6A'!K116</f>
        <v>0</v>
      </c>
      <c r="J114" s="109"/>
      <c r="K114" s="110"/>
      <c r="L114" s="515"/>
    </row>
    <row r="115" spans="2:12" x14ac:dyDescent="0.25">
      <c r="B115" s="143"/>
      <c r="C115" s="413"/>
      <c r="D115" s="90" t="s">
        <v>228</v>
      </c>
      <c r="E115" s="48"/>
      <c r="F115" s="44"/>
      <c r="G115" s="44"/>
      <c r="H115" s="44"/>
      <c r="I115" s="942">
        <f>'6A'!K117</f>
        <v>0</v>
      </c>
      <c r="J115" s="115"/>
      <c r="K115" s="116"/>
      <c r="L115" s="515"/>
    </row>
    <row r="116" spans="2:12" ht="15.75" thickBot="1" x14ac:dyDescent="0.3">
      <c r="B116" s="143"/>
      <c r="C116" s="45"/>
      <c r="D116" s="413"/>
      <c r="E116" s="44"/>
      <c r="F116" s="413"/>
      <c r="G116" s="48" t="s">
        <v>160</v>
      </c>
      <c r="H116" s="89"/>
      <c r="I116" s="113">
        <f>SUM(I109:I115)</f>
        <v>93047</v>
      </c>
      <c r="J116" s="93">
        <v>0</v>
      </c>
      <c r="K116" s="97">
        <v>0</v>
      </c>
      <c r="L116" s="515"/>
    </row>
    <row r="117" spans="2:12" ht="7.5" customHeight="1" thickBot="1" x14ac:dyDescent="0.3">
      <c r="B117" s="143"/>
      <c r="C117" s="66"/>
      <c r="D117" s="65"/>
      <c r="E117" s="65"/>
      <c r="F117" s="67"/>
      <c r="G117" s="67"/>
      <c r="H117" s="67"/>
      <c r="I117" s="77"/>
      <c r="J117" s="77"/>
      <c r="K117" s="77"/>
      <c r="L117" s="515"/>
    </row>
    <row r="118" spans="2:12" ht="15.75" thickBot="1" x14ac:dyDescent="0.3">
      <c r="B118" s="143"/>
      <c r="C118" s="99" t="s">
        <v>243</v>
      </c>
      <c r="D118" s="100"/>
      <c r="E118" s="100"/>
      <c r="F118" s="100"/>
      <c r="G118" s="100"/>
      <c r="H118" s="100"/>
      <c r="I118" s="94">
        <f>I27+I46+I62+I67+I75+I86+I92+I106+I116</f>
        <v>23564423</v>
      </c>
      <c r="J118" s="92">
        <f>J27+J46+J62+J67+J75+J86+J92+J106+J116</f>
        <v>0</v>
      </c>
      <c r="K118" s="98">
        <f>K27+K46+K62+K67+K75+K86+K92+K106+K116</f>
        <v>20494228</v>
      </c>
      <c r="L118" s="515"/>
    </row>
    <row r="119" spans="2:12" ht="7.5" customHeight="1" x14ac:dyDescent="0.25">
      <c r="B119" s="143"/>
      <c r="C119" s="144"/>
      <c r="D119" s="144"/>
      <c r="E119" s="144"/>
      <c r="F119" s="144"/>
      <c r="G119" s="144"/>
      <c r="H119" s="144"/>
      <c r="I119" s="413"/>
      <c r="J119" s="413"/>
      <c r="K119" s="413"/>
      <c r="L119" s="515"/>
    </row>
    <row r="120" spans="2:12" x14ac:dyDescent="0.25">
      <c r="B120" s="143"/>
      <c r="C120" s="2307" t="s">
        <v>244</v>
      </c>
      <c r="D120" s="2308"/>
      <c r="E120" s="2308"/>
      <c r="F120" s="2308"/>
      <c r="G120" s="2308"/>
      <c r="H120" s="2308"/>
      <c r="I120" s="2308"/>
      <c r="J120" s="2308"/>
      <c r="K120" s="2309"/>
      <c r="L120" s="515"/>
    </row>
    <row r="121" spans="2:12" x14ac:dyDescent="0.25">
      <c r="B121" s="143"/>
      <c r="C121" s="2310"/>
      <c r="D121" s="2311"/>
      <c r="E121" s="2311"/>
      <c r="F121" s="2311"/>
      <c r="G121" s="2311"/>
      <c r="H121" s="2311"/>
      <c r="I121" s="2311"/>
      <c r="J121" s="2311"/>
      <c r="K121" s="2312"/>
      <c r="L121" s="515"/>
    </row>
    <row r="122" spans="2:12" x14ac:dyDescent="0.25">
      <c r="B122" s="143"/>
      <c r="C122" s="2313"/>
      <c r="D122" s="2314"/>
      <c r="E122" s="2314"/>
      <c r="F122" s="2314"/>
      <c r="G122" s="2314"/>
      <c r="H122" s="2314"/>
      <c r="I122" s="2314"/>
      <c r="J122" s="2314"/>
      <c r="K122" s="2315"/>
      <c r="L122" s="515"/>
    </row>
    <row r="123" spans="2:12" ht="9" customHeight="1" thickBot="1" x14ac:dyDescent="0.3">
      <c r="B123" s="520"/>
      <c r="C123" s="521"/>
      <c r="D123" s="521"/>
      <c r="E123" s="521"/>
      <c r="F123" s="521"/>
      <c r="G123" s="521"/>
      <c r="H123" s="521"/>
      <c r="I123" s="521"/>
      <c r="J123" s="521"/>
      <c r="K123" s="521"/>
      <c r="L123" s="519"/>
    </row>
  </sheetData>
  <sheetProtection algorithmName="SHA-512" hashValue="SMjjUeIoMJFNub+KGM503Znpa+WR5Je2SH1CWp09gG8nPXqesSJ2BxscYJbArmLPxC3en5bMm87rReOdONuEPA==" saltValue="VBE03LDfiHJTNzzSg7XRug==" spinCount="100000" sheet="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2016
Version: 1.0</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M54"/>
  <sheetViews>
    <sheetView showGridLines="0" topLeftCell="A40" zoomScaleNormal="100" workbookViewId="0">
      <selection activeCell="M45" sqref="M45"/>
    </sheetView>
  </sheetViews>
  <sheetFormatPr defaultRowHeight="15" x14ac:dyDescent="0.25"/>
  <cols>
    <col min="1" max="2" width="1.7109375" style="406" customWidth="1"/>
    <col min="3" max="3" width="2.85546875" style="406" customWidth="1"/>
    <col min="4" max="4" width="14.28515625" style="406" customWidth="1"/>
    <col min="5" max="5" width="48.42578125" style="406" customWidth="1"/>
    <col min="6" max="6" width="11.42578125" style="406" customWidth="1"/>
    <col min="7" max="7" width="16" style="406" bestFit="1" customWidth="1"/>
    <col min="8" max="8" width="1.7109375" style="406" customWidth="1"/>
    <col min="9" max="16384" width="9.140625" style="406"/>
  </cols>
  <sheetData>
    <row r="5" spans="2:8" ht="9" customHeight="1" thickBot="1" x14ac:dyDescent="0.3"/>
    <row r="6" spans="2:8" ht="9" customHeight="1" x14ac:dyDescent="0.25">
      <c r="B6" s="522"/>
      <c r="C6" s="523"/>
      <c r="D6" s="523"/>
      <c r="E6" s="524"/>
      <c r="F6" s="524"/>
      <c r="G6" s="524"/>
      <c r="H6" s="525"/>
    </row>
    <row r="7" spans="2:8" ht="18.75" x14ac:dyDescent="0.3">
      <c r="B7" s="526"/>
      <c r="C7" s="2329" t="s">
        <v>245</v>
      </c>
      <c r="D7" s="2329"/>
      <c r="E7" s="2329"/>
      <c r="F7" s="2329"/>
      <c r="G7" s="2329"/>
      <c r="H7" s="527"/>
    </row>
    <row r="8" spans="2:8" x14ac:dyDescent="0.25">
      <c r="B8" s="526"/>
      <c r="C8" s="528"/>
      <c r="D8" s="528"/>
      <c r="E8" s="529"/>
      <c r="F8" s="529"/>
      <c r="G8" s="529"/>
      <c r="H8" s="527"/>
    </row>
    <row r="9" spans="2:8" ht="15.75" thickBot="1" x14ac:dyDescent="0.3">
      <c r="B9" s="526"/>
      <c r="C9" s="2337" t="str">
        <f>IF('1'!G5="","Enter Project Name on Form 1",(CONCATENATE("Project Name: ",'1'!G5)))</f>
        <v>Project Name: Filipino Community Village</v>
      </c>
      <c r="D9" s="2337"/>
      <c r="E9" s="2337"/>
      <c r="F9" s="2337"/>
      <c r="G9" s="499"/>
      <c r="H9" s="530"/>
    </row>
    <row r="10" spans="2:8" x14ac:dyDescent="0.25">
      <c r="B10" s="526"/>
      <c r="C10" s="528"/>
      <c r="D10" s="528"/>
      <c r="E10" s="165"/>
      <c r="F10" s="167"/>
      <c r="G10" s="168"/>
      <c r="H10" s="531"/>
    </row>
    <row r="11" spans="2:8" x14ac:dyDescent="0.25">
      <c r="B11" s="526"/>
      <c r="C11" s="165" t="s">
        <v>246</v>
      </c>
      <c r="D11" s="165"/>
      <c r="E11" s="532"/>
      <c r="F11" s="167"/>
      <c r="G11" s="168"/>
      <c r="H11" s="531"/>
    </row>
    <row r="12" spans="2:8" ht="30" customHeight="1" x14ac:dyDescent="0.25">
      <c r="B12" s="526"/>
      <c r="C12" s="528"/>
      <c r="D12" s="2330" t="s">
        <v>247</v>
      </c>
      <c r="E12" s="2330"/>
      <c r="F12" s="693"/>
      <c r="G12" s="532"/>
      <c r="H12" s="531"/>
    </row>
    <row r="13" spans="2:8" ht="15.75" thickBot="1" x14ac:dyDescent="0.3">
      <c r="B13" s="526"/>
      <c r="C13" s="528"/>
      <c r="D13" s="528"/>
      <c r="E13" s="165"/>
      <c r="F13" s="167"/>
      <c r="G13" s="167"/>
      <c r="H13" s="531"/>
    </row>
    <row r="14" spans="2:8" ht="24.75" thickBot="1" x14ac:dyDescent="0.3">
      <c r="B14" s="526"/>
      <c r="C14" s="528"/>
      <c r="D14" s="528"/>
      <c r="E14" s="165"/>
      <c r="F14" s="169" t="s">
        <v>22</v>
      </c>
      <c r="G14" s="170" t="s">
        <v>239</v>
      </c>
      <c r="H14" s="531"/>
    </row>
    <row r="15" spans="2:8" ht="15.75" thickBot="1" x14ac:dyDescent="0.3">
      <c r="B15" s="526"/>
      <c r="C15" s="171" t="s">
        <v>248</v>
      </c>
      <c r="D15" s="171"/>
      <c r="E15" s="172"/>
      <c r="F15" s="533"/>
      <c r="G15" s="533"/>
      <c r="H15" s="531"/>
    </row>
    <row r="16" spans="2:8" x14ac:dyDescent="0.25">
      <c r="B16" s="526"/>
      <c r="C16" s="165"/>
      <c r="D16" s="173" t="s">
        <v>249</v>
      </c>
      <c r="E16" s="532"/>
      <c r="F16" s="949">
        <f>'6C'!J118</f>
        <v>0</v>
      </c>
      <c r="G16" s="174">
        <f>'6C'!K118</f>
        <v>20494228</v>
      </c>
      <c r="H16" s="531"/>
    </row>
    <row r="17" spans="2:8" x14ac:dyDescent="0.25">
      <c r="B17" s="526"/>
      <c r="C17" s="165"/>
      <c r="D17" s="166" t="s">
        <v>250</v>
      </c>
      <c r="E17" s="532"/>
      <c r="F17" s="945"/>
      <c r="G17" s="944"/>
      <c r="H17" s="531"/>
    </row>
    <row r="18" spans="2:8" x14ac:dyDescent="0.25">
      <c r="B18" s="526"/>
      <c r="C18" s="165"/>
      <c r="D18" s="166" t="s">
        <v>251</v>
      </c>
      <c r="E18" s="532"/>
      <c r="F18" s="945"/>
      <c r="G18" s="946"/>
      <c r="H18" s="531"/>
    </row>
    <row r="19" spans="2:8" ht="30" customHeight="1" x14ac:dyDescent="0.25">
      <c r="B19" s="526"/>
      <c r="C19" s="165"/>
      <c r="D19" s="2330" t="s">
        <v>252</v>
      </c>
      <c r="E19" s="2331"/>
      <c r="F19" s="945"/>
      <c r="G19" s="946"/>
      <c r="H19" s="531"/>
    </row>
    <row r="20" spans="2:8" x14ac:dyDescent="0.25">
      <c r="B20" s="526"/>
      <c r="C20" s="165"/>
      <c r="D20" s="175" t="s">
        <v>253</v>
      </c>
      <c r="E20" s="534"/>
      <c r="F20" s="947"/>
      <c r="G20" s="948"/>
      <c r="H20" s="531"/>
    </row>
    <row r="21" spans="2:8" ht="15.75" thickBot="1" x14ac:dyDescent="0.3">
      <c r="B21" s="526"/>
      <c r="C21" s="165"/>
      <c r="D21" s="173" t="s">
        <v>254</v>
      </c>
      <c r="E21" s="532"/>
      <c r="F21" s="176">
        <f>F16-(SUM(F17:F20))</f>
        <v>0</v>
      </c>
      <c r="G21" s="177">
        <f>G16-(SUM(G18:G20))</f>
        <v>20494228</v>
      </c>
      <c r="H21" s="531"/>
    </row>
    <row r="22" spans="2:8" ht="15.75" thickBot="1" x14ac:dyDescent="0.3">
      <c r="B22" s="526"/>
      <c r="C22" s="165"/>
      <c r="D22" s="166"/>
      <c r="E22" s="532"/>
      <c r="F22" s="168"/>
      <c r="G22" s="167"/>
      <c r="H22" s="531"/>
    </row>
    <row r="23" spans="2:8" x14ac:dyDescent="0.25">
      <c r="B23" s="526"/>
      <c r="C23" s="165"/>
      <c r="D23" s="167" t="s">
        <v>254</v>
      </c>
      <c r="E23" s="532"/>
      <c r="F23" s="949">
        <f>F21</f>
        <v>0</v>
      </c>
      <c r="G23" s="950">
        <f>G21</f>
        <v>20494228</v>
      </c>
      <c r="H23" s="531"/>
    </row>
    <row r="24" spans="2:8" x14ac:dyDescent="0.25">
      <c r="B24" s="526"/>
      <c r="C24" s="165"/>
      <c r="D24" s="167" t="s">
        <v>255</v>
      </c>
      <c r="E24" s="532"/>
      <c r="F24" s="951">
        <v>1</v>
      </c>
      <c r="G24" s="952">
        <f>IF(F12="Yes",130%,100%)</f>
        <v>1</v>
      </c>
      <c r="H24" s="531"/>
    </row>
    <row r="25" spans="2:8" x14ac:dyDescent="0.25">
      <c r="B25" s="526"/>
      <c r="C25" s="165"/>
      <c r="D25" s="178" t="s">
        <v>256</v>
      </c>
      <c r="E25" s="534"/>
      <c r="F25" s="1771"/>
      <c r="G25" s="1770">
        <v>1</v>
      </c>
      <c r="H25" s="531"/>
    </row>
    <row r="26" spans="2:8" ht="15.75" thickBot="1" x14ac:dyDescent="0.3">
      <c r="B26" s="526"/>
      <c r="C26" s="165"/>
      <c r="D26" s="179" t="s">
        <v>257</v>
      </c>
      <c r="E26" s="532"/>
      <c r="F26" s="180">
        <f>(F23*F24)*F25</f>
        <v>0</v>
      </c>
      <c r="G26" s="181">
        <f>(G23*G24)*G25</f>
        <v>20494228</v>
      </c>
      <c r="H26" s="531"/>
    </row>
    <row r="27" spans="2:8" ht="15.75" thickBot="1" x14ac:dyDescent="0.3">
      <c r="B27" s="526"/>
      <c r="C27" s="165"/>
      <c r="D27" s="166"/>
      <c r="E27" s="532"/>
      <c r="F27" s="167"/>
      <c r="G27" s="167"/>
      <c r="H27" s="531"/>
    </row>
    <row r="28" spans="2:8" x14ac:dyDescent="0.25">
      <c r="B28" s="526"/>
      <c r="C28" s="165"/>
      <c r="D28" s="166" t="s">
        <v>257</v>
      </c>
      <c r="E28" s="532"/>
      <c r="F28" s="949">
        <f>F26</f>
        <v>0</v>
      </c>
      <c r="G28" s="950">
        <f>G26</f>
        <v>20494228</v>
      </c>
      <c r="H28" s="531"/>
    </row>
    <row r="29" spans="2:8" x14ac:dyDescent="0.25">
      <c r="B29" s="526"/>
      <c r="C29" s="165"/>
      <c r="D29" s="175" t="s">
        <v>258</v>
      </c>
      <c r="E29" s="532"/>
      <c r="F29" s="1249"/>
      <c r="G29" s="2137">
        <v>3.5000000000000003E-2</v>
      </c>
      <c r="H29" s="531"/>
    </row>
    <row r="30" spans="2:8" ht="15.75" thickBot="1" x14ac:dyDescent="0.3">
      <c r="B30" s="526"/>
      <c r="C30" s="165"/>
      <c r="D30" s="173" t="s">
        <v>259</v>
      </c>
      <c r="E30" s="532"/>
      <c r="F30" s="176">
        <f>F28*F29</f>
        <v>0</v>
      </c>
      <c r="G30" s="177">
        <f>G28*G29</f>
        <v>717297.9800000001</v>
      </c>
      <c r="H30" s="531"/>
    </row>
    <row r="31" spans="2:8" ht="15" customHeight="1" thickBot="1" x14ac:dyDescent="0.3">
      <c r="B31" s="526"/>
      <c r="C31" s="165"/>
      <c r="D31" s="166"/>
      <c r="E31" s="532"/>
      <c r="F31" s="167"/>
      <c r="G31" s="167"/>
      <c r="H31" s="531"/>
    </row>
    <row r="32" spans="2:8" ht="15.75" thickBot="1" x14ac:dyDescent="0.3">
      <c r="B32" s="526"/>
      <c r="C32" s="165"/>
      <c r="D32" s="173" t="s">
        <v>507</v>
      </c>
      <c r="E32" s="532"/>
      <c r="F32" s="167"/>
      <c r="G32" s="182">
        <f>F30+G30</f>
        <v>717297.9800000001</v>
      </c>
      <c r="H32" s="531"/>
    </row>
    <row r="33" spans="2:10" x14ac:dyDescent="0.25">
      <c r="B33" s="526"/>
      <c r="C33" s="165"/>
      <c r="D33" s="165"/>
      <c r="E33" s="166"/>
      <c r="F33" s="167"/>
      <c r="G33" s="167"/>
      <c r="H33" s="531"/>
    </row>
    <row r="34" spans="2:10" ht="15.75" thickBot="1" x14ac:dyDescent="0.3">
      <c r="B34" s="526"/>
      <c r="C34" s="183" t="s">
        <v>260</v>
      </c>
      <c r="D34" s="183"/>
      <c r="E34" s="184"/>
      <c r="F34" s="185"/>
      <c r="G34" s="186"/>
      <c r="H34" s="531"/>
    </row>
    <row r="35" spans="2:10" x14ac:dyDescent="0.25">
      <c r="B35" s="526"/>
      <c r="C35" s="165"/>
      <c r="D35" s="166" t="s">
        <v>532</v>
      </c>
      <c r="E35" s="532"/>
      <c r="F35" s="167"/>
      <c r="G35" s="953">
        <f>'6A'!K120</f>
        <v>23564423</v>
      </c>
      <c r="H35" s="187"/>
    </row>
    <row r="36" spans="2:10" x14ac:dyDescent="0.25">
      <c r="B36" s="526"/>
      <c r="C36" s="165"/>
      <c r="D36" s="175" t="s">
        <v>508</v>
      </c>
      <c r="E36" s="535"/>
      <c r="F36" s="365"/>
      <c r="G36" s="954">
        <f>-('7A'!F35)</f>
        <v>-16391443</v>
      </c>
      <c r="H36" s="531"/>
    </row>
    <row r="37" spans="2:10" ht="15.75" thickBot="1" x14ac:dyDescent="0.3">
      <c r="B37" s="526"/>
      <c r="C37" s="165"/>
      <c r="D37" s="173" t="s">
        <v>261</v>
      </c>
      <c r="E37" s="532"/>
      <c r="F37" s="179"/>
      <c r="G37" s="188">
        <f>G35+G36</f>
        <v>7172980</v>
      </c>
      <c r="H37" s="531"/>
    </row>
    <row r="38" spans="2:10" ht="15.75" thickBot="1" x14ac:dyDescent="0.3">
      <c r="B38" s="526"/>
      <c r="C38" s="165"/>
      <c r="D38" s="166"/>
      <c r="E38" s="532"/>
      <c r="F38" s="167"/>
      <c r="G38" s="168"/>
      <c r="H38" s="531"/>
    </row>
    <row r="39" spans="2:10" x14ac:dyDescent="0.25">
      <c r="B39" s="526"/>
      <c r="C39" s="165"/>
      <c r="D39" s="166" t="s">
        <v>261</v>
      </c>
      <c r="E39" s="532"/>
      <c r="F39" s="167"/>
      <c r="G39" s="953">
        <f>G37</f>
        <v>7172980</v>
      </c>
      <c r="H39" s="531"/>
    </row>
    <row r="40" spans="2:10" ht="15.75" thickBot="1" x14ac:dyDescent="0.3">
      <c r="B40" s="526"/>
      <c r="C40" s="165"/>
      <c r="D40" s="166" t="s">
        <v>1527</v>
      </c>
      <c r="E40" s="532"/>
      <c r="F40" s="167"/>
      <c r="G40" s="955">
        <v>1</v>
      </c>
      <c r="H40" s="531"/>
      <c r="J40" s="403"/>
    </row>
    <row r="41" spans="2:10" ht="15.75" thickBot="1" x14ac:dyDescent="0.3">
      <c r="B41" s="526"/>
      <c r="C41" s="165"/>
      <c r="D41" s="189" t="s">
        <v>262</v>
      </c>
      <c r="E41" s="535"/>
      <c r="F41" s="178"/>
      <c r="G41" s="729">
        <v>10</v>
      </c>
      <c r="H41" s="531"/>
    </row>
    <row r="42" spans="2:10" ht="15.75" thickBot="1" x14ac:dyDescent="0.3">
      <c r="B42" s="526"/>
      <c r="C42" s="165"/>
      <c r="D42" s="190" t="s">
        <v>263</v>
      </c>
      <c r="E42" s="532"/>
      <c r="F42" s="167"/>
      <c r="G42" s="191">
        <f>IFERROR(((G39/G40)/10),0)</f>
        <v>717298</v>
      </c>
      <c r="H42" s="531"/>
    </row>
    <row r="43" spans="2:10" x14ac:dyDescent="0.25">
      <c r="B43" s="526"/>
      <c r="C43" s="165"/>
      <c r="D43" s="165"/>
      <c r="E43" s="166"/>
      <c r="F43" s="167"/>
      <c r="G43" s="168"/>
      <c r="H43" s="531"/>
    </row>
    <row r="44" spans="2:10" x14ac:dyDescent="0.25">
      <c r="B44" s="526"/>
      <c r="C44" s="165" t="s">
        <v>264</v>
      </c>
      <c r="D44" s="165"/>
      <c r="E44" s="166"/>
      <c r="F44" s="167"/>
      <c r="G44" s="694" t="s">
        <v>558</v>
      </c>
      <c r="H44" s="531"/>
    </row>
    <row r="45" spans="2:10" x14ac:dyDescent="0.25">
      <c r="B45" s="526"/>
      <c r="C45" s="165"/>
      <c r="D45" s="165"/>
      <c r="E45" s="166"/>
      <c r="F45" s="167"/>
      <c r="G45" s="168"/>
      <c r="H45" s="531"/>
    </row>
    <row r="46" spans="2:10" ht="15.75" thickBot="1" x14ac:dyDescent="0.3">
      <c r="B46" s="526"/>
      <c r="C46" s="183" t="s">
        <v>265</v>
      </c>
      <c r="D46" s="183"/>
      <c r="E46" s="184"/>
      <c r="F46" s="185"/>
      <c r="G46" s="167"/>
      <c r="H46" s="192"/>
    </row>
    <row r="47" spans="2:10" x14ac:dyDescent="0.25">
      <c r="B47" s="526"/>
      <c r="C47" s="165"/>
      <c r="D47" s="166" t="s">
        <v>266</v>
      </c>
      <c r="E47" s="532"/>
      <c r="F47" s="167"/>
      <c r="G47" s="1546">
        <f>SUM('8A'!L35:L42)</f>
        <v>76</v>
      </c>
      <c r="H47" s="192"/>
    </row>
    <row r="48" spans="2:10" x14ac:dyDescent="0.25">
      <c r="B48" s="526"/>
      <c r="C48" s="165"/>
      <c r="D48" s="175" t="s">
        <v>1625</v>
      </c>
      <c r="E48" s="535"/>
      <c r="F48" s="365"/>
      <c r="G48" s="954">
        <f>IF(G44="Yes",20957,16153)</f>
        <v>20957</v>
      </c>
      <c r="H48" s="192"/>
    </row>
    <row r="49" spans="2:13" ht="15.75" thickBot="1" x14ac:dyDescent="0.3">
      <c r="B49" s="526"/>
      <c r="C49" s="165"/>
      <c r="D49" s="173" t="s">
        <v>267</v>
      </c>
      <c r="E49" s="532"/>
      <c r="F49" s="167"/>
      <c r="G49" s="191">
        <f>G47*G48</f>
        <v>1592732</v>
      </c>
      <c r="H49" s="192"/>
      <c r="M49" s="406">
        <f>+'6D'!K38</f>
        <v>0</v>
      </c>
    </row>
    <row r="50" spans="2:13" ht="15.75" thickBot="1" x14ac:dyDescent="0.3">
      <c r="B50" s="526"/>
      <c r="C50" s="528"/>
      <c r="D50" s="528"/>
      <c r="E50" s="165"/>
      <c r="F50" s="167"/>
      <c r="G50" s="167"/>
      <c r="H50" s="187"/>
    </row>
    <row r="51" spans="2:13" s="1293" customFormat="1" ht="20.25" thickTop="1" thickBot="1" x14ac:dyDescent="0.35">
      <c r="B51" s="1290"/>
      <c r="C51" s="1291"/>
      <c r="D51" s="1291"/>
      <c r="E51" s="2333" t="s">
        <v>268</v>
      </c>
      <c r="F51" s="2334"/>
      <c r="G51" s="1294">
        <f>MIN(G32,G42,G49)</f>
        <v>717297.9800000001</v>
      </c>
      <c r="H51" s="1292"/>
    </row>
    <row r="52" spans="2:13" ht="7.5" customHeight="1" thickBot="1" x14ac:dyDescent="0.3">
      <c r="B52" s="1547"/>
      <c r="C52" s="532"/>
      <c r="D52" s="532"/>
      <c r="E52" s="532"/>
      <c r="F52" s="532"/>
      <c r="G52" s="532"/>
      <c r="H52" s="1548"/>
    </row>
    <row r="53" spans="2:13" ht="15.75" thickBot="1" x14ac:dyDescent="0.3">
      <c r="B53" s="1547"/>
      <c r="C53" s="532"/>
      <c r="D53" s="532"/>
      <c r="E53" s="2335" t="s">
        <v>673</v>
      </c>
      <c r="F53" s="2336"/>
      <c r="G53" s="1295">
        <f>G51*G40*10</f>
        <v>7172979.8000000007</v>
      </c>
      <c r="H53" s="1548"/>
    </row>
    <row r="54" spans="2:13" ht="15.75" thickBot="1" x14ac:dyDescent="0.3">
      <c r="B54" s="536"/>
      <c r="C54" s="537"/>
      <c r="D54" s="537"/>
      <c r="E54" s="2332"/>
      <c r="F54" s="2332"/>
      <c r="G54" s="2332"/>
      <c r="H54" s="538"/>
    </row>
  </sheetData>
  <sheetProtection algorithmName="SHA-512" hashValue="D8eHqAvouOwqqPSE9hrgYi3HpaEfRate8OKCv2Es4v9C5fizJp2BYN7BfCrUfQKGqsQTcFW569v5r+DBRFsXAg==" saltValue="hkgNO+60303LIiGhXgr9Kw==" spinCount="100000" sheet="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0" orientation="portrait" r:id="rId1"/>
  <headerFooter>
    <oddFooter>&amp;LForm 6D
LIHTC Calculation&amp;CCFA Forms&amp;REdition: 2016
Version: 1.0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66"/>
  <sheetViews>
    <sheetView showGridLines="0" topLeftCell="A11" zoomScaleNormal="100" workbookViewId="0">
      <selection activeCell="N7" sqref="N7"/>
    </sheetView>
  </sheetViews>
  <sheetFormatPr defaultRowHeight="15" x14ac:dyDescent="0.25"/>
  <cols>
    <col min="1" max="2" width="1.7109375" style="402" customWidth="1"/>
    <col min="3" max="3" width="2.85546875" style="402" customWidth="1"/>
    <col min="4" max="4" width="14.28515625" style="402" customWidth="1"/>
    <col min="5" max="5" width="9.140625" style="402"/>
    <col min="6" max="6" width="4.28515625" style="402" customWidth="1"/>
    <col min="7" max="7" width="13.28515625" style="402" customWidth="1"/>
    <col min="8" max="8" width="12.28515625" style="402" bestFit="1" customWidth="1"/>
    <col min="9" max="9" width="31.42578125" style="421" customWidth="1"/>
    <col min="10" max="10" width="1.7109375" style="421" customWidth="1"/>
    <col min="11" max="16384" width="9.140625" style="402"/>
  </cols>
  <sheetData>
    <row r="6" spans="2:10" ht="15.75" thickBot="1" x14ac:dyDescent="0.3"/>
    <row r="7" spans="2:10" s="421" customFormat="1" x14ac:dyDescent="0.25">
      <c r="B7" s="541"/>
      <c r="C7" s="648"/>
      <c r="D7" s="648"/>
      <c r="E7" s="648"/>
      <c r="F7" s="648"/>
      <c r="G7" s="648"/>
      <c r="H7" s="648"/>
      <c r="I7" s="648"/>
      <c r="J7" s="542"/>
    </row>
    <row r="8" spans="2:10" s="421" customFormat="1" ht="18.75" x14ac:dyDescent="0.3">
      <c r="B8" s="543"/>
      <c r="C8" s="2144" t="s">
        <v>533</v>
      </c>
      <c r="D8" s="2144"/>
      <c r="E8" s="2144"/>
      <c r="F8" s="2144"/>
      <c r="G8" s="2144"/>
      <c r="H8" s="2144"/>
      <c r="I8" s="2144"/>
      <c r="J8" s="544"/>
    </row>
    <row r="9" spans="2:10" s="421" customFormat="1" x14ac:dyDescent="0.25">
      <c r="B9" s="543"/>
      <c r="C9" s="429"/>
      <c r="D9" s="429"/>
      <c r="E9" s="429"/>
      <c r="F9" s="429"/>
      <c r="G9" s="429"/>
      <c r="H9" s="429"/>
      <c r="I9" s="429"/>
      <c r="J9" s="544"/>
    </row>
    <row r="10" spans="2:10" s="421" customFormat="1" ht="15.75" thickBot="1" x14ac:dyDescent="0.3">
      <c r="B10" s="543"/>
      <c r="C10" s="2288" t="str">
        <f>IF('1'!G5="","Enter Project Name on Form 1",(CONCATENATE("Project Name: ",'1'!G5)))</f>
        <v>Project Name: Filipino Community Village</v>
      </c>
      <c r="D10" s="2288"/>
      <c r="E10" s="2288"/>
      <c r="F10" s="2288"/>
      <c r="G10" s="2288"/>
      <c r="H10" s="2288"/>
      <c r="I10" s="2288"/>
      <c r="J10" s="544"/>
    </row>
    <row r="11" spans="2:10" s="421" customFormat="1" ht="15" customHeight="1" thickBot="1" x14ac:dyDescent="0.3">
      <c r="B11" s="543"/>
      <c r="C11" s="429"/>
      <c r="D11" s="429"/>
      <c r="E11" s="429"/>
      <c r="F11" s="429"/>
      <c r="G11" s="429"/>
      <c r="H11" s="429"/>
      <c r="I11" s="429"/>
      <c r="J11" s="544"/>
    </row>
    <row r="12" spans="2:10" s="421" customFormat="1" ht="15.75" thickBot="1" x14ac:dyDescent="0.3">
      <c r="B12" s="543"/>
      <c r="C12" s="545" t="s">
        <v>269</v>
      </c>
      <c r="D12" s="707"/>
      <c r="E12" s="707"/>
      <c r="F12" s="704" t="s">
        <v>270</v>
      </c>
      <c r="G12" s="705" t="s">
        <v>271</v>
      </c>
      <c r="H12" s="705" t="s">
        <v>85</v>
      </c>
      <c r="I12" s="703" t="s">
        <v>272</v>
      </c>
      <c r="J12" s="651"/>
    </row>
    <row r="13" spans="2:10" s="421" customFormat="1" ht="15.75" thickBot="1" x14ac:dyDescent="0.3">
      <c r="B13" s="543"/>
      <c r="C13" s="546" t="s">
        <v>273</v>
      </c>
      <c r="D13" s="546"/>
      <c r="E13" s="546"/>
      <c r="F13" s="144"/>
      <c r="G13" s="144"/>
      <c r="H13" s="429"/>
      <c r="I13" s="429"/>
      <c r="J13" s="544"/>
    </row>
    <row r="14" spans="2:10" s="421" customFormat="1" ht="15.75" thickBot="1" x14ac:dyDescent="0.3">
      <c r="B14" s="543"/>
      <c r="C14" s="68"/>
      <c r="D14" s="68" t="s">
        <v>274</v>
      </c>
      <c r="E14" s="68"/>
      <c r="F14" s="706">
        <v>1</v>
      </c>
      <c r="G14" s="2088">
        <v>2000</v>
      </c>
      <c r="H14" s="695">
        <f>F14*G14</f>
        <v>2000</v>
      </c>
      <c r="I14" s="696" t="s">
        <v>2148</v>
      </c>
      <c r="J14" s="544"/>
    </row>
    <row r="15" spans="2:10" s="421" customFormat="1" ht="15.75" thickBot="1" x14ac:dyDescent="0.3">
      <c r="B15" s="543"/>
      <c r="C15" s="68"/>
      <c r="D15" s="68"/>
      <c r="E15" s="68"/>
      <c r="F15" s="547"/>
      <c r="G15" s="548"/>
      <c r="H15" s="697">
        <f>H14</f>
        <v>2000</v>
      </c>
      <c r="I15" s="698"/>
      <c r="J15" s="544"/>
    </row>
    <row r="16" spans="2:10" s="421" customFormat="1" ht="3.75" customHeight="1" x14ac:dyDescent="0.25">
      <c r="B16" s="543"/>
      <c r="C16" s="68"/>
      <c r="D16" s="68"/>
      <c r="E16" s="68"/>
      <c r="F16" s="144"/>
      <c r="G16" s="144"/>
      <c r="H16" s="429"/>
      <c r="I16" s="429"/>
      <c r="J16" s="544"/>
    </row>
    <row r="17" spans="2:10" s="421" customFormat="1" ht="15.75" thickBot="1" x14ac:dyDescent="0.3">
      <c r="B17" s="543"/>
      <c r="C17" s="546" t="s">
        <v>275</v>
      </c>
      <c r="D17" s="546"/>
      <c r="E17" s="546"/>
      <c r="F17" s="144"/>
      <c r="G17" s="144"/>
      <c r="H17" s="429"/>
      <c r="I17" s="429"/>
      <c r="J17" s="544"/>
    </row>
    <row r="18" spans="2:10" s="421" customFormat="1" x14ac:dyDescent="0.25">
      <c r="B18" s="543"/>
      <c r="C18" s="68"/>
      <c r="D18" s="68" t="s">
        <v>276</v>
      </c>
      <c r="E18" s="68"/>
      <c r="F18" s="956">
        <v>1</v>
      </c>
      <c r="G18" s="2089">
        <v>15450</v>
      </c>
      <c r="H18" s="957">
        <f t="shared" ref="H18:H25" si="0">F18*G18</f>
        <v>15450</v>
      </c>
      <c r="I18" s="958" t="s">
        <v>2147</v>
      </c>
      <c r="J18" s="544"/>
    </row>
    <row r="19" spans="2:10" s="421" customFormat="1" x14ac:dyDescent="0.25">
      <c r="B19" s="543"/>
      <c r="C19" s="68"/>
      <c r="D19" s="68" t="s">
        <v>277</v>
      </c>
      <c r="E19" s="68"/>
      <c r="F19" s="959"/>
      <c r="G19" s="2090"/>
      <c r="H19" s="960">
        <f t="shared" si="0"/>
        <v>0</v>
      </c>
      <c r="I19" s="961"/>
      <c r="J19" s="544"/>
    </row>
    <row r="20" spans="2:10" s="421" customFormat="1" x14ac:dyDescent="0.25">
      <c r="B20" s="543"/>
      <c r="C20" s="68"/>
      <c r="D20" s="68" t="s">
        <v>278</v>
      </c>
      <c r="E20" s="68"/>
      <c r="F20" s="959"/>
      <c r="G20" s="2090"/>
      <c r="H20" s="960">
        <f t="shared" si="0"/>
        <v>0</v>
      </c>
      <c r="I20" s="961"/>
      <c r="J20" s="544"/>
    </row>
    <row r="21" spans="2:10" s="421" customFormat="1" x14ac:dyDescent="0.25">
      <c r="B21" s="543"/>
      <c r="C21" s="68"/>
      <c r="D21" s="68" t="s">
        <v>103</v>
      </c>
      <c r="E21" s="68"/>
      <c r="F21" s="959">
        <v>1</v>
      </c>
      <c r="G21" s="2090">
        <v>4100</v>
      </c>
      <c r="H21" s="960">
        <f t="shared" si="0"/>
        <v>4100</v>
      </c>
      <c r="I21" s="961" t="s">
        <v>2147</v>
      </c>
      <c r="J21" s="544"/>
    </row>
    <row r="22" spans="2:10" s="421" customFormat="1" x14ac:dyDescent="0.25">
      <c r="B22" s="543"/>
      <c r="C22" s="68"/>
      <c r="D22" s="68" t="s">
        <v>279</v>
      </c>
      <c r="E22" s="68"/>
      <c r="F22" s="959"/>
      <c r="G22" s="2090"/>
      <c r="H22" s="960">
        <f t="shared" si="0"/>
        <v>0</v>
      </c>
      <c r="I22" s="961"/>
      <c r="J22" s="544"/>
    </row>
    <row r="23" spans="2:10" s="421" customFormat="1" x14ac:dyDescent="0.25">
      <c r="B23" s="543"/>
      <c r="C23" s="68"/>
      <c r="D23" s="68" t="s">
        <v>280</v>
      </c>
      <c r="E23" s="68"/>
      <c r="F23" s="959"/>
      <c r="G23" s="2090"/>
      <c r="H23" s="960">
        <f t="shared" si="0"/>
        <v>0</v>
      </c>
      <c r="I23" s="961"/>
      <c r="J23" s="544"/>
    </row>
    <row r="24" spans="2:10" s="421" customFormat="1" x14ac:dyDescent="0.25">
      <c r="B24" s="543"/>
      <c r="C24" s="68"/>
      <c r="D24" s="68" t="s">
        <v>233</v>
      </c>
      <c r="E24" s="68"/>
      <c r="F24" s="959">
        <v>1</v>
      </c>
      <c r="G24" s="2090">
        <v>3500</v>
      </c>
      <c r="H24" s="960">
        <f t="shared" si="0"/>
        <v>3500</v>
      </c>
      <c r="I24" s="961" t="s">
        <v>2147</v>
      </c>
      <c r="J24" s="544"/>
    </row>
    <row r="25" spans="2:10" s="421" customFormat="1" ht="15.75" thickBot="1" x14ac:dyDescent="0.3">
      <c r="B25" s="543"/>
      <c r="C25" s="68"/>
      <c r="D25" s="68" t="s">
        <v>281</v>
      </c>
      <c r="E25" s="68"/>
      <c r="F25" s="962"/>
      <c r="G25" s="2091"/>
      <c r="H25" s="963">
        <f t="shared" si="0"/>
        <v>0</v>
      </c>
      <c r="I25" s="964"/>
      <c r="J25" s="544"/>
    </row>
    <row r="26" spans="2:10" s="421" customFormat="1" ht="15.75" thickBot="1" x14ac:dyDescent="0.3">
      <c r="B26" s="543"/>
      <c r="C26" s="68"/>
      <c r="D26" s="68"/>
      <c r="E26" s="68"/>
      <c r="F26" s="547"/>
      <c r="G26" s="549" t="s">
        <v>160</v>
      </c>
      <c r="H26" s="699">
        <f>SUM(H18:H25)</f>
        <v>23050</v>
      </c>
      <c r="I26" s="700"/>
      <c r="J26" s="544"/>
    </row>
    <row r="27" spans="2:10" s="421" customFormat="1" ht="3.75" customHeight="1" x14ac:dyDescent="0.25">
      <c r="B27" s="543"/>
      <c r="C27" s="68"/>
      <c r="D27" s="68"/>
      <c r="E27" s="68"/>
      <c r="F27" s="144"/>
      <c r="G27" s="144"/>
      <c r="H27" s="429"/>
      <c r="I27" s="429"/>
      <c r="J27" s="544"/>
    </row>
    <row r="28" spans="2:10" s="421" customFormat="1" ht="15.75" thickBot="1" x14ac:dyDescent="0.3">
      <c r="B28" s="543"/>
      <c r="C28" s="546" t="s">
        <v>282</v>
      </c>
      <c r="D28" s="546"/>
      <c r="E28" s="546"/>
      <c r="F28" s="144"/>
      <c r="G28" s="144"/>
      <c r="H28" s="429"/>
      <c r="I28" s="429"/>
      <c r="J28" s="544"/>
    </row>
    <row r="29" spans="2:10" s="421" customFormat="1" x14ac:dyDescent="0.25">
      <c r="B29" s="543"/>
      <c r="C29" s="68"/>
      <c r="D29" s="68" t="s">
        <v>283</v>
      </c>
      <c r="E29" s="68"/>
      <c r="F29" s="956">
        <v>1</v>
      </c>
      <c r="G29" s="2089">
        <v>74517</v>
      </c>
      <c r="H29" s="957">
        <f t="shared" ref="H29:H36" si="1">F29*G29</f>
        <v>74517</v>
      </c>
      <c r="I29" s="958" t="s">
        <v>2146</v>
      </c>
      <c r="J29" s="544"/>
    </row>
    <row r="30" spans="2:10" s="421" customFormat="1" x14ac:dyDescent="0.25">
      <c r="B30" s="543"/>
      <c r="C30" s="68"/>
      <c r="D30" s="68" t="s">
        <v>284</v>
      </c>
      <c r="E30" s="68"/>
      <c r="F30" s="959"/>
      <c r="G30" s="2090"/>
      <c r="H30" s="960">
        <f t="shared" si="1"/>
        <v>0</v>
      </c>
      <c r="I30" s="961"/>
      <c r="J30" s="544"/>
    </row>
    <row r="31" spans="2:10" s="421" customFormat="1" x14ac:dyDescent="0.25">
      <c r="B31" s="543"/>
      <c r="C31" s="68"/>
      <c r="D31" s="68" t="s">
        <v>285</v>
      </c>
      <c r="E31" s="68"/>
      <c r="F31" s="959"/>
      <c r="G31" s="2090"/>
      <c r="H31" s="960">
        <f t="shared" si="1"/>
        <v>0</v>
      </c>
      <c r="I31" s="961"/>
      <c r="J31" s="544"/>
    </row>
    <row r="32" spans="2:10" s="421" customFormat="1" x14ac:dyDescent="0.25">
      <c r="B32" s="543"/>
      <c r="C32" s="68"/>
      <c r="D32" s="68" t="s">
        <v>286</v>
      </c>
      <c r="E32" s="68"/>
      <c r="F32" s="959"/>
      <c r="G32" s="2090"/>
      <c r="H32" s="960">
        <f t="shared" si="1"/>
        <v>0</v>
      </c>
      <c r="I32" s="961"/>
      <c r="J32" s="544"/>
    </row>
    <row r="33" spans="1:10" s="421" customFormat="1" x14ac:dyDescent="0.25">
      <c r="B33" s="543"/>
      <c r="C33" s="68"/>
      <c r="D33" s="68" t="s">
        <v>287</v>
      </c>
      <c r="E33" s="68"/>
      <c r="F33" s="959"/>
      <c r="G33" s="2090"/>
      <c r="H33" s="960">
        <f t="shared" si="1"/>
        <v>0</v>
      </c>
      <c r="I33" s="961"/>
      <c r="J33" s="544"/>
    </row>
    <row r="34" spans="1:10" s="421" customFormat="1" x14ac:dyDescent="0.25">
      <c r="B34" s="543"/>
      <c r="C34" s="68"/>
      <c r="D34" s="68" t="s">
        <v>288</v>
      </c>
      <c r="E34" s="68"/>
      <c r="F34" s="959"/>
      <c r="G34" s="2090"/>
      <c r="H34" s="960">
        <f t="shared" si="1"/>
        <v>0</v>
      </c>
      <c r="I34" s="961"/>
      <c r="J34" s="544"/>
    </row>
    <row r="35" spans="1:10" s="421" customFormat="1" x14ac:dyDescent="0.25">
      <c r="B35" s="543"/>
      <c r="C35" s="68"/>
      <c r="D35" s="68" t="s">
        <v>289</v>
      </c>
      <c r="E35" s="68"/>
      <c r="F35" s="959">
        <v>1</v>
      </c>
      <c r="G35" s="2090">
        <v>135177</v>
      </c>
      <c r="H35" s="960">
        <f t="shared" si="1"/>
        <v>135177</v>
      </c>
      <c r="I35" s="961" t="s">
        <v>2145</v>
      </c>
      <c r="J35" s="544"/>
    </row>
    <row r="36" spans="1:10" s="421" customFormat="1" ht="15.75" thickBot="1" x14ac:dyDescent="0.3">
      <c r="B36" s="543"/>
      <c r="C36" s="68"/>
      <c r="D36" s="68" t="s">
        <v>290</v>
      </c>
      <c r="E36" s="68"/>
      <c r="F36" s="965"/>
      <c r="G36" s="2092"/>
      <c r="H36" s="963">
        <f t="shared" si="1"/>
        <v>0</v>
      </c>
      <c r="I36" s="964"/>
      <c r="J36" s="544"/>
    </row>
    <row r="37" spans="1:10" s="421" customFormat="1" ht="15.75" thickBot="1" x14ac:dyDescent="0.3">
      <c r="B37" s="543"/>
      <c r="C37" s="68"/>
      <c r="D37" s="68"/>
      <c r="E37" s="68"/>
      <c r="F37" s="547"/>
      <c r="G37" s="549" t="s">
        <v>160</v>
      </c>
      <c r="H37" s="697">
        <f>SUM(H29:H36)</f>
        <v>209694</v>
      </c>
      <c r="I37" s="698"/>
      <c r="J37" s="544"/>
    </row>
    <row r="38" spans="1:10" s="421" customFormat="1" ht="3.75" customHeight="1" x14ac:dyDescent="0.25">
      <c r="B38" s="543"/>
      <c r="C38" s="68"/>
      <c r="D38" s="68"/>
      <c r="E38" s="68"/>
      <c r="F38" s="144"/>
      <c r="G38" s="144"/>
      <c r="H38" s="429"/>
      <c r="I38" s="429"/>
      <c r="J38" s="544"/>
    </row>
    <row r="39" spans="1:10" s="421" customFormat="1" ht="15.75" thickBot="1" x14ac:dyDescent="0.3">
      <c r="B39" s="543"/>
      <c r="C39" s="546" t="s">
        <v>291</v>
      </c>
      <c r="D39" s="546"/>
      <c r="E39" s="546"/>
      <c r="F39" s="144"/>
      <c r="G39" s="144"/>
      <c r="H39" s="429"/>
      <c r="I39" s="429"/>
      <c r="J39" s="544"/>
    </row>
    <row r="40" spans="1:10" s="421" customFormat="1" x14ac:dyDescent="0.25">
      <c r="B40" s="543"/>
      <c r="C40" s="68"/>
      <c r="D40" s="68" t="s">
        <v>292</v>
      </c>
      <c r="E40" s="68"/>
      <c r="F40" s="956">
        <v>1</v>
      </c>
      <c r="G40" s="2089">
        <v>201543</v>
      </c>
      <c r="H40" s="957">
        <f>F40*G40</f>
        <v>201543</v>
      </c>
      <c r="I40" s="958" t="s">
        <v>2144</v>
      </c>
      <c r="J40" s="544"/>
    </row>
    <row r="41" spans="1:10" s="421" customFormat="1" x14ac:dyDescent="0.25">
      <c r="B41" s="543"/>
      <c r="C41" s="68"/>
      <c r="D41" s="68" t="s">
        <v>293</v>
      </c>
      <c r="E41" s="68"/>
      <c r="F41" s="966">
        <v>1</v>
      </c>
      <c r="G41" s="2093">
        <v>84325</v>
      </c>
      <c r="H41" s="967">
        <f>F41*G41</f>
        <v>84325</v>
      </c>
      <c r="I41" s="961" t="s">
        <v>2143</v>
      </c>
      <c r="J41" s="544"/>
    </row>
    <row r="42" spans="1:10" x14ac:dyDescent="0.25">
      <c r="A42" s="421"/>
      <c r="B42" s="543"/>
      <c r="C42" s="68"/>
      <c r="D42" s="68" t="s">
        <v>294</v>
      </c>
      <c r="E42" s="68"/>
      <c r="F42" s="129"/>
      <c r="G42" s="128"/>
      <c r="H42" s="128"/>
      <c r="I42" s="970"/>
      <c r="J42" s="544"/>
    </row>
    <row r="43" spans="1:10" s="421" customFormat="1" x14ac:dyDescent="0.25">
      <c r="B43" s="543"/>
      <c r="C43" s="68"/>
      <c r="D43" s="2338" t="s">
        <v>539</v>
      </c>
      <c r="E43" s="2338"/>
      <c r="F43" s="968"/>
      <c r="G43" s="2094"/>
      <c r="H43" s="969">
        <f>F43*G43</f>
        <v>0</v>
      </c>
      <c r="I43" s="961"/>
      <c r="J43" s="544"/>
    </row>
    <row r="44" spans="1:10" s="421" customFormat="1" ht="15.75" thickBot="1" x14ac:dyDescent="0.3">
      <c r="B44" s="543"/>
      <c r="C44" s="68"/>
      <c r="D44" s="2338" t="s">
        <v>540</v>
      </c>
      <c r="E44" s="2338"/>
      <c r="F44" s="965">
        <v>1</v>
      </c>
      <c r="G44" s="2092">
        <v>363000</v>
      </c>
      <c r="H44" s="963">
        <f>F44*G44</f>
        <v>363000</v>
      </c>
      <c r="I44" s="964" t="s">
        <v>2149</v>
      </c>
      <c r="J44" s="544"/>
    </row>
    <row r="45" spans="1:10" s="421" customFormat="1" ht="15.75" thickBot="1" x14ac:dyDescent="0.3">
      <c r="B45" s="543"/>
      <c r="C45" s="68"/>
      <c r="D45" s="68"/>
      <c r="E45" s="68"/>
      <c r="F45" s="547"/>
      <c r="G45" s="549" t="s">
        <v>160</v>
      </c>
      <c r="H45" s="697">
        <f>SUM(H40:H41)+SUM(H43:H44)</f>
        <v>648868</v>
      </c>
      <c r="I45" s="698"/>
      <c r="J45" s="544"/>
    </row>
    <row r="46" spans="1:10" s="421" customFormat="1" ht="3.75" customHeight="1" x14ac:dyDescent="0.25">
      <c r="B46" s="543"/>
      <c r="C46" s="68"/>
      <c r="D46" s="68"/>
      <c r="E46" s="68"/>
      <c r="F46" s="144"/>
      <c r="G46" s="144"/>
      <c r="H46" s="429"/>
      <c r="I46" s="429"/>
      <c r="J46" s="544"/>
    </row>
    <row r="47" spans="1:10" s="421" customFormat="1" ht="15.75" thickBot="1" x14ac:dyDescent="0.3">
      <c r="B47" s="543"/>
      <c r="C47" s="546" t="s">
        <v>295</v>
      </c>
      <c r="D47" s="546"/>
      <c r="E47" s="546"/>
      <c r="F47" s="144"/>
      <c r="G47" s="144"/>
      <c r="H47" s="429"/>
      <c r="I47" s="429"/>
      <c r="J47" s="544"/>
    </row>
    <row r="48" spans="1:10" s="421" customFormat="1" x14ac:dyDescent="0.25">
      <c r="B48" s="543"/>
      <c r="C48" s="68"/>
      <c r="D48" s="68" t="s">
        <v>296</v>
      </c>
      <c r="E48" s="68"/>
      <c r="F48" s="956"/>
      <c r="G48" s="2089"/>
      <c r="H48" s="957">
        <f>F48*G48</f>
        <v>0</v>
      </c>
      <c r="I48" s="958"/>
      <c r="J48" s="544"/>
    </row>
    <row r="49" spans="2:15" s="421" customFormat="1" x14ac:dyDescent="0.25">
      <c r="B49" s="543"/>
      <c r="C49" s="68"/>
      <c r="D49" s="68" t="s">
        <v>297</v>
      </c>
      <c r="E49" s="68"/>
      <c r="F49" s="959"/>
      <c r="G49" s="2090"/>
      <c r="H49" s="960">
        <f>F49*G49</f>
        <v>0</v>
      </c>
      <c r="I49" s="961"/>
      <c r="J49" s="544"/>
    </row>
    <row r="50" spans="2:15" s="421" customFormat="1" x14ac:dyDescent="0.25">
      <c r="B50" s="543"/>
      <c r="C50" s="68"/>
      <c r="D50" s="68" t="s">
        <v>277</v>
      </c>
      <c r="E50" s="68"/>
      <c r="F50" s="959"/>
      <c r="G50" s="2090"/>
      <c r="H50" s="960">
        <f>F50*G50</f>
        <v>0</v>
      </c>
      <c r="I50" s="961"/>
      <c r="J50" s="544"/>
    </row>
    <row r="51" spans="2:15" s="421" customFormat="1" ht="15.75" thickBot="1" x14ac:dyDescent="0.3">
      <c r="B51" s="543"/>
      <c r="C51" s="68"/>
      <c r="D51" s="68" t="s">
        <v>298</v>
      </c>
      <c r="E51" s="68"/>
      <c r="F51" s="962"/>
      <c r="G51" s="2091"/>
      <c r="H51" s="963">
        <f>F51*G51</f>
        <v>0</v>
      </c>
      <c r="I51" s="964"/>
      <c r="J51" s="544"/>
    </row>
    <row r="52" spans="2:15" s="421" customFormat="1" ht="15.75" thickBot="1" x14ac:dyDescent="0.3">
      <c r="B52" s="543"/>
      <c r="C52" s="68"/>
      <c r="D52" s="68"/>
      <c r="E52" s="68"/>
      <c r="F52" s="547"/>
      <c r="G52" s="549" t="s">
        <v>160</v>
      </c>
      <c r="H52" s="697">
        <f>SUM(H48:H51)</f>
        <v>0</v>
      </c>
      <c r="I52" s="698"/>
      <c r="J52" s="544"/>
    </row>
    <row r="53" spans="2:15" s="421" customFormat="1" ht="3.75" customHeight="1" x14ac:dyDescent="0.25">
      <c r="B53" s="543"/>
      <c r="C53" s="68"/>
      <c r="D53" s="68"/>
      <c r="E53" s="68"/>
      <c r="F53" s="144"/>
      <c r="G53" s="144"/>
      <c r="H53" s="429"/>
      <c r="I53" s="429"/>
      <c r="J53" s="544"/>
    </row>
    <row r="54" spans="2:15" s="421" customFormat="1" ht="15.75" thickBot="1" x14ac:dyDescent="0.3">
      <c r="B54" s="543"/>
      <c r="C54" s="546" t="s">
        <v>233</v>
      </c>
      <c r="D54" s="546"/>
      <c r="E54" s="546"/>
      <c r="F54" s="550"/>
      <c r="G54" s="550"/>
      <c r="H54" s="701"/>
      <c r="I54" s="347"/>
      <c r="J54" s="544"/>
    </row>
    <row r="55" spans="2:15" s="421" customFormat="1" ht="15.75" thickBot="1" x14ac:dyDescent="0.3">
      <c r="B55" s="543"/>
      <c r="C55" s="68"/>
      <c r="D55" s="68"/>
      <c r="E55" s="68"/>
      <c r="F55" s="539">
        <v>1</v>
      </c>
      <c r="G55" s="540">
        <v>7235</v>
      </c>
      <c r="H55" s="702">
        <f>F55*G55</f>
        <v>7235</v>
      </c>
      <c r="I55" s="696" t="s">
        <v>2142</v>
      </c>
      <c r="J55" s="544"/>
    </row>
    <row r="56" spans="2:15" s="421" customFormat="1" ht="15.75" thickBot="1" x14ac:dyDescent="0.3">
      <c r="B56" s="543"/>
      <c r="C56" s="68"/>
      <c r="D56" s="68"/>
      <c r="E56" s="68"/>
      <c r="F56" s="547"/>
      <c r="G56" s="549" t="s">
        <v>160</v>
      </c>
      <c r="H56" s="697">
        <f>SUM(H55)</f>
        <v>7235</v>
      </c>
      <c r="I56" s="698"/>
      <c r="J56" s="544"/>
    </row>
    <row r="57" spans="2:15" s="421" customFormat="1" ht="7.5" customHeight="1" thickBot="1" x14ac:dyDescent="0.3">
      <c r="B57" s="543"/>
      <c r="C57" s="68"/>
      <c r="D57" s="68"/>
      <c r="E57" s="68"/>
      <c r="F57" s="144"/>
      <c r="G57" s="144"/>
      <c r="H57" s="144"/>
      <c r="I57" s="144"/>
      <c r="J57" s="544"/>
    </row>
    <row r="58" spans="2:15" ht="15.75" customHeight="1" thickBot="1" x14ac:dyDescent="0.3">
      <c r="B58" s="551"/>
      <c r="C58" s="708" t="s">
        <v>55</v>
      </c>
      <c r="D58" s="552"/>
      <c r="E58" s="553"/>
      <c r="F58" s="554"/>
      <c r="G58" s="555"/>
      <c r="H58" s="556">
        <f>H15+H26+H37+H45+H52+H56</f>
        <v>890847</v>
      </c>
      <c r="I58" s="557" t="str">
        <f>IF(H58&lt;&gt;('6A'!J100+'6A'!J101),"WARNING: Does not match Form 6A","")</f>
        <v/>
      </c>
      <c r="J58" s="544"/>
    </row>
    <row r="59" spans="2:15" s="421" customFormat="1" ht="9" customHeight="1" thickBot="1" x14ac:dyDescent="0.3">
      <c r="B59" s="558"/>
      <c r="C59" s="559"/>
      <c r="D59" s="559"/>
      <c r="E59" s="559"/>
      <c r="F59" s="559"/>
      <c r="G59" s="559"/>
      <c r="H59" s="560" t="s">
        <v>34</v>
      </c>
      <c r="I59" s="559"/>
      <c r="J59" s="491"/>
    </row>
    <row r="60" spans="2:15" x14ac:dyDescent="0.25">
      <c r="I60" s="2339" t="str">
        <f>IF(I58="WARNING: Does not match Form 6A","Ensure that the total of the Permits, Fees &amp; Hookups and Impact/Mitigation Fees cells on Form 6A matches the total here.","")</f>
        <v/>
      </c>
    </row>
    <row r="61" spans="2:15" x14ac:dyDescent="0.25">
      <c r="I61" s="2340"/>
    </row>
    <row r="62" spans="2:15" x14ac:dyDescent="0.25">
      <c r="I62" s="2340"/>
      <c r="L62" s="1102"/>
      <c r="M62" s="1102"/>
      <c r="N62" s="1102"/>
      <c r="O62" s="1102"/>
    </row>
    <row r="63" spans="2:15" ht="15" customHeight="1" x14ac:dyDescent="0.25">
      <c r="I63" s="2340"/>
      <c r="J63" s="1102"/>
      <c r="K63" s="1102"/>
      <c r="L63" s="1102"/>
    </row>
    <row r="64" spans="2:15" x14ac:dyDescent="0.25">
      <c r="H64" s="1102"/>
      <c r="I64" s="1102"/>
      <c r="J64" s="1102"/>
      <c r="K64" s="1102"/>
      <c r="L64" s="1102"/>
    </row>
    <row r="65" spans="8:12" x14ac:dyDescent="0.25">
      <c r="H65" s="1102"/>
      <c r="I65" s="1102"/>
      <c r="J65" s="1102"/>
      <c r="K65" s="1102"/>
      <c r="L65" s="1102"/>
    </row>
    <row r="66" spans="8:12" x14ac:dyDescent="0.25">
      <c r="H66" s="1102"/>
      <c r="I66" s="1102"/>
      <c r="J66" s="1102"/>
      <c r="K66" s="1102"/>
      <c r="L66" s="1102"/>
    </row>
  </sheetData>
  <sheetProtection algorithmName="SHA-512" hashValue="aCZBo/GFw7pe9w91offyC8Dxh+mcgmdIaclyrRiZ6FS9zcrWDFtu7ZW1QlGGOQ7CF+xn0tasZjWwwRpXkApomg==" saltValue="PSCgviB8bkQ+uXnTwhVXhA==" spinCount="100000" sheet="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2016
Version: 1.0</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R51"/>
  <sheetViews>
    <sheetView showGridLines="0" topLeftCell="A31" zoomScaleNormal="100" workbookViewId="0">
      <selection activeCell="J20" sqref="J20"/>
    </sheetView>
  </sheetViews>
  <sheetFormatPr defaultRowHeight="15" x14ac:dyDescent="0.25"/>
  <cols>
    <col min="1" max="2" width="1.7109375" style="403" customWidth="1"/>
    <col min="3" max="3" width="24.5703125" style="403" bestFit="1" customWidth="1"/>
    <col min="4" max="4" width="22.28515625" style="403" bestFit="1" customWidth="1"/>
    <col min="5" max="5" width="15.42578125" style="403" bestFit="1" customWidth="1"/>
    <col min="6" max="6" width="17" style="403" bestFit="1" customWidth="1"/>
    <col min="7" max="7" width="9.140625" style="403"/>
    <col min="8" max="9" width="10.42578125" style="403" bestFit="1" customWidth="1"/>
    <col min="10" max="10" width="6.85546875" style="403" bestFit="1" customWidth="1"/>
    <col min="11" max="11" width="11.28515625" style="403" bestFit="1" customWidth="1"/>
    <col min="12" max="12" width="9" style="403" bestFit="1" customWidth="1"/>
    <col min="13" max="13" width="11.28515625" style="403" bestFit="1" customWidth="1"/>
    <col min="14" max="14" width="9.7109375" style="403" bestFit="1" customWidth="1"/>
    <col min="15" max="15" width="10.140625" style="403" bestFit="1" customWidth="1"/>
    <col min="16" max="16" width="10" style="403" bestFit="1" customWidth="1"/>
    <col min="17" max="17" width="1.7109375" style="403" customWidth="1"/>
    <col min="18" max="16384" width="9.140625" style="403"/>
  </cols>
  <sheetData>
    <row r="8" spans="2:17" ht="9" customHeight="1" thickBot="1" x14ac:dyDescent="0.3"/>
    <row r="9" spans="2:17" ht="9" customHeight="1" x14ac:dyDescent="0.25">
      <c r="B9" s="562"/>
      <c r="C9" s="563"/>
      <c r="D9" s="563"/>
      <c r="E9" s="564"/>
      <c r="F9" s="564"/>
      <c r="G9" s="564"/>
      <c r="H9" s="563"/>
      <c r="I9" s="563"/>
      <c r="J9" s="563"/>
      <c r="K9" s="563"/>
      <c r="L9" s="563"/>
      <c r="M9" s="563"/>
      <c r="N9" s="563"/>
      <c r="O9" s="563"/>
      <c r="P9" s="563"/>
      <c r="Q9" s="565"/>
    </row>
    <row r="10" spans="2:17" ht="18.75" x14ac:dyDescent="0.3">
      <c r="B10" s="566"/>
      <c r="C10" s="2270" t="s">
        <v>536</v>
      </c>
      <c r="D10" s="2270"/>
      <c r="E10" s="2270"/>
      <c r="F10" s="2270"/>
      <c r="G10" s="2270"/>
      <c r="H10" s="2270"/>
      <c r="I10" s="2270"/>
      <c r="J10" s="2270"/>
      <c r="K10" s="2270"/>
      <c r="L10" s="2270"/>
      <c r="M10" s="2270"/>
      <c r="N10" s="2270"/>
      <c r="O10" s="2270"/>
      <c r="P10" s="2270"/>
      <c r="Q10" s="567"/>
    </row>
    <row r="11" spans="2:17" x14ac:dyDescent="0.25">
      <c r="B11" s="566"/>
      <c r="C11" s="1957"/>
      <c r="D11" s="1957"/>
      <c r="E11" s="371"/>
      <c r="F11" s="371"/>
      <c r="G11" s="371"/>
      <c r="H11" s="1957"/>
      <c r="I11" s="1957"/>
      <c r="J11" s="1957"/>
      <c r="K11" s="1957"/>
      <c r="L11" s="1957"/>
      <c r="M11" s="1957"/>
      <c r="N11" s="1957"/>
      <c r="O11" s="1957"/>
      <c r="P11" s="1957"/>
      <c r="Q11" s="567"/>
    </row>
    <row r="12" spans="2:17" ht="15.75" thickBot="1" x14ac:dyDescent="0.3">
      <c r="B12" s="566"/>
      <c r="C12" s="2168" t="str">
        <f>IF('1'!G5="","Enter Project Name on Form 1",(CONCATENATE("Project Name: ",'1'!G5)))</f>
        <v>Project Name: Filipino Community Village</v>
      </c>
      <c r="D12" s="2259"/>
      <c r="E12" s="2168"/>
      <c r="F12" s="2168"/>
      <c r="G12" s="2168"/>
      <c r="H12" s="2168"/>
      <c r="I12" s="2168"/>
      <c r="J12" s="2168"/>
      <c r="K12" s="2348"/>
      <c r="L12" s="2168"/>
      <c r="M12" s="2168"/>
      <c r="N12" s="1957"/>
      <c r="O12" s="1957"/>
      <c r="P12" s="1957"/>
      <c r="Q12" s="567"/>
    </row>
    <row r="13" spans="2:17" ht="22.5" customHeight="1" x14ac:dyDescent="0.25">
      <c r="B13" s="566"/>
      <c r="C13" s="1957"/>
      <c r="D13" s="1957"/>
      <c r="E13" s="371"/>
      <c r="F13" s="371"/>
      <c r="G13" s="371"/>
      <c r="H13" s="1957"/>
      <c r="I13" s="1957"/>
      <c r="J13" s="1957"/>
      <c r="K13" s="1957"/>
      <c r="L13" s="1957"/>
      <c r="M13" s="1957"/>
      <c r="N13" s="1957"/>
      <c r="O13" s="1957"/>
      <c r="P13" s="1957"/>
      <c r="Q13" s="567"/>
    </row>
    <row r="14" spans="2:17" ht="15.75" thickBot="1" x14ac:dyDescent="0.3">
      <c r="B14" s="566"/>
      <c r="C14" s="2349" t="s">
        <v>299</v>
      </c>
      <c r="D14" s="2350"/>
      <c r="E14" s="2349"/>
      <c r="F14" s="2349"/>
      <c r="G14" s="2349"/>
      <c r="H14" s="2349"/>
      <c r="I14" s="2349"/>
      <c r="J14" s="2349"/>
      <c r="K14" s="2351"/>
      <c r="L14" s="2349"/>
      <c r="M14" s="2349"/>
      <c r="N14" s="1957"/>
      <c r="O14" s="500"/>
      <c r="P14" s="500"/>
      <c r="Q14" s="568"/>
    </row>
    <row r="15" spans="2:17" ht="27" thickBot="1" x14ac:dyDescent="0.3">
      <c r="B15" s="569"/>
      <c r="C15" s="1084" t="s">
        <v>641</v>
      </c>
      <c r="D15" s="759" t="s">
        <v>642</v>
      </c>
      <c r="E15" s="570" t="s">
        <v>301</v>
      </c>
      <c r="F15" s="1967" t="s">
        <v>302</v>
      </c>
      <c r="G15" s="571" t="s">
        <v>303</v>
      </c>
      <c r="H15" s="571" t="s">
        <v>510</v>
      </c>
      <c r="I15" s="572" t="s">
        <v>304</v>
      </c>
      <c r="J15" s="2352" t="s">
        <v>305</v>
      </c>
      <c r="K15" s="2353"/>
      <c r="L15" s="2353"/>
      <c r="M15" s="2354"/>
      <c r="N15" s="1957"/>
      <c r="O15" s="573"/>
      <c r="P15" s="573"/>
      <c r="Q15" s="574"/>
    </row>
    <row r="16" spans="2:17" x14ac:dyDescent="0.25">
      <c r="B16" s="566"/>
      <c r="C16" s="760" t="s">
        <v>2074</v>
      </c>
      <c r="D16" s="1082" t="s">
        <v>570</v>
      </c>
      <c r="E16" s="761">
        <v>0</v>
      </c>
      <c r="F16" s="762">
        <v>85000</v>
      </c>
      <c r="G16" s="2134">
        <v>0</v>
      </c>
      <c r="H16" s="763" t="s">
        <v>2075</v>
      </c>
      <c r="I16" s="764" t="s">
        <v>1863</v>
      </c>
      <c r="J16" s="2355" t="s">
        <v>2076</v>
      </c>
      <c r="K16" s="2356"/>
      <c r="L16" s="2356"/>
      <c r="M16" s="2357"/>
      <c r="N16" s="1957"/>
      <c r="O16" s="1957"/>
      <c r="P16" s="1957"/>
      <c r="Q16" s="567"/>
    </row>
    <row r="17" spans="2:18" x14ac:dyDescent="0.25">
      <c r="B17" s="566"/>
      <c r="C17" s="765" t="s">
        <v>2077</v>
      </c>
      <c r="D17" s="1083" t="s">
        <v>626</v>
      </c>
      <c r="E17" s="766">
        <v>1000000</v>
      </c>
      <c r="F17" s="767">
        <v>0</v>
      </c>
      <c r="G17" s="2135">
        <v>0</v>
      </c>
      <c r="H17" s="768" t="s">
        <v>2078</v>
      </c>
      <c r="I17" s="769" t="s">
        <v>1863</v>
      </c>
      <c r="J17" s="2341" t="s">
        <v>2079</v>
      </c>
      <c r="K17" s="2342"/>
      <c r="L17" s="2342"/>
      <c r="M17" s="2343"/>
      <c r="N17" s="1957"/>
      <c r="O17" s="1957"/>
      <c r="P17" s="1957"/>
      <c r="Q17" s="567"/>
    </row>
    <row r="18" spans="2:18" x14ac:dyDescent="0.25">
      <c r="B18" s="566"/>
      <c r="C18" s="765" t="s">
        <v>2090</v>
      </c>
      <c r="D18" s="1083" t="s">
        <v>627</v>
      </c>
      <c r="E18" s="766">
        <v>7316226</v>
      </c>
      <c r="F18" s="767">
        <v>0</v>
      </c>
      <c r="G18" s="2135">
        <v>0.04</v>
      </c>
      <c r="H18" s="768" t="s">
        <v>2078</v>
      </c>
      <c r="I18" s="769" t="s">
        <v>1863</v>
      </c>
      <c r="J18" s="2341" t="s">
        <v>2091</v>
      </c>
      <c r="K18" s="2342"/>
      <c r="L18" s="2342"/>
      <c r="M18" s="2343"/>
      <c r="N18" s="1957"/>
      <c r="O18" s="1957"/>
      <c r="P18" s="1957"/>
      <c r="Q18" s="567"/>
    </row>
    <row r="19" spans="2:18" ht="7.5" customHeight="1" thickBot="1" x14ac:dyDescent="0.3">
      <c r="B19" s="566"/>
      <c r="C19" s="1549"/>
      <c r="D19" s="1550"/>
      <c r="E19" s="1551"/>
      <c r="F19" s="1552"/>
      <c r="G19" s="1553"/>
      <c r="H19" s="1554"/>
      <c r="I19" s="1555"/>
      <c r="J19" s="2344"/>
      <c r="K19" s="2345"/>
      <c r="L19" s="2346"/>
      <c r="M19" s="2347"/>
      <c r="N19" s="1957"/>
      <c r="O19" s="1957"/>
      <c r="P19" s="1957"/>
      <c r="Q19" s="567"/>
    </row>
    <row r="20" spans="2:18" ht="15.75" thickBot="1" x14ac:dyDescent="0.3">
      <c r="B20" s="566"/>
      <c r="C20" s="384"/>
      <c r="D20" s="735" t="s">
        <v>306</v>
      </c>
      <c r="E20" s="575">
        <f>SUM(E16:E19)</f>
        <v>8316226</v>
      </c>
      <c r="F20" s="576">
        <f>SUM(F16:F19)</f>
        <v>85000</v>
      </c>
      <c r="G20" s="193"/>
      <c r="H20" s="1957"/>
      <c r="I20" s="1957"/>
      <c r="J20" s="1957"/>
      <c r="K20" s="1957"/>
      <c r="L20" s="1957"/>
      <c r="M20" s="1957"/>
      <c r="N20" s="1957"/>
      <c r="O20" s="1957"/>
      <c r="P20" s="1957"/>
      <c r="Q20" s="567"/>
    </row>
    <row r="21" spans="2:18" ht="3.75" customHeight="1" thickBot="1" x14ac:dyDescent="0.3">
      <c r="B21" s="566"/>
      <c r="C21" s="194"/>
      <c r="D21" s="194"/>
      <c r="E21" s="195"/>
      <c r="F21" s="195"/>
      <c r="G21" s="193"/>
      <c r="H21" s="1957"/>
      <c r="I21" s="1957"/>
      <c r="J21" s="1957"/>
      <c r="K21" s="1957"/>
      <c r="L21" s="1957"/>
      <c r="M21" s="1957"/>
      <c r="N21" s="1957"/>
      <c r="O21" s="1957"/>
      <c r="P21" s="1957"/>
      <c r="Q21" s="567"/>
    </row>
    <row r="22" spans="2:18" ht="15.75" thickBot="1" x14ac:dyDescent="0.3">
      <c r="B22" s="566"/>
      <c r="C22" s="578" t="s">
        <v>307</v>
      </c>
      <c r="D22" s="578"/>
      <c r="E22" s="384"/>
      <c r="F22" s="199">
        <f>E20+F20</f>
        <v>8401226</v>
      </c>
      <c r="G22" s="371"/>
      <c r="H22" s="1957"/>
      <c r="I22" s="1957"/>
      <c r="J22" s="1957"/>
      <c r="K22" s="1957"/>
      <c r="L22" s="1957"/>
      <c r="M22" s="1957"/>
      <c r="N22" s="1957"/>
      <c r="O22" s="1957"/>
      <c r="P22" s="1957"/>
      <c r="Q22" s="567"/>
    </row>
    <row r="23" spans="2:18" ht="7.5" customHeight="1" x14ac:dyDescent="0.25">
      <c r="B23" s="566"/>
      <c r="C23" s="1957"/>
      <c r="D23" s="1957"/>
      <c r="E23" s="371"/>
      <c r="F23" s="371"/>
      <c r="G23" s="371"/>
      <c r="H23" s="1957"/>
      <c r="I23" s="1957"/>
      <c r="J23" s="1957"/>
      <c r="K23" s="1957"/>
      <c r="L23" s="1957"/>
      <c r="M23" s="1957"/>
      <c r="N23" s="1957"/>
      <c r="O23" s="1957"/>
      <c r="P23" s="1957"/>
      <c r="Q23" s="567"/>
    </row>
    <row r="24" spans="2:18" ht="15.75" thickBot="1" x14ac:dyDescent="0.3">
      <c r="B24" s="566"/>
      <c r="C24" s="2168" t="s">
        <v>308</v>
      </c>
      <c r="D24" s="2259"/>
      <c r="E24" s="2168"/>
      <c r="F24" s="2168"/>
      <c r="G24" s="2168"/>
      <c r="H24" s="2168"/>
      <c r="I24" s="2168"/>
      <c r="J24" s="2168"/>
      <c r="K24" s="2348"/>
      <c r="L24" s="2168"/>
      <c r="M24" s="2168"/>
      <c r="N24" s="2168"/>
      <c r="O24" s="2168"/>
      <c r="P24" s="2168"/>
      <c r="Q24" s="568"/>
    </row>
    <row r="25" spans="2:18" ht="27" thickBot="1" x14ac:dyDescent="0.3">
      <c r="B25" s="569"/>
      <c r="C25" s="1084" t="s">
        <v>638</v>
      </c>
      <c r="D25" s="759" t="s">
        <v>640</v>
      </c>
      <c r="E25" s="1967" t="s">
        <v>301</v>
      </c>
      <c r="F25" s="1967" t="s">
        <v>302</v>
      </c>
      <c r="G25" s="1967" t="s">
        <v>309</v>
      </c>
      <c r="H25" s="572" t="s">
        <v>310</v>
      </c>
      <c r="I25" s="572" t="s">
        <v>311</v>
      </c>
      <c r="J25" s="1967" t="s">
        <v>552</v>
      </c>
      <c r="K25" s="759" t="s">
        <v>1511</v>
      </c>
      <c r="L25" s="759" t="s">
        <v>1510</v>
      </c>
      <c r="M25" s="571" t="s">
        <v>303</v>
      </c>
      <c r="N25" s="571" t="s">
        <v>1512</v>
      </c>
      <c r="O25" s="572" t="s">
        <v>304</v>
      </c>
      <c r="P25" s="1968" t="s">
        <v>509</v>
      </c>
      <c r="Q25" s="574"/>
    </row>
    <row r="26" spans="2:18" x14ac:dyDescent="0.25">
      <c r="B26" s="566"/>
      <c r="C26" s="770" t="s">
        <v>2080</v>
      </c>
      <c r="D26" s="783" t="s">
        <v>624</v>
      </c>
      <c r="E26" s="771">
        <v>9542254</v>
      </c>
      <c r="F26" s="762">
        <v>0</v>
      </c>
      <c r="G26" s="772" t="s">
        <v>569</v>
      </c>
      <c r="H26" s="2071">
        <v>42990</v>
      </c>
      <c r="I26" s="1289">
        <v>43084</v>
      </c>
      <c r="J26" s="1704" t="s">
        <v>551</v>
      </c>
      <c r="K26" s="1708" t="s">
        <v>1505</v>
      </c>
      <c r="L26" s="773" t="s">
        <v>1515</v>
      </c>
      <c r="M26" s="2130">
        <v>0.01</v>
      </c>
      <c r="N26" s="1969" t="s">
        <v>2081</v>
      </c>
      <c r="O26" s="1969" t="s">
        <v>1863</v>
      </c>
      <c r="P26" s="774" t="s">
        <v>2082</v>
      </c>
      <c r="Q26" s="567"/>
      <c r="R26" s="561"/>
    </row>
    <row r="27" spans="2:18" x14ac:dyDescent="0.25">
      <c r="B27" s="566"/>
      <c r="C27" s="775" t="s">
        <v>2083</v>
      </c>
      <c r="D27" s="786" t="s">
        <v>1133</v>
      </c>
      <c r="E27" s="776">
        <v>2000000</v>
      </c>
      <c r="F27" s="767">
        <v>0</v>
      </c>
      <c r="G27" s="777" t="s">
        <v>569</v>
      </c>
      <c r="H27" s="2072">
        <v>43017</v>
      </c>
      <c r="I27" s="2073">
        <v>43084</v>
      </c>
      <c r="J27" s="1705" t="s">
        <v>551</v>
      </c>
      <c r="K27" s="1709" t="s">
        <v>1505</v>
      </c>
      <c r="L27" s="779" t="s">
        <v>1515</v>
      </c>
      <c r="M27" s="2129">
        <v>0.01</v>
      </c>
      <c r="N27" s="1964" t="s">
        <v>2081</v>
      </c>
      <c r="O27" s="1964" t="s">
        <v>1863</v>
      </c>
      <c r="P27" s="780" t="s">
        <v>2082</v>
      </c>
      <c r="Q27" s="567"/>
    </row>
    <row r="28" spans="2:18" x14ac:dyDescent="0.25">
      <c r="B28" s="566"/>
      <c r="C28" s="775" t="s">
        <v>2084</v>
      </c>
      <c r="D28" s="786" t="s">
        <v>570</v>
      </c>
      <c r="E28" s="776">
        <v>3683774</v>
      </c>
      <c r="F28" s="767">
        <v>0</v>
      </c>
      <c r="G28" s="777" t="s">
        <v>570</v>
      </c>
      <c r="H28" s="2072">
        <v>43160</v>
      </c>
      <c r="I28" s="2073">
        <v>43252</v>
      </c>
      <c r="J28" s="1705" t="s">
        <v>551</v>
      </c>
      <c r="K28" s="1709" t="s">
        <v>1507</v>
      </c>
      <c r="L28" s="779" t="s">
        <v>1514</v>
      </c>
      <c r="M28" s="2129">
        <v>4.7500000000000001E-2</v>
      </c>
      <c r="N28" s="1964">
        <v>15</v>
      </c>
      <c r="O28" s="1964">
        <v>35</v>
      </c>
      <c r="P28" s="780" t="s">
        <v>2085</v>
      </c>
      <c r="Q28" s="567"/>
    </row>
    <row r="29" spans="2:18" x14ac:dyDescent="0.25">
      <c r="B29" s="566"/>
      <c r="C29" s="775"/>
      <c r="D29" s="786"/>
      <c r="E29" s="776"/>
      <c r="F29" s="767"/>
      <c r="G29" s="777"/>
      <c r="H29" s="2072"/>
      <c r="I29" s="2073"/>
      <c r="J29" s="1705"/>
      <c r="K29" s="1709"/>
      <c r="L29" s="779"/>
      <c r="M29" s="2129"/>
      <c r="N29" s="2066"/>
      <c r="O29" s="2066"/>
      <c r="P29" s="780"/>
      <c r="Q29" s="567"/>
    </row>
    <row r="30" spans="2:18" x14ac:dyDescent="0.25">
      <c r="B30" s="566"/>
      <c r="C30" s="775" t="s">
        <v>2086</v>
      </c>
      <c r="D30" s="786" t="s">
        <v>626</v>
      </c>
      <c r="E30" s="776">
        <v>0</v>
      </c>
      <c r="F30" s="767">
        <v>1165415</v>
      </c>
      <c r="G30" s="777" t="s">
        <v>570</v>
      </c>
      <c r="H30" s="2072">
        <v>42979</v>
      </c>
      <c r="I30" s="2073">
        <v>42979</v>
      </c>
      <c r="J30" s="1705" t="s">
        <v>551</v>
      </c>
      <c r="K30" s="1709" t="s">
        <v>656</v>
      </c>
      <c r="L30" s="779" t="s">
        <v>1515</v>
      </c>
      <c r="M30" s="2129">
        <v>0</v>
      </c>
      <c r="N30" s="1964">
        <v>15</v>
      </c>
      <c r="O30" s="1964" t="s">
        <v>1863</v>
      </c>
      <c r="P30" s="780" t="s">
        <v>2087</v>
      </c>
      <c r="Q30" s="567"/>
    </row>
    <row r="31" spans="2:18" x14ac:dyDescent="0.25">
      <c r="B31" s="566"/>
      <c r="C31" s="775"/>
      <c r="D31" s="786"/>
      <c r="E31" s="776">
        <v>0</v>
      </c>
      <c r="F31" s="767">
        <v>0</v>
      </c>
      <c r="G31" s="777"/>
      <c r="H31" s="2072"/>
      <c r="I31" s="2073"/>
      <c r="J31" s="1705"/>
      <c r="K31" s="1709"/>
      <c r="L31" s="779"/>
      <c r="M31" s="1296"/>
      <c r="N31" s="1964"/>
      <c r="O31" s="1964"/>
      <c r="P31" s="780"/>
      <c r="Q31" s="567"/>
    </row>
    <row r="32" spans="2:18" ht="7.5" customHeight="1" thickBot="1" x14ac:dyDescent="0.3">
      <c r="B32" s="566"/>
      <c r="C32" s="1556"/>
      <c r="D32" s="1557"/>
      <c r="E32" s="1558"/>
      <c r="F32" s="1552"/>
      <c r="G32" s="1559"/>
      <c r="H32" s="1965"/>
      <c r="I32" s="1560"/>
      <c r="J32" s="1706"/>
      <c r="K32" s="1710"/>
      <c r="L32" s="1966"/>
      <c r="M32" s="1561"/>
      <c r="N32" s="1965"/>
      <c r="O32" s="1965"/>
      <c r="P32" s="1562"/>
      <c r="Q32" s="567"/>
    </row>
    <row r="33" spans="2:17" ht="15.75" thickBot="1" x14ac:dyDescent="0.3">
      <c r="B33" s="566"/>
      <c r="C33" s="384"/>
      <c r="D33" s="735" t="s">
        <v>313</v>
      </c>
      <c r="E33" s="197">
        <f>SUM(E26:E32)</f>
        <v>15226028</v>
      </c>
      <c r="F33" s="198">
        <f>SUM(F26:F32)</f>
        <v>1165415</v>
      </c>
      <c r="G33" s="579"/>
      <c r="H33" s="580"/>
      <c r="I33" s="736"/>
      <c r="J33" s="1957"/>
      <c r="K33" s="1957"/>
      <c r="L33" s="1957"/>
      <c r="M33" s="1957"/>
      <c r="N33" s="1957"/>
      <c r="O33" s="736"/>
      <c r="P33" s="736"/>
      <c r="Q33" s="581"/>
    </row>
    <row r="34" spans="2:17" ht="3.75" customHeight="1" thickBot="1" x14ac:dyDescent="0.3">
      <c r="B34" s="566"/>
      <c r="C34" s="194"/>
      <c r="D34" s="194"/>
      <c r="E34" s="195"/>
      <c r="F34" s="195"/>
      <c r="G34" s="193"/>
      <c r="H34" s="582"/>
      <c r="I34" s="736"/>
      <c r="J34" s="1957"/>
      <c r="K34" s="1957"/>
      <c r="L34" s="1957"/>
      <c r="M34" s="1957"/>
      <c r="N34" s="1957"/>
      <c r="O34" s="736"/>
      <c r="P34" s="736"/>
      <c r="Q34" s="581"/>
    </row>
    <row r="35" spans="2:17" ht="15.75" thickBot="1" x14ac:dyDescent="0.3">
      <c r="B35" s="566"/>
      <c r="C35" s="384"/>
      <c r="D35" s="736"/>
      <c r="E35" s="1085" t="s">
        <v>314</v>
      </c>
      <c r="F35" s="199">
        <f>E33+F33</f>
        <v>16391443</v>
      </c>
      <c r="G35" s="193"/>
      <c r="H35" s="582"/>
      <c r="I35" s="736"/>
      <c r="J35" s="1957"/>
      <c r="K35" s="1957"/>
      <c r="L35" s="1957"/>
      <c r="M35" s="1957"/>
      <c r="N35" s="1957"/>
      <c r="O35" s="736"/>
      <c r="P35" s="736"/>
      <c r="Q35" s="581"/>
    </row>
    <row r="36" spans="2:17" ht="3.75" customHeight="1" thickBot="1" x14ac:dyDescent="0.3">
      <c r="B36" s="566"/>
      <c r="C36" s="384"/>
      <c r="D36" s="1037"/>
      <c r="E36" s="1086"/>
      <c r="F36" s="196"/>
      <c r="G36" s="193"/>
      <c r="H36" s="582"/>
      <c r="I36" s="736"/>
      <c r="J36" s="1957"/>
      <c r="K36" s="1957"/>
      <c r="L36" s="1957"/>
      <c r="M36" s="1957"/>
      <c r="N36" s="1957"/>
      <c r="O36" s="736"/>
      <c r="P36" s="736"/>
      <c r="Q36" s="581"/>
    </row>
    <row r="37" spans="2:17" ht="15.75" thickBot="1" x14ac:dyDescent="0.3">
      <c r="B37" s="566"/>
      <c r="C37" s="384"/>
      <c r="D37" s="736"/>
      <c r="E37" s="1085" t="s">
        <v>674</v>
      </c>
      <c r="F37" s="199">
        <f>'6D'!G53</f>
        <v>7172979.8000000007</v>
      </c>
      <c r="G37" s="583"/>
      <c r="H37" s="582"/>
      <c r="I37" s="736"/>
      <c r="J37" s="1957"/>
      <c r="K37" s="1957"/>
      <c r="L37" s="1957"/>
      <c r="M37" s="1957"/>
      <c r="N37" s="1957"/>
      <c r="O37" s="736"/>
      <c r="P37" s="736"/>
      <c r="Q37" s="581"/>
    </row>
    <row r="38" spans="2:17" ht="3.75" customHeight="1" thickBot="1" x14ac:dyDescent="0.3">
      <c r="B38" s="566"/>
      <c r="C38" s="384"/>
      <c r="D38" s="1037"/>
      <c r="E38" s="1086"/>
      <c r="F38" s="196"/>
      <c r="G38" s="193"/>
      <c r="H38" s="582"/>
      <c r="I38" s="736"/>
      <c r="J38" s="1957"/>
      <c r="K38" s="1957"/>
      <c r="L38" s="1957"/>
      <c r="M38" s="1957"/>
      <c r="N38" s="1957"/>
      <c r="O38" s="736"/>
      <c r="P38" s="736"/>
      <c r="Q38" s="581"/>
    </row>
    <row r="39" spans="2:17" ht="15.75" thickBot="1" x14ac:dyDescent="0.3">
      <c r="B39" s="566"/>
      <c r="C39" s="384"/>
      <c r="D39" s="736"/>
      <c r="E39" s="1085" t="s">
        <v>316</v>
      </c>
      <c r="F39" s="199">
        <f>F35+F37</f>
        <v>23564422.800000001</v>
      </c>
      <c r="G39" s="371"/>
      <c r="H39" s="582"/>
      <c r="I39" s="736"/>
      <c r="J39" s="736"/>
      <c r="K39" s="736"/>
      <c r="L39" s="736"/>
      <c r="M39" s="736"/>
      <c r="N39" s="736"/>
      <c r="O39" s="736"/>
      <c r="P39" s="1957"/>
      <c r="Q39" s="567"/>
    </row>
    <row r="40" spans="2:17" ht="7.5" customHeight="1" x14ac:dyDescent="0.25">
      <c r="B40" s="566"/>
      <c r="C40" s="1957"/>
      <c r="D40" s="1957"/>
      <c r="E40" s="371"/>
      <c r="F40" s="584"/>
      <c r="G40" s="371"/>
      <c r="H40" s="1957"/>
      <c r="I40" s="1957"/>
      <c r="J40" s="1957"/>
      <c r="K40" s="1957"/>
      <c r="L40" s="1957"/>
      <c r="M40" s="1957"/>
      <c r="N40" s="1957"/>
      <c r="O40" s="1957"/>
      <c r="P40" s="1957"/>
      <c r="Q40" s="567"/>
    </row>
    <row r="41" spans="2:17" ht="15.75" thickBot="1" x14ac:dyDescent="0.3">
      <c r="B41" s="566"/>
      <c r="C41" s="2168" t="s">
        <v>317</v>
      </c>
      <c r="D41" s="2259"/>
      <c r="E41" s="2168"/>
      <c r="F41" s="2168"/>
      <c r="G41" s="2168"/>
      <c r="H41" s="2168"/>
      <c r="I41" s="2168"/>
      <c r="J41" s="2168"/>
      <c r="K41" s="2348"/>
      <c r="L41" s="2168"/>
      <c r="M41" s="2168"/>
      <c r="N41" s="2168"/>
      <c r="O41" s="2168"/>
      <c r="P41" s="2168"/>
      <c r="Q41" s="567"/>
    </row>
    <row r="42" spans="2:17" ht="27" thickBot="1" x14ac:dyDescent="0.3">
      <c r="B42" s="566"/>
      <c r="C42" s="1084" t="s">
        <v>639</v>
      </c>
      <c r="D42" s="759" t="s">
        <v>643</v>
      </c>
      <c r="E42" s="1967" t="s">
        <v>301</v>
      </c>
      <c r="F42" s="1967" t="s">
        <v>302</v>
      </c>
      <c r="G42" s="1967" t="s">
        <v>309</v>
      </c>
      <c r="H42" s="572" t="s">
        <v>310</v>
      </c>
      <c r="I42" s="572" t="s">
        <v>311</v>
      </c>
      <c r="J42" s="1967" t="s">
        <v>552</v>
      </c>
      <c r="K42" s="759" t="s">
        <v>1511</v>
      </c>
      <c r="L42" s="759" t="s">
        <v>1510</v>
      </c>
      <c r="M42" s="571" t="s">
        <v>303</v>
      </c>
      <c r="N42" s="571" t="s">
        <v>312</v>
      </c>
      <c r="O42" s="572" t="s">
        <v>304</v>
      </c>
      <c r="P42" s="1968" t="s">
        <v>509</v>
      </c>
      <c r="Q42" s="567"/>
    </row>
    <row r="43" spans="2:17" x14ac:dyDescent="0.25">
      <c r="B43" s="566"/>
      <c r="C43" s="770" t="s">
        <v>2088</v>
      </c>
      <c r="D43" s="783" t="s">
        <v>623</v>
      </c>
      <c r="E43" s="771">
        <v>599500</v>
      </c>
      <c r="F43" s="762">
        <v>1200000</v>
      </c>
      <c r="G43" s="772" t="s">
        <v>569</v>
      </c>
      <c r="H43" s="2131">
        <v>42323</v>
      </c>
      <c r="I43" s="1289">
        <v>42551</v>
      </c>
      <c r="J43" s="1704" t="s">
        <v>534</v>
      </c>
      <c r="K43" s="1711" t="s">
        <v>1506</v>
      </c>
      <c r="L43" s="1713" t="s">
        <v>541</v>
      </c>
      <c r="M43" s="782"/>
      <c r="N43" s="781"/>
      <c r="O43" s="781"/>
      <c r="P43" s="783"/>
      <c r="Q43" s="567"/>
    </row>
    <row r="44" spans="2:17" x14ac:dyDescent="0.25">
      <c r="B44" s="566"/>
      <c r="C44" s="775" t="s">
        <v>2071</v>
      </c>
      <c r="D44" s="786" t="s">
        <v>570</v>
      </c>
      <c r="E44" s="776">
        <v>1478707</v>
      </c>
      <c r="F44" s="767">
        <v>459835</v>
      </c>
      <c r="G44" s="777" t="s">
        <v>570</v>
      </c>
      <c r="H44" s="784" t="s">
        <v>2089</v>
      </c>
      <c r="I44" s="778" t="s">
        <v>2089</v>
      </c>
      <c r="J44" s="1705" t="s">
        <v>534</v>
      </c>
      <c r="K44" s="1712" t="s">
        <v>1506</v>
      </c>
      <c r="L44" s="1714"/>
      <c r="M44" s="785"/>
      <c r="N44" s="784"/>
      <c r="O44" s="784"/>
      <c r="P44" s="786"/>
      <c r="Q44" s="567"/>
    </row>
    <row r="45" spans="2:17" ht="7.5" customHeight="1" thickBot="1" x14ac:dyDescent="0.3">
      <c r="B45" s="566"/>
      <c r="C45" s="1556"/>
      <c r="D45" s="1557"/>
      <c r="E45" s="1558"/>
      <c r="F45" s="1552"/>
      <c r="G45" s="1559"/>
      <c r="H45" s="1536"/>
      <c r="I45" s="1560"/>
      <c r="J45" s="1706"/>
      <c r="K45" s="1710"/>
      <c r="L45" s="1715"/>
      <c r="M45" s="1563"/>
      <c r="N45" s="1536"/>
      <c r="O45" s="1536"/>
      <c r="P45" s="1564"/>
      <c r="Q45" s="567"/>
    </row>
    <row r="46" spans="2:17" ht="15.75" thickBot="1" x14ac:dyDescent="0.3">
      <c r="B46" s="566"/>
      <c r="C46" s="384"/>
      <c r="D46" s="735" t="s">
        <v>313</v>
      </c>
      <c r="E46" s="585">
        <f>SUM(E43:E45)</f>
        <v>2078207</v>
      </c>
      <c r="F46" s="586">
        <f>SUM(F43:F45)</f>
        <v>1659835</v>
      </c>
      <c r="G46" s="193"/>
      <c r="H46" s="736"/>
      <c r="I46" s="1957"/>
      <c r="J46" s="1957"/>
      <c r="K46" s="1957"/>
      <c r="L46" s="1957"/>
      <c r="M46" s="1957"/>
      <c r="N46" s="1957"/>
      <c r="O46" s="1957"/>
      <c r="P46" s="1957"/>
      <c r="Q46" s="567"/>
    </row>
    <row r="47" spans="2:17" ht="3.75" customHeight="1" thickBot="1" x14ac:dyDescent="0.3">
      <c r="B47" s="566"/>
      <c r="C47" s="736"/>
      <c r="D47" s="736"/>
      <c r="E47" s="195"/>
      <c r="F47" s="196"/>
      <c r="G47" s="193"/>
      <c r="H47" s="736"/>
      <c r="I47" s="1957"/>
      <c r="J47" s="1957"/>
      <c r="K47" s="1957"/>
      <c r="L47" s="1957"/>
      <c r="M47" s="1957"/>
      <c r="N47" s="1957"/>
      <c r="O47" s="1957"/>
      <c r="P47" s="1957"/>
      <c r="Q47" s="567"/>
    </row>
    <row r="48" spans="2:17" ht="16.5" thickBot="1" x14ac:dyDescent="0.3">
      <c r="B48" s="566"/>
      <c r="C48" s="384"/>
      <c r="D48" s="736"/>
      <c r="E48" s="1085" t="s">
        <v>318</v>
      </c>
      <c r="F48" s="199">
        <f>E46+F46</f>
        <v>3738042</v>
      </c>
      <c r="G48" s="193"/>
      <c r="H48" s="587"/>
      <c r="I48" s="736"/>
      <c r="J48" s="736"/>
      <c r="K48" s="736"/>
      <c r="L48" s="736"/>
      <c r="M48" s="736"/>
      <c r="N48" s="736"/>
      <c r="O48" s="736"/>
      <c r="P48" s="1957"/>
      <c r="Q48" s="567"/>
    </row>
    <row r="49" spans="2:17" ht="3.75" customHeight="1" thickBot="1" x14ac:dyDescent="0.3">
      <c r="B49" s="1565"/>
      <c r="C49" s="384"/>
      <c r="D49" s="384"/>
      <c r="E49" s="384"/>
      <c r="F49" s="384"/>
      <c r="G49" s="384"/>
      <c r="H49" s="384"/>
      <c r="I49" s="384"/>
      <c r="J49" s="384"/>
      <c r="K49" s="384"/>
      <c r="L49" s="384"/>
      <c r="M49" s="384"/>
      <c r="N49" s="384"/>
      <c r="O49" s="384"/>
      <c r="P49" s="384"/>
      <c r="Q49" s="1566"/>
    </row>
    <row r="50" spans="2:17" ht="16.5" thickTop="1" thickBot="1" x14ac:dyDescent="0.3">
      <c r="B50" s="1565"/>
      <c r="C50" s="384"/>
      <c r="D50" s="384"/>
      <c r="E50" s="1567" t="s">
        <v>644</v>
      </c>
      <c r="F50" s="1568">
        <f>F39+F48</f>
        <v>27302464.800000001</v>
      </c>
      <c r="G50" s="384"/>
      <c r="H50" s="384"/>
      <c r="I50" s="384"/>
      <c r="J50" s="384"/>
      <c r="K50" s="384"/>
      <c r="L50" s="384"/>
      <c r="M50" s="384"/>
      <c r="N50" s="384"/>
      <c r="O50" s="384"/>
      <c r="P50" s="384"/>
      <c r="Q50" s="1566"/>
    </row>
    <row r="51" spans="2:17" ht="9" customHeight="1" thickTop="1" thickBot="1" x14ac:dyDescent="0.3">
      <c r="B51" s="588"/>
      <c r="C51" s="589"/>
      <c r="D51" s="589"/>
      <c r="E51" s="591"/>
      <c r="F51" s="592"/>
      <c r="G51" s="592"/>
      <c r="H51" s="593"/>
      <c r="I51" s="593"/>
      <c r="J51" s="590"/>
      <c r="K51" s="590"/>
      <c r="L51" s="590"/>
      <c r="M51" s="590"/>
      <c r="N51" s="590"/>
      <c r="O51" s="593"/>
      <c r="P51" s="593"/>
      <c r="Q51" s="594"/>
    </row>
  </sheetData>
  <sheetProtection algorithmName="SHA-512" hashValue="SRN6gjusuTfPBH6xOWQeCz9Cxe1G3uXl2Z3M23RE9CwM6tUDe3LqOBz6Lgamcy3Uh1wR4jqWbARVghOxuRuCsA==" saltValue="AeeXa4HVAqwrfG9+3Z14Bg==" spinCount="100000" sheet="1" formatCells="0" formatColumns="0" formatRows="0" insertRows="0"/>
  <mergeCells count="10">
    <mergeCell ref="J18:M18"/>
    <mergeCell ref="J19:M19"/>
    <mergeCell ref="C24:P24"/>
    <mergeCell ref="C41:P41"/>
    <mergeCell ref="C10:P10"/>
    <mergeCell ref="C12:M12"/>
    <mergeCell ref="C14:M14"/>
    <mergeCell ref="J15:M15"/>
    <mergeCell ref="J16:M16"/>
    <mergeCell ref="J17:M17"/>
  </mergeCells>
  <conditionalFormatting sqref="L26:P31 L43:P44">
    <cfRule type="expression" dxfId="31" priority="2">
      <formula>$K26="Non-Recoverable"</formula>
    </cfRule>
  </conditionalFormatting>
  <dataValidations count="11">
    <dataValidation type="list" allowBlank="1" showInputMessage="1" showErrorMessage="1" sqref="K43">
      <formula1>INDIRECT(J26)</formula1>
    </dataValidation>
    <dataValidation type="list" allowBlank="1" showInputMessage="1" showErrorMessage="1" sqref="D43:D44">
      <formula1>NonRes_FundSource</formula1>
    </dataValidation>
    <dataValidation type="list" allowBlank="1" showInputMessage="1" showErrorMessage="1" sqref="D16:D18 D26:D31">
      <formula1>Fund_Source</formula1>
    </dataValidation>
    <dataValidation type="list" allowBlank="1" showInputMessage="1" showErrorMessage="1" sqref="G26:G31 G43:G44">
      <formula1>"Select...,Public,Private"</formula1>
    </dataValidation>
    <dataValidation type="list" allowBlank="1" showInputMessage="1" showErrorMessage="1" sqref="G32 G45">
      <formula1>"Public,Private"</formula1>
    </dataValidation>
    <dataValidation type="list" allowBlank="1" showInputMessage="1" showErrorMessage="1" sqref="J43:J45 J26:J32">
      <formula1>G_or_L</formula1>
    </dataValidation>
    <dataValidation type="list" allowBlank="1" showInputMessage="1" showErrorMessage="1" sqref="K26:K31">
      <formula1>INDIRECT(J26)</formula1>
    </dataValidation>
    <dataValidation type="list" allowBlank="1" showInputMessage="1" showErrorMessage="1" sqref="K32">
      <formula1>INDIRECT(J26)</formula1>
    </dataValidation>
    <dataValidation type="list" allowBlank="1" showInputMessage="1" showErrorMessage="1" sqref="K44">
      <formula1>INDIRECT(J26)</formula1>
    </dataValidation>
    <dataValidation type="list" allowBlank="1" showInputMessage="1" showErrorMessage="1" sqref="K45">
      <formula1>INDIRECT(J26)</formula1>
    </dataValidation>
    <dataValidation type="list" allowBlank="1" showInputMessage="1" showErrorMessage="1" sqref="L26:L32 L43:L45">
      <formula1>Debt_Type</formula1>
    </dataValidation>
  </dataValidations>
  <pageMargins left="0.25" right="0.25" top="0.75" bottom="0.75" header="0.3" footer="0.3"/>
  <pageSetup paperSize="5" scale="88" orientation="landscape" r:id="rId1"/>
  <headerFooter>
    <oddFooter>&amp;LForm 7A
Financing Sources&amp;CCFA Forms&amp;REdition: 2016
Version: 1.0</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0"/>
  <sheetViews>
    <sheetView showGridLines="0" topLeftCell="C11" zoomScaleNormal="100" zoomScaleSheetLayoutView="100" workbookViewId="0">
      <selection activeCell="M15" sqref="M15"/>
    </sheetView>
  </sheetViews>
  <sheetFormatPr defaultRowHeight="15" x14ac:dyDescent="0.25"/>
  <cols>
    <col min="1" max="2" width="1.7109375" style="402" customWidth="1"/>
    <col min="3" max="3" width="20.28515625" style="402" bestFit="1" customWidth="1"/>
    <col min="4" max="4" width="11.5703125" style="402" customWidth="1"/>
    <col min="5" max="6" width="10.7109375" style="402" bestFit="1" customWidth="1"/>
    <col min="7" max="7" width="12" style="402" bestFit="1" customWidth="1"/>
    <col min="8" max="8" width="12.5703125" style="402" bestFit="1" customWidth="1"/>
    <col min="9" max="9" width="13.7109375" style="402" customWidth="1"/>
    <col min="10" max="10" width="12.5703125" style="402" bestFit="1" customWidth="1"/>
    <col min="11" max="11" width="13.7109375" style="402" customWidth="1"/>
    <col min="12" max="12" width="12.5703125" style="402" bestFit="1" customWidth="1"/>
    <col min="13" max="13" width="15.140625" style="402" bestFit="1" customWidth="1"/>
    <col min="14" max="14" width="12.140625" style="402" customWidth="1"/>
    <col min="15" max="15" width="12.5703125" style="402" bestFit="1" customWidth="1"/>
    <col min="16" max="16" width="8" style="402" bestFit="1" customWidth="1"/>
    <col min="17" max="17" width="10.7109375" style="402" bestFit="1" customWidth="1"/>
    <col min="18" max="19" width="8" style="402" bestFit="1" customWidth="1"/>
    <col min="20" max="20" width="13.5703125" style="402" bestFit="1" customWidth="1"/>
    <col min="21" max="21" width="2.28515625" style="402" customWidth="1"/>
    <col min="22" max="16384" width="9.140625" style="402"/>
  </cols>
  <sheetData>
    <row r="10" spans="2:25" ht="9" customHeight="1" thickBot="1" x14ac:dyDescent="0.3"/>
    <row r="11" spans="2:25" ht="9" customHeight="1" x14ac:dyDescent="0.25">
      <c r="B11" s="595"/>
      <c r="C11" s="443"/>
      <c r="D11" s="443"/>
      <c r="E11" s="443"/>
      <c r="F11" s="443"/>
      <c r="G11" s="443"/>
      <c r="H11" s="443"/>
      <c r="I11" s="443"/>
      <c r="J11" s="443"/>
      <c r="K11" s="443"/>
      <c r="L11" s="1569"/>
      <c r="M11" s="1569"/>
      <c r="N11" s="1569"/>
      <c r="O11" s="1569"/>
      <c r="P11" s="1569"/>
      <c r="Q11" s="1569"/>
      <c r="R11" s="1569"/>
      <c r="S11" s="1569"/>
      <c r="T11" s="1569"/>
      <c r="U11" s="1570"/>
    </row>
    <row r="12" spans="2:25" ht="18.75" x14ac:dyDescent="0.3">
      <c r="B12" s="596"/>
      <c r="C12" s="2270" t="s">
        <v>537</v>
      </c>
      <c r="D12" s="2270"/>
      <c r="E12" s="2270"/>
      <c r="F12" s="2270"/>
      <c r="G12" s="2270"/>
      <c r="H12" s="2270"/>
      <c r="I12" s="2270"/>
      <c r="J12" s="2270"/>
      <c r="K12" s="2270"/>
      <c r="L12" s="2270"/>
      <c r="M12" s="2270"/>
      <c r="N12" s="2270"/>
      <c r="O12" s="2270"/>
      <c r="P12" s="2270"/>
      <c r="Q12" s="2270"/>
      <c r="R12" s="2270"/>
      <c r="S12" s="2270"/>
      <c r="T12" s="2270"/>
      <c r="U12" s="1571"/>
    </row>
    <row r="13" spans="2:25" ht="15" customHeight="1" x14ac:dyDescent="0.25">
      <c r="B13" s="596"/>
      <c r="C13" s="414"/>
      <c r="D13" s="414"/>
      <c r="E13" s="414"/>
      <c r="F13" s="414"/>
      <c r="G13" s="414"/>
      <c r="H13" s="414"/>
      <c r="I13" s="414"/>
      <c r="J13" s="414"/>
      <c r="K13" s="414"/>
      <c r="L13" s="1105"/>
      <c r="M13" s="1105"/>
      <c r="N13" s="1105"/>
      <c r="O13" s="1105"/>
      <c r="P13" s="1105"/>
      <c r="Q13" s="1105"/>
      <c r="R13" s="1105"/>
      <c r="S13" s="1105"/>
      <c r="T13" s="1105"/>
      <c r="U13" s="1571"/>
    </row>
    <row r="14" spans="2:25" ht="15.75" thickBot="1" x14ac:dyDescent="0.3">
      <c r="B14" s="597"/>
      <c r="C14" s="2367" t="str">
        <f>IF('1'!G5="","Enter Project Name on Form 1",(CONCATENATE("Project Name: ",'1'!G5)))</f>
        <v>Project Name: Filipino Community Village</v>
      </c>
      <c r="D14" s="2367"/>
      <c r="E14" s="2367"/>
      <c r="F14" s="2367"/>
      <c r="G14" s="2367"/>
      <c r="H14" s="2367"/>
      <c r="I14" s="2367"/>
      <c r="J14" s="2367"/>
      <c r="K14" s="374"/>
      <c r="L14" s="134" t="s">
        <v>319</v>
      </c>
      <c r="M14" s="2132">
        <v>42986</v>
      </c>
      <c r="N14" s="1105"/>
      <c r="O14" s="1105"/>
      <c r="P14" s="1105"/>
      <c r="Q14" s="1105"/>
      <c r="R14" s="1105"/>
      <c r="S14" s="1105"/>
      <c r="T14" s="1105"/>
      <c r="U14" s="1571"/>
    </row>
    <row r="15" spans="2:25" s="421" customFormat="1" ht="15" customHeight="1" x14ac:dyDescent="0.25">
      <c r="B15" s="597"/>
      <c r="C15" s="1957"/>
      <c r="D15" s="607"/>
      <c r="E15" s="1069"/>
      <c r="F15" s="642"/>
      <c r="G15" s="1070"/>
      <c r="H15" s="607"/>
      <c r="I15" s="607"/>
      <c r="J15" s="607"/>
      <c r="K15" s="388"/>
      <c r="L15" s="1331"/>
      <c r="M15" s="1331"/>
      <c r="N15" s="1331"/>
      <c r="O15" s="1331"/>
      <c r="P15" s="1331"/>
      <c r="Q15" s="1331"/>
      <c r="R15" s="1331"/>
      <c r="S15" s="1331"/>
      <c r="T15" s="1331"/>
      <c r="U15" s="1572"/>
      <c r="W15" s="402"/>
      <c r="X15" s="402"/>
      <c r="Y15" s="402"/>
    </row>
    <row r="16" spans="2:25" s="421" customFormat="1" ht="15" customHeight="1" thickBot="1" x14ac:dyDescent="0.3">
      <c r="B16" s="597"/>
      <c r="C16" s="2368" t="s">
        <v>320</v>
      </c>
      <c r="D16" s="2368"/>
      <c r="E16" s="2368"/>
      <c r="F16" s="2368"/>
      <c r="G16" s="2368"/>
      <c r="H16" s="2368"/>
      <c r="I16" s="2368"/>
      <c r="J16" s="2368"/>
      <c r="K16" s="2368"/>
      <c r="L16" s="1331"/>
      <c r="M16" s="1331"/>
      <c r="N16" s="1331"/>
      <c r="O16" s="1331"/>
      <c r="P16" s="1331"/>
      <c r="Q16" s="1331"/>
      <c r="R16" s="1331"/>
      <c r="S16" s="1331"/>
      <c r="T16" s="1331"/>
      <c r="U16" s="1572"/>
    </row>
    <row r="17" spans="2:21" s="421" customFormat="1" ht="15" customHeight="1" x14ac:dyDescent="0.25">
      <c r="B17" s="597"/>
      <c r="C17" s="130"/>
      <c r="D17" s="1071" t="s">
        <v>648</v>
      </c>
      <c r="E17" s="1072" t="s">
        <v>649</v>
      </c>
      <c r="F17" s="1072" t="s">
        <v>650</v>
      </c>
      <c r="G17" s="1072" t="s">
        <v>651</v>
      </c>
      <c r="H17" s="1072" t="s">
        <v>648</v>
      </c>
      <c r="I17" s="1072" t="s">
        <v>649</v>
      </c>
      <c r="J17" s="1072" t="s">
        <v>650</v>
      </c>
      <c r="K17" s="1072" t="s">
        <v>651</v>
      </c>
      <c r="L17" s="1072" t="s">
        <v>648</v>
      </c>
      <c r="M17" s="1072" t="s">
        <v>649</v>
      </c>
      <c r="N17" s="1072" t="s">
        <v>650</v>
      </c>
      <c r="O17" s="1072" t="s">
        <v>651</v>
      </c>
      <c r="P17" s="1072" t="s">
        <v>648</v>
      </c>
      <c r="Q17" s="1072" t="s">
        <v>649</v>
      </c>
      <c r="R17" s="1072" t="s">
        <v>650</v>
      </c>
      <c r="S17" s="1073" t="s">
        <v>651</v>
      </c>
      <c r="T17" s="358" t="s">
        <v>331</v>
      </c>
      <c r="U17" s="1572"/>
    </row>
    <row r="18" spans="2:21" s="421" customFormat="1" ht="15" customHeight="1" thickBot="1" x14ac:dyDescent="0.3">
      <c r="B18" s="597"/>
      <c r="C18" s="131" t="s">
        <v>299</v>
      </c>
      <c r="D18" s="2102">
        <v>43009</v>
      </c>
      <c r="E18" s="2103">
        <v>43101</v>
      </c>
      <c r="F18" s="2103">
        <v>43191</v>
      </c>
      <c r="G18" s="2103">
        <v>43282</v>
      </c>
      <c r="H18" s="2103">
        <v>43374</v>
      </c>
      <c r="I18" s="2103">
        <v>43466</v>
      </c>
      <c r="J18" s="2103">
        <v>43556</v>
      </c>
      <c r="K18" s="2103">
        <v>43647</v>
      </c>
      <c r="L18" s="2103">
        <v>43739</v>
      </c>
      <c r="M18" s="2103">
        <v>43831</v>
      </c>
      <c r="N18" s="2104">
        <v>43922</v>
      </c>
      <c r="O18" s="2103">
        <v>44013</v>
      </c>
      <c r="P18" s="2103">
        <v>44105</v>
      </c>
      <c r="Q18" s="2103">
        <v>44197</v>
      </c>
      <c r="R18" s="2103">
        <v>44287</v>
      </c>
      <c r="S18" s="2105">
        <v>44378</v>
      </c>
      <c r="T18" s="359"/>
      <c r="U18" s="1572"/>
    </row>
    <row r="19" spans="2:21" s="421" customFormat="1" ht="15" customHeight="1" x14ac:dyDescent="0.25">
      <c r="B19" s="597"/>
      <c r="C19" s="599" t="s">
        <v>321</v>
      </c>
      <c r="D19" s="1114">
        <v>0</v>
      </c>
      <c r="E19" s="1115">
        <v>0</v>
      </c>
      <c r="F19" s="1115">
        <v>0</v>
      </c>
      <c r="G19" s="1115">
        <v>0</v>
      </c>
      <c r="H19" s="1115">
        <v>0</v>
      </c>
      <c r="I19" s="1115">
        <v>0</v>
      </c>
      <c r="J19" s="1115">
        <v>0</v>
      </c>
      <c r="K19" s="1115">
        <v>0</v>
      </c>
      <c r="L19" s="1115">
        <v>0</v>
      </c>
      <c r="M19" s="1115">
        <v>0</v>
      </c>
      <c r="N19" s="1115">
        <v>0</v>
      </c>
      <c r="O19" s="1115">
        <v>0</v>
      </c>
      <c r="P19" s="1115">
        <v>0</v>
      </c>
      <c r="Q19" s="1115">
        <v>0</v>
      </c>
      <c r="R19" s="1115">
        <v>0</v>
      </c>
      <c r="S19" s="1116">
        <v>0</v>
      </c>
      <c r="T19" s="1573">
        <f>SUM(D19:K19)+SUM(L19:S19)</f>
        <v>0</v>
      </c>
      <c r="U19" s="1572"/>
    </row>
    <row r="20" spans="2:21" s="421" customFormat="1" ht="15" customHeight="1" x14ac:dyDescent="0.25">
      <c r="B20" s="597"/>
      <c r="C20" s="1108" t="str">
        <f>IF('7A'!C16="","Enter on Form 7A",'7A'!C16)</f>
        <v>Impact Capital</v>
      </c>
      <c r="D20" s="1117">
        <v>85000</v>
      </c>
      <c r="E20" s="1118">
        <v>0</v>
      </c>
      <c r="F20" s="1118">
        <v>0</v>
      </c>
      <c r="G20" s="1118">
        <v>0</v>
      </c>
      <c r="H20" s="1118">
        <v>-85000</v>
      </c>
      <c r="I20" s="1118">
        <v>0</v>
      </c>
      <c r="J20" s="1118">
        <v>0</v>
      </c>
      <c r="K20" s="1118">
        <v>0</v>
      </c>
      <c r="L20" s="1118">
        <v>0</v>
      </c>
      <c r="M20" s="1118">
        <v>0</v>
      </c>
      <c r="N20" s="1118">
        <v>0</v>
      </c>
      <c r="O20" s="1118">
        <v>0</v>
      </c>
      <c r="P20" s="1118">
        <v>0</v>
      </c>
      <c r="Q20" s="1118">
        <v>0</v>
      </c>
      <c r="R20" s="1118">
        <v>0</v>
      </c>
      <c r="S20" s="1119">
        <v>0</v>
      </c>
      <c r="T20" s="1574">
        <f>SUM(D20:K20)+SUM(L20:S20)</f>
        <v>0</v>
      </c>
      <c r="U20" s="1572"/>
    </row>
    <row r="21" spans="2:21" s="421" customFormat="1" ht="15" customHeight="1" x14ac:dyDescent="0.25">
      <c r="B21" s="597"/>
      <c r="C21" s="1108" t="str">
        <f>IF('7A'!C17="","Enter on Form 7A",'7A'!C17)</f>
        <v>BCI/HumanGood</v>
      </c>
      <c r="D21" s="1117">
        <v>0</v>
      </c>
      <c r="E21" s="1118">
        <v>163925</v>
      </c>
      <c r="F21" s="1118">
        <v>108136</v>
      </c>
      <c r="G21" s="1118">
        <v>727939</v>
      </c>
      <c r="H21" s="1118">
        <v>-1000000</v>
      </c>
      <c r="I21" s="1118"/>
      <c r="J21" s="1118">
        <v>0</v>
      </c>
      <c r="K21" s="1118">
        <v>0</v>
      </c>
      <c r="L21" s="1118">
        <v>0</v>
      </c>
      <c r="M21" s="1118">
        <v>0</v>
      </c>
      <c r="N21" s="1118">
        <v>0</v>
      </c>
      <c r="O21" s="1118">
        <v>0</v>
      </c>
      <c r="P21" s="1118">
        <v>0</v>
      </c>
      <c r="Q21" s="1118">
        <v>0</v>
      </c>
      <c r="R21" s="1118">
        <v>0</v>
      </c>
      <c r="S21" s="1119">
        <v>0</v>
      </c>
      <c r="T21" s="1575">
        <f>SUM(D21:K21)+SUM(L21:S21)</f>
        <v>0</v>
      </c>
      <c r="U21" s="1572"/>
    </row>
    <row r="22" spans="2:21" s="421" customFormat="1" ht="15" customHeight="1" thickBot="1" x14ac:dyDescent="0.3">
      <c r="B22" s="597"/>
      <c r="C22" s="1108" t="str">
        <f>IF('7A'!C18="","Enter on Form 7A",'7A'!C18)</f>
        <v>Tax Exempt Bond construction</v>
      </c>
      <c r="D22" s="1120">
        <v>0</v>
      </c>
      <c r="E22" s="1121">
        <v>0</v>
      </c>
      <c r="F22" s="1121">
        <v>0</v>
      </c>
      <c r="G22" s="1121">
        <v>0</v>
      </c>
      <c r="H22" s="1121"/>
      <c r="I22" s="1121">
        <v>1394256</v>
      </c>
      <c r="J22" s="1121">
        <v>4461615</v>
      </c>
      <c r="K22" s="1121">
        <v>1460355</v>
      </c>
      <c r="L22" s="1121">
        <v>0</v>
      </c>
      <c r="M22" s="1121">
        <v>0</v>
      </c>
      <c r="N22" s="1121">
        <v>0</v>
      </c>
      <c r="O22" s="1121">
        <v>-7316226</v>
      </c>
      <c r="P22" s="1121">
        <v>0</v>
      </c>
      <c r="Q22" s="1121">
        <v>0</v>
      </c>
      <c r="R22" s="1121">
        <v>0</v>
      </c>
      <c r="S22" s="1122">
        <v>0</v>
      </c>
      <c r="T22" s="1576">
        <f>SUM(D22:K22)+SUM(L22:S22)</f>
        <v>0</v>
      </c>
      <c r="U22" s="1572"/>
    </row>
    <row r="23" spans="2:21" s="421" customFormat="1" ht="15" customHeight="1" thickBot="1" x14ac:dyDescent="0.3">
      <c r="B23" s="597"/>
      <c r="C23" s="139" t="s">
        <v>322</v>
      </c>
      <c r="D23" s="1109">
        <f>SUM(D19:D22)</f>
        <v>85000</v>
      </c>
      <c r="E23" s="1110">
        <f t="shared" ref="E23:K23" si="0">SUM(E19:E22)</f>
        <v>163925</v>
      </c>
      <c r="F23" s="1110">
        <f t="shared" si="0"/>
        <v>108136</v>
      </c>
      <c r="G23" s="1110">
        <f t="shared" si="0"/>
        <v>727939</v>
      </c>
      <c r="H23" s="1110">
        <f t="shared" si="0"/>
        <v>-1085000</v>
      </c>
      <c r="I23" s="1110">
        <f t="shared" si="0"/>
        <v>1394256</v>
      </c>
      <c r="J23" s="1110">
        <f t="shared" si="0"/>
        <v>4461615</v>
      </c>
      <c r="K23" s="1110">
        <f t="shared" si="0"/>
        <v>1460355</v>
      </c>
      <c r="L23" s="1110">
        <f t="shared" ref="L23:T23" si="1">SUM(L19:L22)</f>
        <v>0</v>
      </c>
      <c r="M23" s="1110">
        <f t="shared" si="1"/>
        <v>0</v>
      </c>
      <c r="N23" s="1110">
        <f t="shared" si="1"/>
        <v>0</v>
      </c>
      <c r="O23" s="1110">
        <f t="shared" si="1"/>
        <v>-7316226</v>
      </c>
      <c r="P23" s="1110">
        <f t="shared" si="1"/>
        <v>0</v>
      </c>
      <c r="Q23" s="1110">
        <f t="shared" si="1"/>
        <v>0</v>
      </c>
      <c r="R23" s="1110">
        <f t="shared" si="1"/>
        <v>0</v>
      </c>
      <c r="S23" s="1111">
        <f t="shared" si="1"/>
        <v>0</v>
      </c>
      <c r="T23" s="1112">
        <f t="shared" si="1"/>
        <v>0</v>
      </c>
      <c r="U23" s="1572"/>
    </row>
    <row r="24" spans="2:21" s="421" customFormat="1" ht="3.75" customHeight="1" x14ac:dyDescent="0.25">
      <c r="B24" s="597"/>
      <c r="C24" s="1957"/>
      <c r="D24" s="607"/>
      <c r="E24" s="1069"/>
      <c r="F24" s="642"/>
      <c r="G24" s="1070"/>
      <c r="H24" s="607"/>
      <c r="I24" s="607"/>
      <c r="J24" s="607"/>
      <c r="K24" s="607"/>
      <c r="L24" s="607"/>
      <c r="M24" s="1331"/>
      <c r="N24" s="1331"/>
      <c r="O24" s="1331"/>
      <c r="P24" s="1331"/>
      <c r="Q24" s="1331"/>
      <c r="R24" s="1331"/>
      <c r="S24" s="1331"/>
      <c r="T24" s="1331"/>
      <c r="U24" s="1572"/>
    </row>
    <row r="25" spans="2:21" s="421" customFormat="1" ht="15" customHeight="1" thickBot="1" x14ac:dyDescent="0.3">
      <c r="B25" s="597"/>
      <c r="C25" s="131" t="s">
        <v>199</v>
      </c>
      <c r="D25" s="1105"/>
      <c r="E25" s="1105"/>
      <c r="F25" s="1105"/>
      <c r="G25" s="1105"/>
      <c r="H25" s="1105"/>
      <c r="I25" s="1105"/>
      <c r="J25" s="1105"/>
      <c r="K25" s="1105"/>
      <c r="L25" s="1105"/>
      <c r="M25" s="1331"/>
      <c r="N25" s="1331"/>
      <c r="O25" s="1331"/>
      <c r="P25" s="1331"/>
      <c r="Q25" s="1331"/>
      <c r="R25" s="1331"/>
      <c r="S25" s="1331"/>
      <c r="T25" s="1331"/>
      <c r="U25" s="1572"/>
    </row>
    <row r="26" spans="2:21" s="421" customFormat="1" ht="15" customHeight="1" x14ac:dyDescent="0.25">
      <c r="B26" s="597"/>
      <c r="C26" s="1074" t="s">
        <v>652</v>
      </c>
      <c r="D26" s="1114">
        <v>0</v>
      </c>
      <c r="E26" s="1115">
        <v>0</v>
      </c>
      <c r="F26" s="1115">
        <v>0</v>
      </c>
      <c r="G26" s="1115">
        <v>0</v>
      </c>
      <c r="H26" s="1115">
        <v>1075947</v>
      </c>
      <c r="I26" s="1115">
        <v>0</v>
      </c>
      <c r="J26" s="1115">
        <v>0</v>
      </c>
      <c r="K26" s="1115">
        <v>0</v>
      </c>
      <c r="L26" s="1115">
        <v>0</v>
      </c>
      <c r="M26" s="1115">
        <v>717298</v>
      </c>
      <c r="N26" s="1115">
        <v>0</v>
      </c>
      <c r="O26" s="1115">
        <v>5200410</v>
      </c>
      <c r="P26" s="1115">
        <v>0</v>
      </c>
      <c r="Q26" s="1115">
        <v>179325</v>
      </c>
      <c r="R26" s="1115">
        <v>0</v>
      </c>
      <c r="S26" s="1116">
        <v>0</v>
      </c>
      <c r="T26" s="1577">
        <f t="shared" ref="T26:T33" si="2">SUM(D26:K26)+SUM(L26:S26)</f>
        <v>7172980</v>
      </c>
      <c r="U26" s="1572"/>
    </row>
    <row r="27" spans="2:21" x14ac:dyDescent="0.25">
      <c r="B27" s="1524"/>
      <c r="C27" s="1578" t="str">
        <f>IF('7A'!C26="","Enter on Form 7A",'7A'!C26)</f>
        <v>City of Seattle OH</v>
      </c>
      <c r="D27" s="1117">
        <v>0</v>
      </c>
      <c r="E27" s="1118">
        <v>0</v>
      </c>
      <c r="F27" s="1118">
        <v>0</v>
      </c>
      <c r="G27" s="1118">
        <v>0</v>
      </c>
      <c r="H27" s="1118">
        <v>1491505</v>
      </c>
      <c r="I27" s="1118">
        <v>0</v>
      </c>
      <c r="J27" s="1118">
        <v>0</v>
      </c>
      <c r="K27" s="1118">
        <v>2071860</v>
      </c>
      <c r="L27" s="1118">
        <v>4472615</v>
      </c>
      <c r="M27" s="1118">
        <v>1506274</v>
      </c>
      <c r="N27" s="1118">
        <v>0</v>
      </c>
      <c r="O27" s="1118">
        <v>0</v>
      </c>
      <c r="P27" s="1118">
        <v>0</v>
      </c>
      <c r="Q27" s="1118">
        <v>0</v>
      </c>
      <c r="R27" s="1118">
        <v>0</v>
      </c>
      <c r="S27" s="1119">
        <v>0</v>
      </c>
      <c r="T27" s="1575">
        <f t="shared" si="2"/>
        <v>9542254</v>
      </c>
      <c r="U27" s="1571"/>
    </row>
    <row r="28" spans="2:21" x14ac:dyDescent="0.25">
      <c r="B28" s="1524"/>
      <c r="C28" s="1578" t="str">
        <f>IF('7A'!C27="","Enter on Form 7A",'7A'!C27)</f>
        <v>State of WA HTF</v>
      </c>
      <c r="D28" s="1117">
        <v>0</v>
      </c>
      <c r="E28" s="1118">
        <v>0</v>
      </c>
      <c r="F28" s="1118">
        <v>0</v>
      </c>
      <c r="G28" s="1118">
        <v>0</v>
      </c>
      <c r="H28" s="1118">
        <v>1066600</v>
      </c>
      <c r="I28" s="1118">
        <v>0</v>
      </c>
      <c r="J28" s="1118">
        <v>0</v>
      </c>
      <c r="K28" s="1118">
        <v>933400</v>
      </c>
      <c r="L28" s="1118">
        <v>0</v>
      </c>
      <c r="M28" s="1118">
        <v>0</v>
      </c>
      <c r="N28" s="1118">
        <v>0</v>
      </c>
      <c r="O28" s="1118">
        <v>0</v>
      </c>
      <c r="P28" s="1118">
        <v>0</v>
      </c>
      <c r="Q28" s="1118">
        <v>0</v>
      </c>
      <c r="R28" s="1118">
        <v>0</v>
      </c>
      <c r="S28" s="1119">
        <v>0</v>
      </c>
      <c r="T28" s="1575">
        <f t="shared" si="2"/>
        <v>2000000</v>
      </c>
      <c r="U28" s="1571"/>
    </row>
    <row r="29" spans="2:21" x14ac:dyDescent="0.25">
      <c r="B29" s="1524"/>
      <c r="C29" s="1578" t="str">
        <f>IF('7A'!C28="","Enter on Form 7A",'7A'!C28)</f>
        <v>Tax Exempt Loan</v>
      </c>
      <c r="D29" s="1117">
        <v>0</v>
      </c>
      <c r="E29" s="1118">
        <v>0</v>
      </c>
      <c r="F29" s="1118">
        <v>0</v>
      </c>
      <c r="G29" s="1118">
        <v>0</v>
      </c>
      <c r="H29" s="1118">
        <v>0</v>
      </c>
      <c r="I29" s="1118">
        <v>0</v>
      </c>
      <c r="J29" s="1118">
        <v>0</v>
      </c>
      <c r="K29" s="1118">
        <v>0</v>
      </c>
      <c r="L29" s="1118">
        <v>0</v>
      </c>
      <c r="M29" s="1118">
        <v>420328</v>
      </c>
      <c r="N29" s="1118">
        <v>74000</v>
      </c>
      <c r="O29" s="1118">
        <v>3189446</v>
      </c>
      <c r="P29" s="1118">
        <v>0</v>
      </c>
      <c r="Q29" s="1118">
        <v>0</v>
      </c>
      <c r="R29" s="1118">
        <v>0</v>
      </c>
      <c r="S29" s="1119">
        <v>0</v>
      </c>
      <c r="T29" s="1575">
        <f t="shared" si="2"/>
        <v>3683774</v>
      </c>
      <c r="U29" s="1571"/>
    </row>
    <row r="30" spans="2:21" x14ac:dyDescent="0.25">
      <c r="B30" s="1524"/>
      <c r="C30" s="1578" t="str">
        <f>IF('7A'!C30="","Enter on Form 7A",'7A'!C30)</f>
        <v>Deferred Developer Fee</v>
      </c>
      <c r="D30" s="1117">
        <v>0</v>
      </c>
      <c r="E30" s="1118">
        <v>0</v>
      </c>
      <c r="F30" s="1118">
        <v>0</v>
      </c>
      <c r="G30" s="1118">
        <v>0</v>
      </c>
      <c r="H30" s="1118">
        <v>1165415</v>
      </c>
      <c r="I30" s="1118">
        <v>0</v>
      </c>
      <c r="J30" s="1118">
        <v>0</v>
      </c>
      <c r="K30" s="1118">
        <v>0</v>
      </c>
      <c r="L30" s="1118">
        <v>0</v>
      </c>
      <c r="M30" s="1118">
        <v>0</v>
      </c>
      <c r="N30" s="1118">
        <v>0</v>
      </c>
      <c r="O30" s="1118">
        <v>0</v>
      </c>
      <c r="P30" s="1118">
        <v>0</v>
      </c>
      <c r="Q30" s="1118">
        <v>0</v>
      </c>
      <c r="R30" s="1118">
        <v>0</v>
      </c>
      <c r="S30" s="1119">
        <v>0</v>
      </c>
      <c r="T30" s="1575">
        <f t="shared" si="2"/>
        <v>1165415</v>
      </c>
      <c r="U30" s="1571"/>
    </row>
    <row r="31" spans="2:21" x14ac:dyDescent="0.25">
      <c r="B31" s="1524"/>
      <c r="C31" s="1578" t="str">
        <f>IF('7A'!C31="","Enter on Form 7A",'7A'!C31)</f>
        <v>Enter on Form 7A</v>
      </c>
      <c r="D31" s="1117">
        <v>0</v>
      </c>
      <c r="E31" s="1118">
        <v>0</v>
      </c>
      <c r="F31" s="1118">
        <v>0</v>
      </c>
      <c r="G31" s="1118">
        <v>0</v>
      </c>
      <c r="H31" s="1118">
        <v>0</v>
      </c>
      <c r="I31" s="1118">
        <v>0</v>
      </c>
      <c r="J31" s="1118">
        <v>0</v>
      </c>
      <c r="K31" s="1118">
        <v>0</v>
      </c>
      <c r="L31" s="1118">
        <v>0</v>
      </c>
      <c r="M31" s="1118">
        <v>0</v>
      </c>
      <c r="N31" s="1118">
        <v>0</v>
      </c>
      <c r="O31" s="1118">
        <v>0</v>
      </c>
      <c r="P31" s="1118">
        <v>0</v>
      </c>
      <c r="Q31" s="1118">
        <v>0</v>
      </c>
      <c r="R31" s="1118">
        <v>0</v>
      </c>
      <c r="S31" s="1119">
        <v>0</v>
      </c>
      <c r="T31" s="1575">
        <f t="shared" si="2"/>
        <v>0</v>
      </c>
      <c r="U31" s="1571"/>
    </row>
    <row r="32" spans="2:21" x14ac:dyDescent="0.25">
      <c r="B32" s="1524"/>
      <c r="C32" s="1578" t="str">
        <f>IF('7A'!C43="","Enter on Form 7A",'7A'!C43)</f>
        <v>State Dept. of Commerce</v>
      </c>
      <c r="D32" s="1117">
        <v>0</v>
      </c>
      <c r="E32" s="1118">
        <v>0</v>
      </c>
      <c r="F32" s="1118">
        <v>0</v>
      </c>
      <c r="G32" s="1118">
        <v>0</v>
      </c>
      <c r="H32" s="1118">
        <v>500000</v>
      </c>
      <c r="I32" s="1118">
        <v>250000</v>
      </c>
      <c r="J32" s="1118">
        <v>250000</v>
      </c>
      <c r="K32" s="1118">
        <v>250000</v>
      </c>
      <c r="L32" s="1118">
        <v>250000</v>
      </c>
      <c r="M32" s="1118">
        <v>299500</v>
      </c>
      <c r="N32" s="1118">
        <v>0</v>
      </c>
      <c r="O32" s="1118">
        <v>0</v>
      </c>
      <c r="P32" s="1118">
        <v>0</v>
      </c>
      <c r="Q32" s="1118">
        <v>0</v>
      </c>
      <c r="R32" s="1118">
        <v>0</v>
      </c>
      <c r="S32" s="1119">
        <v>0</v>
      </c>
      <c r="T32" s="1575">
        <f t="shared" si="2"/>
        <v>1799500</v>
      </c>
      <c r="U32" s="1571"/>
    </row>
    <row r="33" spans="2:21" ht="15.75" thickBot="1" x14ac:dyDescent="0.3">
      <c r="B33" s="1524"/>
      <c r="C33" s="1578" t="str">
        <f>IF('7A'!C44="","Enter on Form 7A",'7A'!C44)</f>
        <v>Capital Campaign</v>
      </c>
      <c r="D33" s="1120">
        <v>0</v>
      </c>
      <c r="E33" s="1121">
        <v>0</v>
      </c>
      <c r="F33" s="1121">
        <v>0</v>
      </c>
      <c r="G33" s="1121">
        <v>0</v>
      </c>
      <c r="H33" s="1121">
        <v>323090</v>
      </c>
      <c r="I33" s="1121">
        <v>323090</v>
      </c>
      <c r="J33" s="1121">
        <v>323090</v>
      </c>
      <c r="K33" s="1121">
        <v>323090</v>
      </c>
      <c r="L33" s="1121">
        <v>323090</v>
      </c>
      <c r="M33" s="1121">
        <v>323092</v>
      </c>
      <c r="N33" s="1121">
        <v>0</v>
      </c>
      <c r="O33" s="1121">
        <v>0</v>
      </c>
      <c r="P33" s="1121">
        <v>0</v>
      </c>
      <c r="Q33" s="1121">
        <v>0</v>
      </c>
      <c r="R33" s="1121">
        <v>0</v>
      </c>
      <c r="S33" s="1122">
        <v>0</v>
      </c>
      <c r="T33" s="1576">
        <f t="shared" si="2"/>
        <v>1938542</v>
      </c>
      <c r="U33" s="1571"/>
    </row>
    <row r="34" spans="2:21" ht="15.75" thickBot="1" x14ac:dyDescent="0.3">
      <c r="B34" s="600"/>
      <c r="C34" s="132" t="s">
        <v>322</v>
      </c>
      <c r="D34" s="1109">
        <f>SUM(D26:D33)</f>
        <v>0</v>
      </c>
      <c r="E34" s="1110">
        <f t="shared" ref="E34:J34" si="3">SUM(E26:E33)</f>
        <v>0</v>
      </c>
      <c r="F34" s="1110">
        <f t="shared" si="3"/>
        <v>0</v>
      </c>
      <c r="G34" s="1110">
        <f t="shared" si="3"/>
        <v>0</v>
      </c>
      <c r="H34" s="1110">
        <f t="shared" si="3"/>
        <v>5622557</v>
      </c>
      <c r="I34" s="1110">
        <f t="shared" si="3"/>
        <v>573090</v>
      </c>
      <c r="J34" s="1110">
        <f t="shared" si="3"/>
        <v>573090</v>
      </c>
      <c r="K34" s="1110">
        <f>SUM(K26:K33)</f>
        <v>3578350</v>
      </c>
      <c r="L34" s="1110">
        <f t="shared" ref="L34:T34" si="4">SUM(L26:L33)</f>
        <v>5045705</v>
      </c>
      <c r="M34" s="1110">
        <f t="shared" si="4"/>
        <v>3266492</v>
      </c>
      <c r="N34" s="1110">
        <f t="shared" si="4"/>
        <v>74000</v>
      </c>
      <c r="O34" s="1110">
        <f t="shared" si="4"/>
        <v>8389856</v>
      </c>
      <c r="P34" s="1110">
        <f t="shared" si="4"/>
        <v>0</v>
      </c>
      <c r="Q34" s="1110">
        <f t="shared" si="4"/>
        <v>179325</v>
      </c>
      <c r="R34" s="1110">
        <f t="shared" si="4"/>
        <v>0</v>
      </c>
      <c r="S34" s="1111">
        <f t="shared" si="4"/>
        <v>0</v>
      </c>
      <c r="T34" s="1112">
        <f t="shared" si="4"/>
        <v>27302465</v>
      </c>
      <c r="U34" s="1571"/>
    </row>
    <row r="35" spans="2:21" ht="3.75" customHeight="1" thickBot="1" x14ac:dyDescent="0.3">
      <c r="B35" s="600"/>
      <c r="C35" s="133"/>
      <c r="D35" s="136"/>
      <c r="E35" s="136"/>
      <c r="F35" s="136"/>
      <c r="G35" s="136"/>
      <c r="H35" s="136"/>
      <c r="I35" s="136"/>
      <c r="J35" s="136"/>
      <c r="K35" s="136"/>
      <c r="L35" s="136"/>
      <c r="M35" s="136"/>
      <c r="N35" s="136"/>
      <c r="O35" s="136"/>
      <c r="P35" s="136"/>
      <c r="Q35" s="136"/>
      <c r="R35" s="136"/>
      <c r="S35" s="136"/>
      <c r="T35" s="137"/>
      <c r="U35" s="1571"/>
    </row>
    <row r="36" spans="2:21" ht="15.75" thickBot="1" x14ac:dyDescent="0.3">
      <c r="B36" s="597"/>
      <c r="C36" s="131" t="s">
        <v>323</v>
      </c>
      <c r="D36" s="1109">
        <f>D23+D34</f>
        <v>85000</v>
      </c>
      <c r="E36" s="1110">
        <f t="shared" ref="E36:K36" si="5">E23+E34</f>
        <v>163925</v>
      </c>
      <c r="F36" s="1110">
        <f t="shared" si="5"/>
        <v>108136</v>
      </c>
      <c r="G36" s="1110">
        <f t="shared" si="5"/>
        <v>727939</v>
      </c>
      <c r="H36" s="1110">
        <f t="shared" si="5"/>
        <v>4537557</v>
      </c>
      <c r="I36" s="1110">
        <f t="shared" si="5"/>
        <v>1967346</v>
      </c>
      <c r="J36" s="1110">
        <f t="shared" si="5"/>
        <v>5034705</v>
      </c>
      <c r="K36" s="1110">
        <f t="shared" si="5"/>
        <v>5038705</v>
      </c>
      <c r="L36" s="1110">
        <f t="shared" ref="L36:T36" si="6">L23+L34</f>
        <v>5045705</v>
      </c>
      <c r="M36" s="1110">
        <f t="shared" si="6"/>
        <v>3266492</v>
      </c>
      <c r="N36" s="1110">
        <f t="shared" si="6"/>
        <v>74000</v>
      </c>
      <c r="O36" s="1110">
        <f t="shared" si="6"/>
        <v>1073630</v>
      </c>
      <c r="P36" s="1110">
        <f t="shared" si="6"/>
        <v>0</v>
      </c>
      <c r="Q36" s="1110">
        <f t="shared" si="6"/>
        <v>179325</v>
      </c>
      <c r="R36" s="1110">
        <f t="shared" si="6"/>
        <v>0</v>
      </c>
      <c r="S36" s="1111">
        <f t="shared" si="6"/>
        <v>0</v>
      </c>
      <c r="T36" s="1113">
        <f t="shared" si="6"/>
        <v>27302465</v>
      </c>
      <c r="U36" s="1571"/>
    </row>
    <row r="37" spans="2:21" x14ac:dyDescent="0.25">
      <c r="B37" s="597"/>
      <c r="C37" s="130"/>
      <c r="D37" s="130"/>
      <c r="E37" s="130"/>
      <c r="F37" s="130"/>
      <c r="G37" s="130"/>
      <c r="H37" s="130"/>
      <c r="I37" s="598"/>
      <c r="J37" s="130"/>
      <c r="K37" s="1104"/>
      <c r="L37" s="1105"/>
      <c r="M37" s="1105"/>
      <c r="N37" s="1105"/>
      <c r="O37" s="1105"/>
      <c r="P37" s="1105"/>
      <c r="Q37" s="1105"/>
      <c r="R37" s="1105"/>
      <c r="S37" s="1105"/>
      <c r="T37" s="1105"/>
      <c r="U37" s="1571"/>
    </row>
    <row r="38" spans="2:21" ht="15.75" thickBot="1" x14ac:dyDescent="0.3">
      <c r="B38" s="597"/>
      <c r="C38" s="2369" t="s">
        <v>324</v>
      </c>
      <c r="D38" s="2369"/>
      <c r="E38" s="2369"/>
      <c r="F38" s="2369"/>
      <c r="G38" s="2369"/>
      <c r="H38" s="2369"/>
      <c r="I38" s="2369"/>
      <c r="J38" s="2369"/>
      <c r="K38" s="2369"/>
      <c r="L38" s="1105"/>
      <c r="M38" s="1105"/>
      <c r="N38" s="1105"/>
      <c r="O38" s="1105"/>
      <c r="P38" s="1105"/>
      <c r="Q38" s="1105"/>
      <c r="R38" s="1105"/>
      <c r="S38" s="1105"/>
      <c r="T38" s="1105"/>
      <c r="U38" s="1571"/>
    </row>
    <row r="39" spans="2:21" x14ac:dyDescent="0.25">
      <c r="B39" s="597"/>
      <c r="C39" s="140" t="s">
        <v>22</v>
      </c>
      <c r="D39" s="1123">
        <v>0</v>
      </c>
      <c r="E39" s="1124">
        <v>0</v>
      </c>
      <c r="F39" s="1124">
        <v>0</v>
      </c>
      <c r="G39" s="1124">
        <v>0</v>
      </c>
      <c r="H39" s="1124">
        <v>1321000</v>
      </c>
      <c r="I39" s="1124">
        <v>0</v>
      </c>
      <c r="J39" s="1124">
        <v>0</v>
      </c>
      <c r="K39" s="1124">
        <v>0</v>
      </c>
      <c r="L39" s="1124">
        <v>0</v>
      </c>
      <c r="M39" s="1124">
        <v>0</v>
      </c>
      <c r="N39" s="1124">
        <v>0</v>
      </c>
      <c r="O39" s="1124">
        <v>0</v>
      </c>
      <c r="P39" s="1124">
        <v>0</v>
      </c>
      <c r="Q39" s="1124">
        <v>0</v>
      </c>
      <c r="R39" s="1124">
        <v>0</v>
      </c>
      <c r="S39" s="1125">
        <v>0</v>
      </c>
      <c r="T39" s="1577">
        <f t="shared" ref="T39:T47" si="7">SUM(D39:K39)+SUM(L39:S39)</f>
        <v>1321000</v>
      </c>
      <c r="U39" s="1571"/>
    </row>
    <row r="40" spans="2:21" x14ac:dyDescent="0.25">
      <c r="B40" s="597"/>
      <c r="C40" s="141" t="s">
        <v>325</v>
      </c>
      <c r="D40" s="1126">
        <v>0</v>
      </c>
      <c r="E40" s="1127">
        <v>0</v>
      </c>
      <c r="F40" s="1127">
        <v>0</v>
      </c>
      <c r="G40" s="1127">
        <v>0</v>
      </c>
      <c r="H40" s="1127">
        <v>0</v>
      </c>
      <c r="I40" s="2133">
        <v>1944734</v>
      </c>
      <c r="J40" s="2133">
        <v>4861835</v>
      </c>
      <c r="K40" s="2133">
        <v>4861835</v>
      </c>
      <c r="L40" s="2133">
        <v>4861835</v>
      </c>
      <c r="M40" s="2133">
        <v>2917102</v>
      </c>
      <c r="N40" s="1127">
        <v>0</v>
      </c>
      <c r="O40" s="1127">
        <v>0</v>
      </c>
      <c r="P40" s="1127">
        <v>0</v>
      </c>
      <c r="Q40" s="1127">
        <v>0</v>
      </c>
      <c r="R40" s="1127">
        <v>0</v>
      </c>
      <c r="S40" s="1128">
        <v>0</v>
      </c>
      <c r="T40" s="1575">
        <f t="shared" si="7"/>
        <v>19447341</v>
      </c>
      <c r="U40" s="1571"/>
    </row>
    <row r="41" spans="2:21" x14ac:dyDescent="0.25">
      <c r="B41" s="597"/>
      <c r="C41" s="141" t="s">
        <v>1536</v>
      </c>
      <c r="D41" s="1126">
        <v>70000</v>
      </c>
      <c r="E41" s="1127">
        <v>133925</v>
      </c>
      <c r="F41" s="1127">
        <v>78136</v>
      </c>
      <c r="G41" s="1127">
        <v>697939</v>
      </c>
      <c r="H41" s="1127">
        <f>1165415+277390+90000</f>
        <v>1532805</v>
      </c>
      <c r="I41" s="1127">
        <v>22612</v>
      </c>
      <c r="J41" s="1127">
        <v>130870</v>
      </c>
      <c r="K41" s="1127">
        <v>115870</v>
      </c>
      <c r="L41" s="1127">
        <v>115870</v>
      </c>
      <c r="M41" s="1127">
        <v>277390</v>
      </c>
      <c r="N41" s="1127">
        <v>0</v>
      </c>
      <c r="O41" s="1127">
        <v>375455</v>
      </c>
      <c r="P41" s="1127">
        <v>0</v>
      </c>
      <c r="Q41" s="1127">
        <v>179325</v>
      </c>
      <c r="R41" s="1127">
        <v>0</v>
      </c>
      <c r="S41" s="1128">
        <v>0</v>
      </c>
      <c r="T41" s="1575">
        <f t="shared" si="7"/>
        <v>3730197</v>
      </c>
      <c r="U41" s="1571"/>
    </row>
    <row r="42" spans="2:21" x14ac:dyDescent="0.25">
      <c r="B42" s="597"/>
      <c r="C42" s="141" t="s">
        <v>326</v>
      </c>
      <c r="D42" s="1126">
        <v>15000</v>
      </c>
      <c r="E42" s="1127">
        <v>30000</v>
      </c>
      <c r="F42" s="1127">
        <v>30000</v>
      </c>
      <c r="G42" s="1127">
        <v>30000</v>
      </c>
      <c r="H42" s="1127">
        <v>0</v>
      </c>
      <c r="I42" s="1127">
        <v>0</v>
      </c>
      <c r="J42" s="1127">
        <v>0</v>
      </c>
      <c r="K42" s="1127">
        <v>0</v>
      </c>
      <c r="L42" s="1127">
        <v>0</v>
      </c>
      <c r="M42" s="1127">
        <v>0</v>
      </c>
      <c r="N42" s="1127">
        <v>0</v>
      </c>
      <c r="O42" s="1127">
        <v>0</v>
      </c>
      <c r="P42" s="1127">
        <v>0</v>
      </c>
      <c r="Q42" s="1127">
        <v>0</v>
      </c>
      <c r="R42" s="1127">
        <v>0</v>
      </c>
      <c r="S42" s="1128">
        <v>0</v>
      </c>
      <c r="T42" s="1575">
        <f t="shared" si="7"/>
        <v>105000</v>
      </c>
      <c r="U42" s="1571"/>
    </row>
    <row r="43" spans="2:21" x14ac:dyDescent="0.25">
      <c r="B43" s="597"/>
      <c r="C43" s="142" t="s">
        <v>193</v>
      </c>
      <c r="D43" s="1126">
        <v>0</v>
      </c>
      <c r="E43" s="1127">
        <v>0</v>
      </c>
      <c r="F43" s="1127">
        <v>0</v>
      </c>
      <c r="G43" s="1127">
        <v>0</v>
      </c>
      <c r="H43" s="1127">
        <f>143419+50000</f>
        <v>193419</v>
      </c>
      <c r="I43" s="1127">
        <v>0</v>
      </c>
      <c r="J43" s="1127">
        <v>42000</v>
      </c>
      <c r="K43" s="1127">
        <v>61000</v>
      </c>
      <c r="L43" s="1127">
        <v>68000</v>
      </c>
      <c r="M43" s="1127">
        <v>72000</v>
      </c>
      <c r="N43" s="1127">
        <v>74000</v>
      </c>
      <c r="O43" s="1127">
        <v>79000</v>
      </c>
      <c r="P43" s="1127">
        <v>0</v>
      </c>
      <c r="Q43" s="1127">
        <v>0</v>
      </c>
      <c r="R43" s="1127">
        <v>0</v>
      </c>
      <c r="S43" s="1128">
        <v>0</v>
      </c>
      <c r="T43" s="1575">
        <f t="shared" si="7"/>
        <v>589419</v>
      </c>
      <c r="U43" s="1571"/>
    </row>
    <row r="44" spans="2:21" x14ac:dyDescent="0.25">
      <c r="B44" s="597"/>
      <c r="C44" s="142" t="s">
        <v>199</v>
      </c>
      <c r="D44" s="1126">
        <v>0</v>
      </c>
      <c r="E44" s="1127">
        <v>0</v>
      </c>
      <c r="F44" s="1127">
        <v>0</v>
      </c>
      <c r="G44" s="1127">
        <v>0</v>
      </c>
      <c r="H44" s="1127">
        <f>35439+85000+20000</f>
        <v>140439</v>
      </c>
      <c r="I44" s="1127">
        <v>0</v>
      </c>
      <c r="J44" s="1127">
        <v>0</v>
      </c>
      <c r="K44" s="1127">
        <v>0</v>
      </c>
      <c r="L44" s="1127">
        <v>0</v>
      </c>
      <c r="M44" s="1127">
        <v>0</v>
      </c>
      <c r="N44" s="1127">
        <v>0</v>
      </c>
      <c r="O44" s="1127">
        <v>131438</v>
      </c>
      <c r="P44" s="1127">
        <v>0</v>
      </c>
      <c r="Q44" s="1127">
        <v>0</v>
      </c>
      <c r="R44" s="1127">
        <v>0</v>
      </c>
      <c r="S44" s="1128">
        <v>0</v>
      </c>
      <c r="T44" s="1575">
        <f t="shared" si="7"/>
        <v>271877</v>
      </c>
      <c r="U44" s="1571"/>
    </row>
    <row r="45" spans="2:21" x14ac:dyDescent="0.25">
      <c r="B45" s="597"/>
      <c r="C45" s="142" t="s">
        <v>207</v>
      </c>
      <c r="D45" s="1126">
        <v>0</v>
      </c>
      <c r="E45" s="1127">
        <v>0</v>
      </c>
      <c r="F45" s="1127">
        <v>0</v>
      </c>
      <c r="G45" s="1127">
        <v>0</v>
      </c>
      <c r="H45" s="1127">
        <v>0</v>
      </c>
      <c r="I45" s="1127">
        <v>0</v>
      </c>
      <c r="J45" s="1127">
        <v>0</v>
      </c>
      <c r="K45" s="1127">
        <v>0</v>
      </c>
      <c r="L45" s="1127">
        <v>0</v>
      </c>
      <c r="M45" s="1127">
        <v>0</v>
      </c>
      <c r="N45" s="1127">
        <v>0</v>
      </c>
      <c r="O45" s="1127">
        <v>392737</v>
      </c>
      <c r="P45" s="1127">
        <v>0</v>
      </c>
      <c r="Q45" s="1127">
        <v>0</v>
      </c>
      <c r="R45" s="1127">
        <v>0</v>
      </c>
      <c r="S45" s="1128">
        <v>0</v>
      </c>
      <c r="T45" s="1575">
        <f t="shared" si="7"/>
        <v>392737</v>
      </c>
      <c r="U45" s="1571"/>
    </row>
    <row r="46" spans="2:21" x14ac:dyDescent="0.25">
      <c r="B46" s="597"/>
      <c r="C46" s="142" t="s">
        <v>210</v>
      </c>
      <c r="D46" s="1126">
        <v>0</v>
      </c>
      <c r="E46" s="1127">
        <v>0</v>
      </c>
      <c r="F46" s="1127">
        <v>0</v>
      </c>
      <c r="G46" s="1127">
        <v>0</v>
      </c>
      <c r="H46" s="1127">
        <v>1256847</v>
      </c>
      <c r="I46" s="1127">
        <v>0</v>
      </c>
      <c r="J46" s="1127">
        <v>0</v>
      </c>
      <c r="K46" s="1127">
        <v>0</v>
      </c>
      <c r="L46" s="1127">
        <v>0</v>
      </c>
      <c r="M46" s="1127">
        <v>0</v>
      </c>
      <c r="N46" s="1127">
        <v>0</v>
      </c>
      <c r="O46" s="1127">
        <v>95000</v>
      </c>
      <c r="P46" s="1127">
        <v>0</v>
      </c>
      <c r="Q46" s="1127">
        <v>0</v>
      </c>
      <c r="R46" s="1127">
        <v>0</v>
      </c>
      <c r="S46" s="1128">
        <v>0</v>
      </c>
      <c r="T46" s="1575">
        <f t="shared" si="7"/>
        <v>1351847</v>
      </c>
      <c r="U46" s="1571"/>
    </row>
    <row r="47" spans="2:21" ht="15.75" thickBot="1" x14ac:dyDescent="0.3">
      <c r="B47" s="597"/>
      <c r="C47" s="142" t="s">
        <v>327</v>
      </c>
      <c r="D47" s="1129">
        <v>0</v>
      </c>
      <c r="E47" s="1130">
        <v>0</v>
      </c>
      <c r="F47" s="1130">
        <v>0</v>
      </c>
      <c r="G47" s="1130">
        <v>0</v>
      </c>
      <c r="H47" s="1130">
        <v>93047</v>
      </c>
      <c r="I47" s="1130">
        <v>0</v>
      </c>
      <c r="J47" s="1130">
        <v>0</v>
      </c>
      <c r="K47" s="1130">
        <v>0</v>
      </c>
      <c r="L47" s="1130">
        <v>0</v>
      </c>
      <c r="M47" s="1130">
        <v>0</v>
      </c>
      <c r="N47" s="1130">
        <v>0</v>
      </c>
      <c r="O47" s="1130">
        <v>0</v>
      </c>
      <c r="P47" s="1130">
        <v>0</v>
      </c>
      <c r="Q47" s="1130">
        <v>0</v>
      </c>
      <c r="R47" s="1130">
        <v>0</v>
      </c>
      <c r="S47" s="1131">
        <v>0</v>
      </c>
      <c r="T47" s="1576">
        <f t="shared" si="7"/>
        <v>93047</v>
      </c>
      <c r="U47" s="1571"/>
    </row>
    <row r="48" spans="2:21" ht="3.75" customHeight="1" thickBot="1" x14ac:dyDescent="0.3">
      <c r="B48" s="597"/>
      <c r="C48" s="138"/>
      <c r="D48" s="130"/>
      <c r="E48" s="130"/>
      <c r="F48" s="130"/>
      <c r="G48" s="130"/>
      <c r="H48" s="130"/>
      <c r="I48" s="598"/>
      <c r="J48" s="130"/>
      <c r="K48" s="598"/>
      <c r="L48" s="130"/>
      <c r="M48" s="136"/>
      <c r="N48" s="136"/>
      <c r="O48" s="136"/>
      <c r="P48" s="136"/>
      <c r="Q48" s="136"/>
      <c r="R48" s="136"/>
      <c r="S48" s="136"/>
      <c r="T48" s="137"/>
      <c r="U48" s="1571"/>
    </row>
    <row r="49" spans="2:21" ht="15.75" thickBot="1" x14ac:dyDescent="0.3">
      <c r="B49" s="597"/>
      <c r="C49" s="131" t="s">
        <v>328</v>
      </c>
      <c r="D49" s="1109">
        <f>SUM(D39:D47)</f>
        <v>85000</v>
      </c>
      <c r="E49" s="1110">
        <f t="shared" ref="E49:J49" si="8">SUM(E39:E47)</f>
        <v>163925</v>
      </c>
      <c r="F49" s="1110">
        <f t="shared" si="8"/>
        <v>108136</v>
      </c>
      <c r="G49" s="1110">
        <f t="shared" si="8"/>
        <v>727939</v>
      </c>
      <c r="H49" s="1110">
        <f t="shared" si="8"/>
        <v>4537557</v>
      </c>
      <c r="I49" s="1110">
        <f t="shared" si="8"/>
        <v>1967346</v>
      </c>
      <c r="J49" s="1110">
        <f t="shared" si="8"/>
        <v>5034705</v>
      </c>
      <c r="K49" s="1110">
        <f>SUM(K39:K47)</f>
        <v>5038705</v>
      </c>
      <c r="L49" s="1110">
        <f>SUM(L39:L47)</f>
        <v>5045705</v>
      </c>
      <c r="M49" s="1110">
        <f t="shared" ref="M49:S49" si="9">SUM(M39:M47)</f>
        <v>3266492</v>
      </c>
      <c r="N49" s="1110">
        <f t="shared" si="9"/>
        <v>74000</v>
      </c>
      <c r="O49" s="1110">
        <f t="shared" si="9"/>
        <v>1073630</v>
      </c>
      <c r="P49" s="1110">
        <f t="shared" si="9"/>
        <v>0</v>
      </c>
      <c r="Q49" s="1110">
        <f t="shared" si="9"/>
        <v>179325</v>
      </c>
      <c r="R49" s="1110">
        <f t="shared" si="9"/>
        <v>0</v>
      </c>
      <c r="S49" s="1111">
        <f t="shared" si="9"/>
        <v>0</v>
      </c>
      <c r="T49" s="2095">
        <f>SUM(T39:T47)</f>
        <v>27302465</v>
      </c>
      <c r="U49" s="1571"/>
    </row>
    <row r="50" spans="2:21" ht="3.75" customHeight="1" thickBot="1" x14ac:dyDescent="0.3">
      <c r="B50" s="597"/>
      <c r="C50" s="130"/>
      <c r="D50" s="136"/>
      <c r="E50" s="136"/>
      <c r="F50" s="136"/>
      <c r="G50" s="136"/>
      <c r="H50" s="136"/>
      <c r="I50" s="601"/>
      <c r="J50" s="130"/>
      <c r="K50" s="601"/>
      <c r="L50" s="130"/>
      <c r="M50" s="136"/>
      <c r="N50" s="136"/>
      <c r="O50" s="136"/>
      <c r="P50" s="136"/>
      <c r="Q50" s="601"/>
      <c r="R50" s="130"/>
      <c r="S50" s="130"/>
      <c r="T50" s="138"/>
      <c r="U50" s="1571"/>
    </row>
    <row r="51" spans="2:21" ht="15.75" thickBot="1" x14ac:dyDescent="0.3">
      <c r="B51" s="597"/>
      <c r="C51" s="134" t="s">
        <v>329</v>
      </c>
      <c r="D51" s="1109">
        <f t="shared" ref="D51:T51" si="10">D36-D49</f>
        <v>0</v>
      </c>
      <c r="E51" s="1110">
        <f t="shared" si="10"/>
        <v>0</v>
      </c>
      <c r="F51" s="1110">
        <f t="shared" si="10"/>
        <v>0</v>
      </c>
      <c r="G51" s="1110">
        <f t="shared" si="10"/>
        <v>0</v>
      </c>
      <c r="H51" s="1110">
        <f t="shared" si="10"/>
        <v>0</v>
      </c>
      <c r="I51" s="1110">
        <f t="shared" si="10"/>
        <v>0</v>
      </c>
      <c r="J51" s="1110">
        <f t="shared" si="10"/>
        <v>0</v>
      </c>
      <c r="K51" s="1110">
        <f t="shared" si="10"/>
        <v>0</v>
      </c>
      <c r="L51" s="1110">
        <f t="shared" si="10"/>
        <v>0</v>
      </c>
      <c r="M51" s="1110">
        <f t="shared" si="10"/>
        <v>0</v>
      </c>
      <c r="N51" s="1110">
        <f t="shared" si="10"/>
        <v>0</v>
      </c>
      <c r="O51" s="1110">
        <f t="shared" si="10"/>
        <v>0</v>
      </c>
      <c r="P51" s="1110">
        <f t="shared" si="10"/>
        <v>0</v>
      </c>
      <c r="Q51" s="1110">
        <f t="shared" si="10"/>
        <v>0</v>
      </c>
      <c r="R51" s="1110">
        <f t="shared" si="10"/>
        <v>0</v>
      </c>
      <c r="S51" s="1111">
        <f t="shared" si="10"/>
        <v>0</v>
      </c>
      <c r="T51" s="1112">
        <f t="shared" si="10"/>
        <v>0</v>
      </c>
      <c r="U51" s="1571"/>
    </row>
    <row r="52" spans="2:21" ht="7.5" customHeight="1" x14ac:dyDescent="0.25">
      <c r="B52" s="597"/>
      <c r="C52" s="130"/>
      <c r="D52" s="130"/>
      <c r="E52" s="136"/>
      <c r="F52" s="136"/>
      <c r="G52" s="136"/>
      <c r="H52" s="136"/>
      <c r="I52" s="136"/>
      <c r="J52" s="136"/>
      <c r="K52" s="136"/>
      <c r="L52" s="1105"/>
      <c r="M52" s="1105"/>
      <c r="N52" s="1105"/>
      <c r="O52" s="1105"/>
      <c r="P52" s="1105"/>
      <c r="Q52" s="1105"/>
      <c r="R52" s="1105"/>
      <c r="S52" s="1105"/>
      <c r="T52" s="1105"/>
      <c r="U52" s="1571"/>
    </row>
    <row r="53" spans="2:21" x14ac:dyDescent="0.25">
      <c r="B53" s="597"/>
      <c r="C53" s="135" t="s">
        <v>330</v>
      </c>
      <c r="D53" s="1105"/>
      <c r="E53" s="136"/>
      <c r="F53" s="136"/>
      <c r="G53" s="136"/>
      <c r="H53" s="136"/>
      <c r="I53" s="136"/>
      <c r="J53" s="136"/>
      <c r="K53" s="136"/>
      <c r="L53" s="1105"/>
      <c r="M53" s="1105"/>
      <c r="N53" s="1105"/>
      <c r="O53" s="1105"/>
      <c r="P53" s="1105"/>
      <c r="Q53" s="1105"/>
      <c r="R53" s="1105"/>
      <c r="S53" s="1105"/>
      <c r="T53" s="1105"/>
      <c r="U53" s="1571"/>
    </row>
    <row r="54" spans="2:21" ht="15" customHeight="1" x14ac:dyDescent="0.25">
      <c r="B54" s="597"/>
      <c r="C54" s="2358"/>
      <c r="D54" s="2359"/>
      <c r="E54" s="2359"/>
      <c r="F54" s="2359"/>
      <c r="G54" s="2359"/>
      <c r="H54" s="2359"/>
      <c r="I54" s="2359"/>
      <c r="J54" s="2359"/>
      <c r="K54" s="2360"/>
      <c r="L54" s="1105"/>
      <c r="M54" s="1105"/>
      <c r="N54" s="1105"/>
      <c r="O54" s="1105"/>
      <c r="P54" s="1105"/>
      <c r="Q54" s="1105"/>
      <c r="R54" s="1105"/>
      <c r="S54" s="1105"/>
      <c r="T54" s="1105"/>
      <c r="U54" s="1571"/>
    </row>
    <row r="55" spans="2:21" ht="15" customHeight="1" x14ac:dyDescent="0.25">
      <c r="B55" s="597"/>
      <c r="C55" s="2361"/>
      <c r="D55" s="2362"/>
      <c r="E55" s="2362"/>
      <c r="F55" s="2362"/>
      <c r="G55" s="2362"/>
      <c r="H55" s="2362"/>
      <c r="I55" s="2362"/>
      <c r="J55" s="2362"/>
      <c r="K55" s="2363"/>
      <c r="L55" s="1105"/>
      <c r="M55" s="1105"/>
      <c r="N55" s="1105"/>
      <c r="O55" s="1105"/>
      <c r="P55" s="1105"/>
      <c r="Q55" s="1105"/>
      <c r="R55" s="1105"/>
      <c r="S55" s="1105"/>
      <c r="T55" s="1105"/>
      <c r="U55" s="1571"/>
    </row>
    <row r="56" spans="2:21" ht="15" customHeight="1" x14ac:dyDescent="0.25">
      <c r="B56" s="597"/>
      <c r="C56" s="2361"/>
      <c r="D56" s="2362"/>
      <c r="E56" s="2362"/>
      <c r="F56" s="2362"/>
      <c r="G56" s="2362"/>
      <c r="H56" s="2362"/>
      <c r="I56" s="2362"/>
      <c r="J56" s="2362"/>
      <c r="K56" s="2363"/>
      <c r="L56" s="1105"/>
      <c r="M56" s="1105"/>
      <c r="N56" s="1105"/>
      <c r="O56" s="1105"/>
      <c r="P56" s="1105"/>
      <c r="Q56" s="1105"/>
      <c r="R56" s="1105"/>
      <c r="S56" s="1105"/>
      <c r="T56" s="1105"/>
      <c r="U56" s="1571"/>
    </row>
    <row r="57" spans="2:21" ht="15" customHeight="1" x14ac:dyDescent="0.25">
      <c r="B57" s="597"/>
      <c r="C57" s="2364"/>
      <c r="D57" s="2365"/>
      <c r="E57" s="2365"/>
      <c r="F57" s="2365"/>
      <c r="G57" s="2365"/>
      <c r="H57" s="2365"/>
      <c r="I57" s="2365"/>
      <c r="J57" s="2365"/>
      <c r="K57" s="2366"/>
      <c r="L57" s="1105"/>
      <c r="M57" s="1105"/>
      <c r="N57" s="1105"/>
      <c r="O57" s="1105"/>
      <c r="P57" s="1105"/>
      <c r="Q57" s="1105"/>
      <c r="R57" s="1105"/>
      <c r="S57" s="1105"/>
      <c r="T57" s="1105"/>
      <c r="U57" s="1571"/>
    </row>
    <row r="58" spans="2:21" ht="9" customHeight="1" thickBot="1" x14ac:dyDescent="0.3">
      <c r="B58" s="602"/>
      <c r="C58" s="1107"/>
      <c r="D58" s="1106"/>
      <c r="E58" s="1106"/>
      <c r="F58" s="1106"/>
      <c r="G58" s="1106"/>
      <c r="H58" s="1106"/>
      <c r="I58" s="1106"/>
      <c r="J58" s="1106"/>
      <c r="K58" s="1106"/>
      <c r="L58" s="1579"/>
      <c r="M58" s="1579"/>
      <c r="N58" s="1579"/>
      <c r="O58" s="1579"/>
      <c r="P58" s="1579"/>
      <c r="Q58" s="1579"/>
      <c r="R58" s="1579"/>
      <c r="S58" s="1579"/>
      <c r="T58" s="1579"/>
      <c r="U58" s="1533"/>
    </row>
    <row r="59" spans="2:21" ht="3.75" customHeight="1" x14ac:dyDescent="0.25"/>
    <row r="60" spans="2:21" ht="3.75" customHeight="1" x14ac:dyDescent="0.25"/>
  </sheetData>
  <sheetProtection algorithmName="SHA-512" hashValue="lV8kWBH3tO8ThF/RfP9tODjKSDQRZaaGEE2BcjhuSy+pGAF9/uRxkyR20lfMYxPStKMbtjBpupKuxRfwL9BnNg==" saltValue="B4k44Za98ceg1CxUU/phiQ==" spinCount="100000" sheet="1" formatCells="0" formatColumns="0" formatRows="0" insertRows="0"/>
  <mergeCells count="5">
    <mergeCell ref="C54:K57"/>
    <mergeCell ref="C14:J14"/>
    <mergeCell ref="C16:K16"/>
    <mergeCell ref="C38:K38"/>
    <mergeCell ref="C12:T12"/>
  </mergeCells>
  <pageMargins left="0.25" right="0.25" top="0.75" bottom="0.75" header="0.3" footer="0.3"/>
  <pageSetup scale="79" orientation="landscape" r:id="rId1"/>
  <headerFooter>
    <oddFooter>&amp;LForm 7B
Estimate of Cash Flow During Development&amp;CCFA Forms&amp;REdition: 2016
Version: 1.0</oddFooter>
  </headerFooter>
  <rowBreaks count="1" manualBreakCount="1">
    <brk id="59"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4"/>
  <sheetViews>
    <sheetView showGridLines="0" zoomScaleNormal="100" zoomScaleSheetLayoutView="100" workbookViewId="0">
      <selection activeCell="G29" sqref="G29"/>
    </sheetView>
  </sheetViews>
  <sheetFormatPr defaultRowHeight="15" x14ac:dyDescent="0.25"/>
  <cols>
    <col min="1" max="2" width="1.7109375" style="421" customWidth="1"/>
    <col min="3" max="3" width="14.28515625" style="421" customWidth="1"/>
    <col min="4" max="4" width="5.28515625" style="421" bestFit="1" customWidth="1"/>
    <col min="5" max="5" width="8.42578125" style="421" bestFit="1" customWidth="1"/>
    <col min="6" max="7" width="10" style="421" bestFit="1" customWidth="1"/>
    <col min="8" max="8" width="11" style="421" customWidth="1"/>
    <col min="9" max="9" width="11.140625" style="421" customWidth="1"/>
    <col min="10" max="10" width="12.28515625" style="421" customWidth="1"/>
    <col min="11" max="12" width="11.140625" style="421" customWidth="1"/>
    <col min="13" max="13" width="11.7109375" style="421" bestFit="1" customWidth="1"/>
    <col min="14" max="15" width="12.5703125" style="421" bestFit="1" customWidth="1"/>
    <col min="16" max="16" width="1.7109375" style="421" customWidth="1"/>
    <col min="17" max="16384" width="9.140625" style="421"/>
  </cols>
  <sheetData>
    <row r="7" spans="2:16" ht="9" customHeight="1" thickBot="1" x14ac:dyDescent="0.3"/>
    <row r="8" spans="2:16" ht="9" customHeight="1" x14ac:dyDescent="0.25">
      <c r="B8" s="200"/>
      <c r="C8" s="664"/>
      <c r="D8" s="664"/>
      <c r="E8" s="665"/>
      <c r="F8" s="665"/>
      <c r="G8" s="665"/>
      <c r="H8" s="664"/>
      <c r="I8" s="664"/>
      <c r="J8" s="664"/>
      <c r="K8" s="664"/>
      <c r="L8" s="664"/>
      <c r="M8" s="664"/>
      <c r="N8" s="664"/>
      <c r="O8" s="664"/>
      <c r="P8" s="666"/>
    </row>
    <row r="9" spans="2:16" ht="18.75" x14ac:dyDescent="0.25">
      <c r="B9" s="4"/>
      <c r="C9" s="2165" t="s">
        <v>547</v>
      </c>
      <c r="D9" s="2165"/>
      <c r="E9" s="2165"/>
      <c r="F9" s="2165"/>
      <c r="G9" s="2165"/>
      <c r="H9" s="2165"/>
      <c r="I9" s="2165"/>
      <c r="J9" s="2165"/>
      <c r="K9" s="2165"/>
      <c r="L9" s="2165"/>
      <c r="M9" s="2165"/>
      <c r="N9" s="2165"/>
      <c r="O9" s="2165"/>
      <c r="P9" s="667"/>
    </row>
    <row r="10" spans="2:16" x14ac:dyDescent="0.25">
      <c r="B10" s="4"/>
      <c r="C10" s="1"/>
      <c r="D10" s="1"/>
      <c r="E10" s="144"/>
      <c r="F10" s="144"/>
      <c r="G10" s="144"/>
      <c r="H10" s="1"/>
      <c r="I10" s="1"/>
      <c r="J10" s="1"/>
      <c r="K10" s="1"/>
      <c r="L10" s="1"/>
      <c r="M10" s="1"/>
      <c r="N10" s="1"/>
      <c r="O10" s="1"/>
      <c r="P10" s="667"/>
    </row>
    <row r="11" spans="2:16" ht="15.75" thickBot="1" x14ac:dyDescent="0.3">
      <c r="B11" s="501"/>
      <c r="C11" s="2259" t="str">
        <f>IF('1'!G5="","Enter Project Name on Form 1",(CONCATENATE("Project Name: ",'1'!G5)))</f>
        <v>Project Name: Filipino Community Village</v>
      </c>
      <c r="D11" s="2259"/>
      <c r="E11" s="2259"/>
      <c r="F11" s="2259"/>
      <c r="G11" s="2259"/>
      <c r="H11" s="2259"/>
      <c r="I11" s="2259"/>
      <c r="J11" s="2259"/>
      <c r="K11" s="2259"/>
      <c r="L11" s="2259"/>
      <c r="M11" s="2259"/>
      <c r="N11" s="2259"/>
      <c r="O11" s="500"/>
      <c r="P11" s="568"/>
    </row>
    <row r="12" spans="2:16" ht="22.5" customHeight="1" thickBot="1" x14ac:dyDescent="0.3">
      <c r="B12" s="4"/>
      <c r="C12" s="1"/>
      <c r="D12" s="1"/>
      <c r="E12" s="144"/>
      <c r="F12" s="144"/>
      <c r="G12" s="144"/>
      <c r="H12" s="1"/>
      <c r="I12" s="1"/>
      <c r="J12" s="1"/>
      <c r="K12" s="1"/>
      <c r="L12" s="1"/>
      <c r="M12" s="1"/>
      <c r="N12" s="1"/>
      <c r="O12" s="1"/>
      <c r="P12" s="667"/>
    </row>
    <row r="13" spans="2:16" ht="48.75" thickBot="1" x14ac:dyDescent="0.3">
      <c r="B13" s="4"/>
      <c r="C13" s="668" t="s">
        <v>332</v>
      </c>
      <c r="D13" s="669" t="s">
        <v>594</v>
      </c>
      <c r="E13" s="669" t="s">
        <v>1130</v>
      </c>
      <c r="F13" s="669" t="s">
        <v>595</v>
      </c>
      <c r="G13" s="670" t="s">
        <v>535</v>
      </c>
      <c r="H13" s="671" t="s">
        <v>333</v>
      </c>
      <c r="I13" s="669" t="s">
        <v>1624</v>
      </c>
      <c r="J13" s="671" t="s">
        <v>334</v>
      </c>
      <c r="K13" s="671" t="s">
        <v>335</v>
      </c>
      <c r="L13" s="669" t="s">
        <v>336</v>
      </c>
      <c r="M13" s="671" t="s">
        <v>337</v>
      </c>
      <c r="N13" s="671" t="s">
        <v>338</v>
      </c>
      <c r="O13" s="672" t="s">
        <v>339</v>
      </c>
      <c r="P13" s="145"/>
    </row>
    <row r="14" spans="2:16" x14ac:dyDescent="0.25">
      <c r="B14" s="4"/>
      <c r="C14" s="1132">
        <v>0.3</v>
      </c>
      <c r="D14" s="1133">
        <v>4</v>
      </c>
      <c r="E14" s="1133" t="s">
        <v>39</v>
      </c>
      <c r="F14" s="1133">
        <v>1</v>
      </c>
      <c r="G14" s="1133">
        <v>408</v>
      </c>
      <c r="H14" s="1134">
        <v>464</v>
      </c>
      <c r="I14" s="1134">
        <v>40</v>
      </c>
      <c r="J14" s="1997">
        <f>H14+I14</f>
        <v>504</v>
      </c>
      <c r="K14" s="1134">
        <v>445</v>
      </c>
      <c r="L14" s="1997">
        <f>J14+K14</f>
        <v>949</v>
      </c>
      <c r="M14" s="1997">
        <f>D14*H14*12</f>
        <v>22272</v>
      </c>
      <c r="N14" s="1997">
        <f>D14*K14*12</f>
        <v>21360</v>
      </c>
      <c r="O14" s="1998">
        <f>M14+N14</f>
        <v>43632</v>
      </c>
      <c r="P14" s="145"/>
    </row>
    <row r="15" spans="2:16" x14ac:dyDescent="0.25">
      <c r="B15" s="4"/>
      <c r="C15" s="1135">
        <v>0.3</v>
      </c>
      <c r="D15" s="1136">
        <v>4</v>
      </c>
      <c r="E15" s="1136" t="s">
        <v>39</v>
      </c>
      <c r="F15" s="1136">
        <v>1</v>
      </c>
      <c r="G15" s="1136">
        <v>408</v>
      </c>
      <c r="H15" s="1137">
        <v>464</v>
      </c>
      <c r="I15" s="1137">
        <v>40</v>
      </c>
      <c r="J15" s="1999">
        <f t="shared" ref="J15:J26" si="0">H15+I15</f>
        <v>504</v>
      </c>
      <c r="K15" s="1137">
        <v>0</v>
      </c>
      <c r="L15" s="1999">
        <f t="shared" ref="L15:L26" si="1">J15+K15</f>
        <v>504</v>
      </c>
      <c r="M15" s="1999">
        <f t="shared" ref="M15:M26" si="2">D15*H15*12</f>
        <v>22272</v>
      </c>
      <c r="N15" s="1999">
        <f t="shared" ref="N15:N26" si="3">D15*K15*12</f>
        <v>0</v>
      </c>
      <c r="O15" s="2000">
        <f t="shared" ref="O15:O26" si="4">M15+N15</f>
        <v>22272</v>
      </c>
      <c r="P15" s="145"/>
    </row>
    <row r="16" spans="2:16" x14ac:dyDescent="0.25">
      <c r="B16" s="4"/>
      <c r="C16" s="1135">
        <v>0.5</v>
      </c>
      <c r="D16" s="1136">
        <v>8</v>
      </c>
      <c r="E16" s="1136" t="s">
        <v>39</v>
      </c>
      <c r="F16" s="1136"/>
      <c r="G16" s="1136">
        <v>408</v>
      </c>
      <c r="H16" s="1137">
        <v>800</v>
      </c>
      <c r="I16" s="1137">
        <v>40</v>
      </c>
      <c r="J16" s="1999">
        <f t="shared" si="0"/>
        <v>840</v>
      </c>
      <c r="K16" s="1137">
        <v>0</v>
      </c>
      <c r="L16" s="1999">
        <f t="shared" si="1"/>
        <v>840</v>
      </c>
      <c r="M16" s="1999">
        <f t="shared" si="2"/>
        <v>76800</v>
      </c>
      <c r="N16" s="1999">
        <f t="shared" si="3"/>
        <v>0</v>
      </c>
      <c r="O16" s="2000">
        <f t="shared" si="4"/>
        <v>76800</v>
      </c>
      <c r="P16" s="667"/>
    </row>
    <row r="17" spans="2:16" x14ac:dyDescent="0.25">
      <c r="B17" s="4"/>
      <c r="C17" s="1135">
        <v>0.6</v>
      </c>
      <c r="D17" s="1136">
        <v>13</v>
      </c>
      <c r="E17" s="1136" t="s">
        <v>39</v>
      </c>
      <c r="F17" s="1136"/>
      <c r="G17" s="1136">
        <v>408</v>
      </c>
      <c r="H17" s="1137">
        <v>968</v>
      </c>
      <c r="I17" s="1137">
        <v>40</v>
      </c>
      <c r="J17" s="1999">
        <f>H17+I17</f>
        <v>1008</v>
      </c>
      <c r="K17" s="1137">
        <v>0</v>
      </c>
      <c r="L17" s="1999">
        <f t="shared" si="1"/>
        <v>1008</v>
      </c>
      <c r="M17" s="1999">
        <f t="shared" si="2"/>
        <v>151008</v>
      </c>
      <c r="N17" s="1999">
        <f t="shared" si="3"/>
        <v>0</v>
      </c>
      <c r="O17" s="2000">
        <f t="shared" si="4"/>
        <v>151008</v>
      </c>
      <c r="P17" s="667"/>
    </row>
    <row r="18" spans="2:16" x14ac:dyDescent="0.25">
      <c r="B18" s="4"/>
      <c r="C18" s="1135">
        <v>0.3</v>
      </c>
      <c r="D18" s="1136">
        <v>4</v>
      </c>
      <c r="E18" s="1136" t="s">
        <v>571</v>
      </c>
      <c r="F18" s="1136">
        <v>1</v>
      </c>
      <c r="G18" s="1136">
        <v>579</v>
      </c>
      <c r="H18" s="1137">
        <v>500</v>
      </c>
      <c r="I18" s="1137">
        <v>40</v>
      </c>
      <c r="J18" s="1999">
        <f t="shared" si="0"/>
        <v>540</v>
      </c>
      <c r="K18" s="1137">
        <v>477</v>
      </c>
      <c r="L18" s="1999">
        <f t="shared" si="1"/>
        <v>1017</v>
      </c>
      <c r="M18" s="1999">
        <f t="shared" si="2"/>
        <v>24000</v>
      </c>
      <c r="N18" s="1999">
        <f t="shared" si="3"/>
        <v>22896</v>
      </c>
      <c r="O18" s="2000">
        <f t="shared" si="4"/>
        <v>46896</v>
      </c>
      <c r="P18" s="667"/>
    </row>
    <row r="19" spans="2:16" x14ac:dyDescent="0.25">
      <c r="B19" s="4"/>
      <c r="C19" s="1135">
        <v>0.3</v>
      </c>
      <c r="D19" s="1136">
        <v>8</v>
      </c>
      <c r="E19" s="1136" t="s">
        <v>571</v>
      </c>
      <c r="F19" s="1136">
        <v>1</v>
      </c>
      <c r="G19" s="1136">
        <v>579</v>
      </c>
      <c r="H19" s="1137">
        <v>500</v>
      </c>
      <c r="I19" s="1137">
        <v>40</v>
      </c>
      <c r="J19" s="1999">
        <f>H19+I19</f>
        <v>540</v>
      </c>
      <c r="K19" s="1137">
        <v>0</v>
      </c>
      <c r="L19" s="1999">
        <f t="shared" si="1"/>
        <v>540</v>
      </c>
      <c r="M19" s="1999">
        <f t="shared" si="2"/>
        <v>48000</v>
      </c>
      <c r="N19" s="1999">
        <f t="shared" si="3"/>
        <v>0</v>
      </c>
      <c r="O19" s="2000">
        <f t="shared" si="4"/>
        <v>48000</v>
      </c>
      <c r="P19" s="667"/>
    </row>
    <row r="20" spans="2:16" x14ac:dyDescent="0.25">
      <c r="B20" s="4"/>
      <c r="C20" s="1135">
        <v>0.5</v>
      </c>
      <c r="D20" s="1136">
        <v>12</v>
      </c>
      <c r="E20" s="1136" t="s">
        <v>571</v>
      </c>
      <c r="F20" s="1136">
        <v>1</v>
      </c>
      <c r="G20" s="1136">
        <v>579</v>
      </c>
      <c r="H20" s="1137">
        <v>860</v>
      </c>
      <c r="I20" s="1137">
        <v>40</v>
      </c>
      <c r="J20" s="1999">
        <f t="shared" si="0"/>
        <v>900</v>
      </c>
      <c r="K20" s="1137">
        <v>0</v>
      </c>
      <c r="L20" s="1999">
        <f t="shared" si="1"/>
        <v>900</v>
      </c>
      <c r="M20" s="1999">
        <f t="shared" si="2"/>
        <v>123840</v>
      </c>
      <c r="N20" s="1999">
        <f t="shared" si="3"/>
        <v>0</v>
      </c>
      <c r="O20" s="2000">
        <f t="shared" si="4"/>
        <v>123840</v>
      </c>
      <c r="P20" s="667"/>
    </row>
    <row r="21" spans="2:16" x14ac:dyDescent="0.25">
      <c r="B21" s="4"/>
      <c r="C21" s="1135">
        <v>0.6</v>
      </c>
      <c r="D21" s="1136">
        <v>23</v>
      </c>
      <c r="E21" s="1136" t="s">
        <v>571</v>
      </c>
      <c r="F21" s="1136"/>
      <c r="G21" s="1136">
        <v>579</v>
      </c>
      <c r="H21" s="1137">
        <v>1040</v>
      </c>
      <c r="I21" s="1137">
        <v>40</v>
      </c>
      <c r="J21" s="1999">
        <f t="shared" si="0"/>
        <v>1080</v>
      </c>
      <c r="K21" s="1137">
        <v>0</v>
      </c>
      <c r="L21" s="1999">
        <f t="shared" si="1"/>
        <v>1080</v>
      </c>
      <c r="M21" s="1999">
        <f t="shared" si="2"/>
        <v>287040</v>
      </c>
      <c r="N21" s="1999">
        <f t="shared" si="3"/>
        <v>0</v>
      </c>
      <c r="O21" s="2000">
        <f t="shared" si="4"/>
        <v>287040</v>
      </c>
      <c r="P21" s="667"/>
    </row>
    <row r="22" spans="2:16" x14ac:dyDescent="0.25">
      <c r="B22" s="4"/>
      <c r="C22" s="1135"/>
      <c r="D22" s="1136"/>
      <c r="E22" s="1136"/>
      <c r="F22" s="1136"/>
      <c r="G22" s="1136"/>
      <c r="H22" s="1137">
        <v>0</v>
      </c>
      <c r="I22" s="1137">
        <v>0</v>
      </c>
      <c r="J22" s="1999">
        <f t="shared" si="0"/>
        <v>0</v>
      </c>
      <c r="K22" s="1137">
        <v>0</v>
      </c>
      <c r="L22" s="1999">
        <f t="shared" si="1"/>
        <v>0</v>
      </c>
      <c r="M22" s="1999">
        <f t="shared" si="2"/>
        <v>0</v>
      </c>
      <c r="N22" s="1999">
        <f t="shared" si="3"/>
        <v>0</v>
      </c>
      <c r="O22" s="2000">
        <f t="shared" si="4"/>
        <v>0</v>
      </c>
      <c r="P22" s="145"/>
    </row>
    <row r="23" spans="2:16" x14ac:dyDescent="0.25">
      <c r="B23" s="4"/>
      <c r="C23" s="1135"/>
      <c r="D23" s="1136"/>
      <c r="E23" s="1136"/>
      <c r="F23" s="1136"/>
      <c r="G23" s="1136"/>
      <c r="H23" s="1137">
        <v>0</v>
      </c>
      <c r="I23" s="1137">
        <v>0</v>
      </c>
      <c r="J23" s="1999">
        <f t="shared" si="0"/>
        <v>0</v>
      </c>
      <c r="K23" s="1137">
        <v>0</v>
      </c>
      <c r="L23" s="1999">
        <f t="shared" si="1"/>
        <v>0</v>
      </c>
      <c r="M23" s="1999">
        <f t="shared" si="2"/>
        <v>0</v>
      </c>
      <c r="N23" s="1999">
        <f t="shared" si="3"/>
        <v>0</v>
      </c>
      <c r="O23" s="2000">
        <f t="shared" si="4"/>
        <v>0</v>
      </c>
      <c r="P23" s="145"/>
    </row>
    <row r="24" spans="2:16" x14ac:dyDescent="0.25">
      <c r="B24" s="4"/>
      <c r="C24" s="1135"/>
      <c r="D24" s="1136"/>
      <c r="E24" s="1136"/>
      <c r="F24" s="1136"/>
      <c r="G24" s="1136"/>
      <c r="H24" s="1137">
        <v>0</v>
      </c>
      <c r="I24" s="1137">
        <v>0</v>
      </c>
      <c r="J24" s="1999">
        <f t="shared" si="0"/>
        <v>0</v>
      </c>
      <c r="K24" s="1137">
        <v>0</v>
      </c>
      <c r="L24" s="1999">
        <f t="shared" si="1"/>
        <v>0</v>
      </c>
      <c r="M24" s="1999">
        <f t="shared" si="2"/>
        <v>0</v>
      </c>
      <c r="N24" s="1999">
        <f t="shared" si="3"/>
        <v>0</v>
      </c>
      <c r="O24" s="2000">
        <f t="shared" si="4"/>
        <v>0</v>
      </c>
      <c r="P24" s="145"/>
    </row>
    <row r="25" spans="2:16" x14ac:dyDescent="0.25">
      <c r="B25" s="4"/>
      <c r="C25" s="1135"/>
      <c r="D25" s="1136"/>
      <c r="E25" s="1136"/>
      <c r="F25" s="1136"/>
      <c r="G25" s="1136"/>
      <c r="H25" s="1137">
        <v>0</v>
      </c>
      <c r="I25" s="1137">
        <v>0</v>
      </c>
      <c r="J25" s="1999">
        <f t="shared" si="0"/>
        <v>0</v>
      </c>
      <c r="K25" s="1137">
        <v>0</v>
      </c>
      <c r="L25" s="1999">
        <f t="shared" si="1"/>
        <v>0</v>
      </c>
      <c r="M25" s="1999">
        <f t="shared" si="2"/>
        <v>0</v>
      </c>
      <c r="N25" s="1999">
        <f t="shared" si="3"/>
        <v>0</v>
      </c>
      <c r="O25" s="2000">
        <f t="shared" si="4"/>
        <v>0</v>
      </c>
      <c r="P25" s="145"/>
    </row>
    <row r="26" spans="2:16" x14ac:dyDescent="0.25">
      <c r="B26" s="4"/>
      <c r="C26" s="1138"/>
      <c r="D26" s="1139"/>
      <c r="E26" s="1139"/>
      <c r="F26" s="1139"/>
      <c r="G26" s="1139"/>
      <c r="H26" s="1140">
        <v>0</v>
      </c>
      <c r="I26" s="1140">
        <v>0</v>
      </c>
      <c r="J26" s="2001">
        <f t="shared" si="0"/>
        <v>0</v>
      </c>
      <c r="K26" s="1140">
        <v>0</v>
      </c>
      <c r="L26" s="2001">
        <f t="shared" si="1"/>
        <v>0</v>
      </c>
      <c r="M26" s="2001">
        <f t="shared" si="2"/>
        <v>0</v>
      </c>
      <c r="N26" s="2001">
        <f t="shared" si="3"/>
        <v>0</v>
      </c>
      <c r="O26" s="2002">
        <f t="shared" si="4"/>
        <v>0</v>
      </c>
      <c r="P26" s="145"/>
    </row>
    <row r="27" spans="2:16" ht="3.75" customHeight="1" x14ac:dyDescent="0.25">
      <c r="B27" s="4"/>
      <c r="C27" s="1580"/>
      <c r="D27" s="1581"/>
      <c r="E27" s="1581"/>
      <c r="F27" s="1581"/>
      <c r="G27" s="1581"/>
      <c r="H27" s="1582"/>
      <c r="I27" s="1582"/>
      <c r="J27" s="1583"/>
      <c r="K27" s="1582"/>
      <c r="L27" s="1583"/>
      <c r="M27" s="1583"/>
      <c r="N27" s="1583"/>
      <c r="O27" s="1584"/>
      <c r="P27" s="145"/>
    </row>
    <row r="28" spans="2:16" ht="24" x14ac:dyDescent="0.25">
      <c r="B28" s="4"/>
      <c r="C28" s="2003" t="s">
        <v>340</v>
      </c>
      <c r="D28" s="797">
        <v>1</v>
      </c>
      <c r="E28" s="797" t="s">
        <v>572</v>
      </c>
      <c r="F28" s="797">
        <v>1</v>
      </c>
      <c r="G28" s="797">
        <v>1126</v>
      </c>
      <c r="H28" s="2004"/>
      <c r="I28" s="2004"/>
      <c r="J28" s="1585"/>
      <c r="K28" s="2004"/>
      <c r="L28" s="1585"/>
      <c r="M28" s="1585"/>
      <c r="N28" s="1585"/>
      <c r="O28" s="1586"/>
      <c r="P28" s="145"/>
    </row>
    <row r="29" spans="2:16" ht="15.75" thickBot="1" x14ac:dyDescent="0.3">
      <c r="B29" s="4"/>
      <c r="C29" s="2005" t="s">
        <v>599</v>
      </c>
      <c r="D29" s="795"/>
      <c r="E29" s="795"/>
      <c r="F29" s="795"/>
      <c r="G29" s="795"/>
      <c r="H29" s="796">
        <v>0</v>
      </c>
      <c r="I29" s="1521">
        <v>0</v>
      </c>
      <c r="J29" s="2001">
        <f>H29+I29</f>
        <v>0</v>
      </c>
      <c r="K29" s="796">
        <v>0</v>
      </c>
      <c r="L29" s="2001">
        <f>J29+K29</f>
        <v>0</v>
      </c>
      <c r="M29" s="2001">
        <f>D29*H29*12</f>
        <v>0</v>
      </c>
      <c r="N29" s="2001">
        <f>D29*K29*12</f>
        <v>0</v>
      </c>
      <c r="O29" s="2002">
        <f>M29+N29</f>
        <v>0</v>
      </c>
      <c r="P29" s="145"/>
    </row>
    <row r="30" spans="2:16" ht="16.5" thickTop="1" thickBot="1" x14ac:dyDescent="0.3">
      <c r="B30" s="1587"/>
      <c r="C30" s="673" t="s">
        <v>85</v>
      </c>
      <c r="D30" s="674">
        <f>SUM(D14:D29)</f>
        <v>77</v>
      </c>
      <c r="E30" s="675"/>
      <c r="F30" s="676"/>
      <c r="G30" s="676"/>
      <c r="H30" s="1520"/>
      <c r="I30" s="1520"/>
      <c r="J30" s="677"/>
      <c r="K30" s="677"/>
      <c r="L30" s="677"/>
      <c r="M30" s="678">
        <f>SUM(M14:M26)+(SUMIF(C28:C29,"Market Rate",M28:M29))</f>
        <v>755232</v>
      </c>
      <c r="N30" s="1087">
        <f>SUM(N14:N26)+(SUMIF(C28:C29,"Market Rate",N28:N29))</f>
        <v>44256</v>
      </c>
      <c r="O30" s="679">
        <f>SUM(O14:O26)+(SUMIF(C28:C29,"Market Rate",O28:O29))</f>
        <v>799488</v>
      </c>
      <c r="P30" s="1572"/>
    </row>
    <row r="31" spans="2:16" x14ac:dyDescent="0.25">
      <c r="B31" s="4"/>
      <c r="C31" s="680"/>
      <c r="D31" s="681"/>
      <c r="E31" s="682"/>
      <c r="F31" s="682"/>
      <c r="G31" s="682" t="str">
        <f>IF((IF((SUM(G14:G26))&lt;&gt;0,(SUMPRODUCT(D14:D26,G14:G26)),0))&lt;&gt;'2B'!E34,"CAUTION - LIH Square footage does not match Form 2B","")</f>
        <v/>
      </c>
      <c r="H31" s="2097"/>
      <c r="I31" s="682"/>
      <c r="J31" s="682"/>
      <c r="K31" s="682"/>
      <c r="M31" s="683"/>
      <c r="N31" s="684"/>
      <c r="O31" s="683"/>
      <c r="P31" s="145"/>
    </row>
    <row r="32" spans="2:16" x14ac:dyDescent="0.25">
      <c r="B32" s="4"/>
      <c r="C32" s="425" t="s">
        <v>596</v>
      </c>
      <c r="D32" s="1331"/>
      <c r="E32" s="1331"/>
      <c r="F32" s="1331"/>
      <c r="G32" s="1331"/>
      <c r="H32" s="1331"/>
      <c r="I32" s="1331"/>
      <c r="J32" s="1331"/>
      <c r="K32" s="1331"/>
      <c r="L32" s="1331"/>
      <c r="M32" s="1331"/>
      <c r="N32"/>
      <c r="O32" s="1331"/>
      <c r="P32" s="1572"/>
    </row>
    <row r="33" spans="2:16" ht="7.5" customHeight="1" thickBot="1" x14ac:dyDescent="0.3">
      <c r="B33" s="4"/>
      <c r="C33" s="2006"/>
      <c r="D33" s="134"/>
      <c r="E33" s="130"/>
      <c r="F33" s="130"/>
      <c r="G33" s="130"/>
      <c r="H33" s="130"/>
      <c r="I33" s="130"/>
      <c r="J33" s="130"/>
      <c r="K33" s="130"/>
      <c r="L33" s="130"/>
      <c r="M33" s="130"/>
      <c r="N33" s="130"/>
      <c r="O33" s="1405"/>
      <c r="P33" s="2007"/>
    </row>
    <row r="34" spans="2:16" ht="30.75" thickBot="1" x14ac:dyDescent="0.3">
      <c r="B34" s="4"/>
      <c r="C34" s="2008" t="s">
        <v>36</v>
      </c>
      <c r="D34" s="2009" t="s">
        <v>37</v>
      </c>
      <c r="E34" s="2010" t="s">
        <v>38</v>
      </c>
      <c r="F34" s="2010" t="s">
        <v>39</v>
      </c>
      <c r="G34" s="2010" t="s">
        <v>571</v>
      </c>
      <c r="H34" s="2010" t="s">
        <v>572</v>
      </c>
      <c r="I34" s="2011" t="s">
        <v>573</v>
      </c>
      <c r="J34" s="2011" t="s">
        <v>574</v>
      </c>
      <c r="K34" s="2012" t="s">
        <v>575</v>
      </c>
      <c r="L34" s="2013" t="s">
        <v>600</v>
      </c>
      <c r="M34" s="1405"/>
      <c r="N34" s="1405"/>
      <c r="O34" s="1405"/>
      <c r="P34" s="2014"/>
    </row>
    <row r="35" spans="2:16" x14ac:dyDescent="0.25">
      <c r="B35" s="4"/>
      <c r="C35" s="2015">
        <v>0.25</v>
      </c>
      <c r="D35" s="2016">
        <f t="shared" ref="D35:K44" si="5">SUMIFS($D$13:$D$30,$C$13:$C$30,$C35,$E$13:$E$30,D$34)</f>
        <v>0</v>
      </c>
      <c r="E35" s="2017">
        <f t="shared" si="5"/>
        <v>0</v>
      </c>
      <c r="F35" s="2017">
        <f t="shared" si="5"/>
        <v>0</v>
      </c>
      <c r="G35" s="2017">
        <f t="shared" si="5"/>
        <v>0</v>
      </c>
      <c r="H35" s="2017">
        <f t="shared" si="5"/>
        <v>0</v>
      </c>
      <c r="I35" s="2017">
        <f t="shared" si="5"/>
        <v>0</v>
      </c>
      <c r="J35" s="2017">
        <f t="shared" si="5"/>
        <v>0</v>
      </c>
      <c r="K35" s="2018">
        <f t="shared" si="5"/>
        <v>0</v>
      </c>
      <c r="L35" s="2019">
        <f t="shared" ref="L35:L44" si="6">SUM(D35:K35)</f>
        <v>0</v>
      </c>
      <c r="M35" s="1405"/>
      <c r="N35" s="1405"/>
      <c r="O35" s="1405"/>
      <c r="P35" s="2014"/>
    </row>
    <row r="36" spans="2:16" x14ac:dyDescent="0.25">
      <c r="B36" s="4"/>
      <c r="C36" s="2020">
        <v>0.3</v>
      </c>
      <c r="D36" s="2021">
        <f t="shared" si="5"/>
        <v>0</v>
      </c>
      <c r="E36" s="2022">
        <f t="shared" si="5"/>
        <v>0</v>
      </c>
      <c r="F36" s="2022">
        <f t="shared" si="5"/>
        <v>8</v>
      </c>
      <c r="G36" s="2022">
        <f t="shared" si="5"/>
        <v>12</v>
      </c>
      <c r="H36" s="2022">
        <f t="shared" si="5"/>
        <v>0</v>
      </c>
      <c r="I36" s="2022">
        <f t="shared" si="5"/>
        <v>0</v>
      </c>
      <c r="J36" s="2022">
        <f t="shared" si="5"/>
        <v>0</v>
      </c>
      <c r="K36" s="2023">
        <f t="shared" si="5"/>
        <v>0</v>
      </c>
      <c r="L36" s="2024">
        <f t="shared" si="6"/>
        <v>20</v>
      </c>
      <c r="M36" s="1405"/>
      <c r="N36" s="1405"/>
      <c r="O36" s="1405"/>
      <c r="P36" s="2014"/>
    </row>
    <row r="37" spans="2:16" x14ac:dyDescent="0.25">
      <c r="B37" s="4"/>
      <c r="C37" s="2020">
        <v>0.35</v>
      </c>
      <c r="D37" s="2021">
        <f t="shared" si="5"/>
        <v>0</v>
      </c>
      <c r="E37" s="2022">
        <f t="shared" si="5"/>
        <v>0</v>
      </c>
      <c r="F37" s="2022">
        <f t="shared" si="5"/>
        <v>0</v>
      </c>
      <c r="G37" s="2022">
        <f t="shared" si="5"/>
        <v>0</v>
      </c>
      <c r="H37" s="2022">
        <f t="shared" si="5"/>
        <v>0</v>
      </c>
      <c r="I37" s="2022">
        <f t="shared" si="5"/>
        <v>0</v>
      </c>
      <c r="J37" s="2022">
        <f t="shared" si="5"/>
        <v>0</v>
      </c>
      <c r="K37" s="2023">
        <f t="shared" si="5"/>
        <v>0</v>
      </c>
      <c r="L37" s="2024">
        <f t="shared" si="6"/>
        <v>0</v>
      </c>
      <c r="M37" s="1405"/>
      <c r="N37" s="1405"/>
      <c r="O37" s="1405"/>
      <c r="P37" s="2014"/>
    </row>
    <row r="38" spans="2:16" x14ac:dyDescent="0.25">
      <c r="B38" s="4"/>
      <c r="C38" s="2020">
        <v>0.4</v>
      </c>
      <c r="D38" s="2021">
        <f t="shared" si="5"/>
        <v>0</v>
      </c>
      <c r="E38" s="2022">
        <f t="shared" si="5"/>
        <v>0</v>
      </c>
      <c r="F38" s="2022">
        <f t="shared" si="5"/>
        <v>0</v>
      </c>
      <c r="G38" s="2022">
        <f t="shared" si="5"/>
        <v>0</v>
      </c>
      <c r="H38" s="2022">
        <f t="shared" si="5"/>
        <v>0</v>
      </c>
      <c r="I38" s="2022">
        <f t="shared" si="5"/>
        <v>0</v>
      </c>
      <c r="J38" s="2022">
        <f t="shared" si="5"/>
        <v>0</v>
      </c>
      <c r="K38" s="2023">
        <f t="shared" si="5"/>
        <v>0</v>
      </c>
      <c r="L38" s="2024">
        <f t="shared" si="6"/>
        <v>0</v>
      </c>
      <c r="M38" s="1405"/>
      <c r="N38" s="1405"/>
      <c r="O38" s="1405"/>
      <c r="P38" s="2014"/>
    </row>
    <row r="39" spans="2:16" x14ac:dyDescent="0.25">
      <c r="B39" s="4"/>
      <c r="C39" s="2020">
        <v>0.45</v>
      </c>
      <c r="D39" s="2021">
        <f t="shared" si="5"/>
        <v>0</v>
      </c>
      <c r="E39" s="2022">
        <f t="shared" si="5"/>
        <v>0</v>
      </c>
      <c r="F39" s="2022">
        <f t="shared" si="5"/>
        <v>0</v>
      </c>
      <c r="G39" s="2022">
        <f t="shared" si="5"/>
        <v>0</v>
      </c>
      <c r="H39" s="2022">
        <f t="shared" si="5"/>
        <v>0</v>
      </c>
      <c r="I39" s="2022">
        <f t="shared" si="5"/>
        <v>0</v>
      </c>
      <c r="J39" s="2022">
        <f t="shared" si="5"/>
        <v>0</v>
      </c>
      <c r="K39" s="2023">
        <f t="shared" si="5"/>
        <v>0</v>
      </c>
      <c r="L39" s="2024">
        <f t="shared" si="6"/>
        <v>0</v>
      </c>
      <c r="M39" s="1405"/>
      <c r="N39" s="1405"/>
      <c r="O39" s="1405"/>
      <c r="P39" s="2014"/>
    </row>
    <row r="40" spans="2:16" x14ac:dyDescent="0.25">
      <c r="B40" s="4"/>
      <c r="C40" s="2020">
        <v>0.5</v>
      </c>
      <c r="D40" s="2021">
        <f t="shared" si="5"/>
        <v>0</v>
      </c>
      <c r="E40" s="2022">
        <f t="shared" si="5"/>
        <v>0</v>
      </c>
      <c r="F40" s="2022">
        <f t="shared" si="5"/>
        <v>8</v>
      </c>
      <c r="G40" s="2022">
        <f t="shared" si="5"/>
        <v>12</v>
      </c>
      <c r="H40" s="2022">
        <f t="shared" si="5"/>
        <v>0</v>
      </c>
      <c r="I40" s="2022">
        <f t="shared" si="5"/>
        <v>0</v>
      </c>
      <c r="J40" s="2022">
        <f t="shared" si="5"/>
        <v>0</v>
      </c>
      <c r="K40" s="2023">
        <f t="shared" si="5"/>
        <v>0</v>
      </c>
      <c r="L40" s="2024">
        <f t="shared" si="6"/>
        <v>20</v>
      </c>
      <c r="M40" s="1405"/>
      <c r="N40" s="1405"/>
      <c r="O40" s="1405"/>
      <c r="P40" s="2014"/>
    </row>
    <row r="41" spans="2:16" x14ac:dyDescent="0.25">
      <c r="B41" s="4"/>
      <c r="C41" s="2020">
        <v>0.55000000000000004</v>
      </c>
      <c r="D41" s="2021">
        <f t="shared" si="5"/>
        <v>0</v>
      </c>
      <c r="E41" s="2022">
        <f t="shared" si="5"/>
        <v>0</v>
      </c>
      <c r="F41" s="2022">
        <f t="shared" si="5"/>
        <v>0</v>
      </c>
      <c r="G41" s="2022">
        <f t="shared" si="5"/>
        <v>0</v>
      </c>
      <c r="H41" s="2022">
        <f t="shared" si="5"/>
        <v>0</v>
      </c>
      <c r="I41" s="2022">
        <f t="shared" si="5"/>
        <v>0</v>
      </c>
      <c r="J41" s="2022">
        <f t="shared" si="5"/>
        <v>0</v>
      </c>
      <c r="K41" s="2023">
        <f t="shared" si="5"/>
        <v>0</v>
      </c>
      <c r="L41" s="2024">
        <f t="shared" si="6"/>
        <v>0</v>
      </c>
      <c r="M41" s="1405"/>
      <c r="N41" s="1405"/>
      <c r="O41" s="1405"/>
      <c r="P41" s="2014"/>
    </row>
    <row r="42" spans="2:16" x14ac:dyDescent="0.25">
      <c r="B42" s="4"/>
      <c r="C42" s="2020">
        <v>0.6</v>
      </c>
      <c r="D42" s="2021">
        <f t="shared" si="5"/>
        <v>0</v>
      </c>
      <c r="E42" s="2022">
        <f t="shared" si="5"/>
        <v>0</v>
      </c>
      <c r="F42" s="2022">
        <f t="shared" si="5"/>
        <v>13</v>
      </c>
      <c r="G42" s="2022">
        <f t="shared" si="5"/>
        <v>23</v>
      </c>
      <c r="H42" s="2022">
        <f t="shared" si="5"/>
        <v>0</v>
      </c>
      <c r="I42" s="2022">
        <f t="shared" si="5"/>
        <v>0</v>
      </c>
      <c r="J42" s="2022">
        <f t="shared" si="5"/>
        <v>0</v>
      </c>
      <c r="K42" s="2023">
        <f t="shared" si="5"/>
        <v>0</v>
      </c>
      <c r="L42" s="2024">
        <f t="shared" si="6"/>
        <v>36</v>
      </c>
      <c r="M42" s="1405"/>
      <c r="N42" s="1405"/>
      <c r="O42" s="1405"/>
      <c r="P42" s="2014"/>
    </row>
    <row r="43" spans="2:16" x14ac:dyDescent="0.25">
      <c r="B43" s="4"/>
      <c r="C43" s="2020">
        <v>0.65</v>
      </c>
      <c r="D43" s="2021">
        <f t="shared" si="5"/>
        <v>0</v>
      </c>
      <c r="E43" s="2022">
        <f t="shared" si="5"/>
        <v>0</v>
      </c>
      <c r="F43" s="2022">
        <f t="shared" si="5"/>
        <v>0</v>
      </c>
      <c r="G43" s="2022">
        <f t="shared" si="5"/>
        <v>0</v>
      </c>
      <c r="H43" s="2022">
        <f t="shared" si="5"/>
        <v>0</v>
      </c>
      <c r="I43" s="2022">
        <f t="shared" si="5"/>
        <v>0</v>
      </c>
      <c r="J43" s="2022">
        <f t="shared" si="5"/>
        <v>0</v>
      </c>
      <c r="K43" s="2023">
        <f t="shared" si="5"/>
        <v>0</v>
      </c>
      <c r="L43" s="2024">
        <f t="shared" si="6"/>
        <v>0</v>
      </c>
      <c r="M43" s="1405"/>
      <c r="N43" s="1405"/>
      <c r="O43" s="1405"/>
      <c r="P43" s="2014"/>
    </row>
    <row r="44" spans="2:16" x14ac:dyDescent="0.25">
      <c r="B44" s="4"/>
      <c r="C44" s="2025">
        <v>0.8</v>
      </c>
      <c r="D44" s="2026">
        <f t="shared" si="5"/>
        <v>0</v>
      </c>
      <c r="E44" s="2027">
        <f t="shared" si="5"/>
        <v>0</v>
      </c>
      <c r="F44" s="2027">
        <f t="shared" si="5"/>
        <v>0</v>
      </c>
      <c r="G44" s="2027">
        <f t="shared" si="5"/>
        <v>0</v>
      </c>
      <c r="H44" s="2027">
        <f t="shared" si="5"/>
        <v>0</v>
      </c>
      <c r="I44" s="2027">
        <f t="shared" si="5"/>
        <v>0</v>
      </c>
      <c r="J44" s="2027">
        <f t="shared" si="5"/>
        <v>0</v>
      </c>
      <c r="K44" s="2028">
        <f t="shared" si="5"/>
        <v>0</v>
      </c>
      <c r="L44" s="2029">
        <f t="shared" si="6"/>
        <v>0</v>
      </c>
      <c r="M44" s="1405"/>
      <c r="N44" s="1405"/>
      <c r="O44" s="1405"/>
      <c r="P44" s="2014"/>
    </row>
    <row r="45" spans="2:16" ht="25.5" x14ac:dyDescent="0.25">
      <c r="B45" s="4"/>
      <c r="C45" s="2030" t="s">
        <v>41</v>
      </c>
      <c r="D45" s="2031">
        <f>SUM(D35:D44)</f>
        <v>0</v>
      </c>
      <c r="E45" s="2031">
        <f>SUM(E35:E44)</f>
        <v>0</v>
      </c>
      <c r="F45" s="2031">
        <f t="shared" ref="F45:L45" si="7">SUM(F35:F44)</f>
        <v>29</v>
      </c>
      <c r="G45" s="2031">
        <f t="shared" si="7"/>
        <v>47</v>
      </c>
      <c r="H45" s="2031">
        <f t="shared" si="7"/>
        <v>0</v>
      </c>
      <c r="I45" s="2031">
        <f t="shared" si="7"/>
        <v>0</v>
      </c>
      <c r="J45" s="2032">
        <f t="shared" si="7"/>
        <v>0</v>
      </c>
      <c r="K45" s="2032">
        <f t="shared" si="7"/>
        <v>0</v>
      </c>
      <c r="L45" s="2033">
        <f t="shared" si="7"/>
        <v>76</v>
      </c>
      <c r="M45" s="1405"/>
      <c r="N45" s="1405"/>
      <c r="O45" s="1405"/>
      <c r="P45" s="2014"/>
    </row>
    <row r="46" spans="2:16" x14ac:dyDescent="0.25">
      <c r="B46" s="4"/>
      <c r="C46" s="2034" t="s">
        <v>599</v>
      </c>
      <c r="D46" s="2035">
        <f t="shared" ref="D46:K47" si="8">SUMIFS($D$13:$D$30,$C$13:$C$30,$C46,$E$13:$E$30,D$34)</f>
        <v>0</v>
      </c>
      <c r="E46" s="2036">
        <f t="shared" si="8"/>
        <v>0</v>
      </c>
      <c r="F46" s="2036">
        <f t="shared" si="8"/>
        <v>0</v>
      </c>
      <c r="G46" s="2036">
        <f t="shared" si="8"/>
        <v>0</v>
      </c>
      <c r="H46" s="2036">
        <f t="shared" si="8"/>
        <v>0</v>
      </c>
      <c r="I46" s="2036">
        <f t="shared" si="8"/>
        <v>0</v>
      </c>
      <c r="J46" s="2036">
        <f t="shared" si="8"/>
        <v>0</v>
      </c>
      <c r="K46" s="2037">
        <f t="shared" si="8"/>
        <v>0</v>
      </c>
      <c r="L46" s="2038">
        <f>SUM(D46:K46)</f>
        <v>0</v>
      </c>
      <c r="M46" s="1405"/>
      <c r="N46" s="1405"/>
      <c r="O46" s="1405"/>
      <c r="P46" s="2014"/>
    </row>
    <row r="47" spans="2:16" ht="24.75" thickBot="1" x14ac:dyDescent="0.3">
      <c r="B47" s="4"/>
      <c r="C47" s="2039" t="s">
        <v>340</v>
      </c>
      <c r="D47" s="2040">
        <f t="shared" si="8"/>
        <v>0</v>
      </c>
      <c r="E47" s="2041">
        <f t="shared" si="8"/>
        <v>0</v>
      </c>
      <c r="F47" s="2041">
        <f t="shared" si="8"/>
        <v>0</v>
      </c>
      <c r="G47" s="2041">
        <f t="shared" si="8"/>
        <v>0</v>
      </c>
      <c r="H47" s="2041">
        <f t="shared" si="8"/>
        <v>1</v>
      </c>
      <c r="I47" s="2041">
        <f t="shared" si="8"/>
        <v>0</v>
      </c>
      <c r="J47" s="2041">
        <f t="shared" si="8"/>
        <v>0</v>
      </c>
      <c r="K47" s="2042">
        <f t="shared" si="8"/>
        <v>0</v>
      </c>
      <c r="L47" s="2043">
        <f>SUM(D47:K47)</f>
        <v>1</v>
      </c>
      <c r="M47" s="1405"/>
      <c r="N47" s="1405"/>
      <c r="O47" s="1405"/>
      <c r="P47" s="2014"/>
    </row>
    <row r="48" spans="2:16" ht="16.5" thickTop="1" thickBot="1" x14ac:dyDescent="0.3">
      <c r="B48" s="4"/>
      <c r="C48" s="2044" t="s">
        <v>42</v>
      </c>
      <c r="D48" s="2045">
        <f t="shared" ref="D48:K48" si="9">D45+D46+D47</f>
        <v>0</v>
      </c>
      <c r="E48" s="2046">
        <f t="shared" si="9"/>
        <v>0</v>
      </c>
      <c r="F48" s="2047">
        <f t="shared" si="9"/>
        <v>29</v>
      </c>
      <c r="G48" s="2047">
        <f t="shared" si="9"/>
        <v>47</v>
      </c>
      <c r="H48" s="2047">
        <f t="shared" si="9"/>
        <v>1</v>
      </c>
      <c r="I48" s="2047">
        <f t="shared" si="9"/>
        <v>0</v>
      </c>
      <c r="J48" s="2048">
        <f t="shared" si="9"/>
        <v>0</v>
      </c>
      <c r="K48" s="2048">
        <f t="shared" si="9"/>
        <v>0</v>
      </c>
      <c r="L48" s="2049">
        <f>SUM(L45:L47)</f>
        <v>77</v>
      </c>
      <c r="M48" s="1405"/>
      <c r="N48" s="1405"/>
      <c r="O48" s="1405"/>
      <c r="P48" s="2014"/>
    </row>
    <row r="49" spans="2:16" ht="7.5" customHeight="1" thickTop="1" thickBot="1" x14ac:dyDescent="0.3">
      <c r="B49" s="4"/>
      <c r="C49" s="2050"/>
      <c r="D49" s="2051"/>
      <c r="E49" s="2052"/>
      <c r="F49" s="2051"/>
      <c r="G49" s="2051"/>
      <c r="H49" s="2051"/>
      <c r="I49" s="2051"/>
      <c r="J49" s="2053"/>
      <c r="K49" s="2053"/>
      <c r="L49" s="2054"/>
      <c r="M49" s="1405"/>
      <c r="N49" s="1405"/>
      <c r="O49" s="1405"/>
      <c r="P49" s="2014"/>
    </row>
    <row r="50" spans="2:16" ht="25.5" x14ac:dyDescent="0.25">
      <c r="B50" s="4"/>
      <c r="C50" s="2055" t="s">
        <v>43</v>
      </c>
      <c r="D50" s="2056">
        <f>SUMIF('8A'!$E13:$E30,D34,'8A'!$F13:$F30)</f>
        <v>0</v>
      </c>
      <c r="E50" s="2057">
        <f>SUMIF('8A'!$E13:$E30,E34,'8A'!$F13:$F30)</f>
        <v>0</v>
      </c>
      <c r="F50" s="2057">
        <f>SUMIF('8A'!$E13:$E30,F34,'8A'!$F13:$F30)</f>
        <v>2</v>
      </c>
      <c r="G50" s="2057">
        <f>SUMIF('8A'!$E13:$E30,G34,'8A'!$F13:$F30)</f>
        <v>3</v>
      </c>
      <c r="H50" s="2057">
        <f>SUMIF('8A'!$E13:$E30,H34,'8A'!$F13:$F30)</f>
        <v>1</v>
      </c>
      <c r="I50" s="2057">
        <f>SUMIF('8A'!$E13:$E30,I34,'8A'!$F13:$F30)</f>
        <v>0</v>
      </c>
      <c r="J50" s="2057">
        <f>SUMIF('8A'!$E13:$E30,J34,'8A'!$F13:$F30)</f>
        <v>0</v>
      </c>
      <c r="K50" s="2058">
        <f>SUMIF('8A'!$E13:$E30,K34,'8A'!$F13:$F30)</f>
        <v>0</v>
      </c>
      <c r="L50" s="2059">
        <f>SUM(D50:K50)</f>
        <v>6</v>
      </c>
      <c r="M50" s="1405"/>
      <c r="N50" s="1405"/>
      <c r="O50" s="1405"/>
      <c r="P50" s="2014"/>
    </row>
    <row r="51" spans="2:16" ht="15.75" thickBot="1" x14ac:dyDescent="0.3">
      <c r="B51" s="4"/>
      <c r="C51" s="2060" t="s">
        <v>499</v>
      </c>
      <c r="D51" s="2061">
        <f>IFERROR(AVERAGEIF('8A'!$E13:$E30,D34,'8A'!$G13:$G30),0)</f>
        <v>0</v>
      </c>
      <c r="E51" s="2062">
        <f>IFERROR(AVERAGEIF('8A'!$E13:$E30,E34,'8A'!$G13:$G30),0)</f>
        <v>0</v>
      </c>
      <c r="F51" s="2062">
        <f>IFERROR(AVERAGEIF('8A'!$E13:$E30,F34,'8A'!$G13:$G30),0)</f>
        <v>408</v>
      </c>
      <c r="G51" s="2062">
        <f>IFERROR(AVERAGEIF('8A'!$E13:$E30,G34,'8A'!$G13:$G30),0)</f>
        <v>579</v>
      </c>
      <c r="H51" s="2062">
        <f>IFERROR(AVERAGEIF('8A'!$E13:$E30,H34,'8A'!$G13:$G30),0)</f>
        <v>1126</v>
      </c>
      <c r="I51" s="2062">
        <f>IFERROR(AVERAGEIF('8A'!$E13:$E30,I34,'8A'!$G13:$G30),0)</f>
        <v>0</v>
      </c>
      <c r="J51" s="2062">
        <f>IFERROR(AVERAGEIF('8A'!$E13:$E30,J34,'8A'!$G13:$G30),0)</f>
        <v>0</v>
      </c>
      <c r="K51" s="2063">
        <f>IFERROR(AVERAGEIF('8A'!$E13:$E30,K34,'8A'!$G13:$G30),0)</f>
        <v>0</v>
      </c>
      <c r="L51" s="2064"/>
      <c r="M51" s="1405"/>
      <c r="N51" s="1405"/>
      <c r="O51" s="1405"/>
      <c r="P51" s="2014"/>
    </row>
    <row r="52" spans="2:16" ht="7.5" customHeight="1" thickBot="1" x14ac:dyDescent="0.3">
      <c r="B52" s="4"/>
      <c r="C52" s="130"/>
      <c r="D52" s="130"/>
      <c r="E52" s="130"/>
      <c r="F52" s="130"/>
      <c r="G52" s="130"/>
      <c r="H52" s="130"/>
      <c r="I52" s="130"/>
      <c r="J52" s="130"/>
      <c r="K52" s="130"/>
      <c r="L52" s="130"/>
      <c r="M52" s="130"/>
      <c r="N52" s="130"/>
      <c r="O52" s="144"/>
      <c r="P52" s="2014"/>
    </row>
    <row r="53" spans="2:16" x14ac:dyDescent="0.25">
      <c r="B53" s="1757"/>
      <c r="C53" s="1757"/>
      <c r="D53" s="1757"/>
      <c r="E53" s="1757"/>
      <c r="F53" s="1757"/>
      <c r="G53" s="1757"/>
      <c r="H53" s="1757"/>
      <c r="I53" s="1757"/>
      <c r="J53" s="1757"/>
      <c r="K53" s="1757"/>
      <c r="L53" s="1757"/>
      <c r="M53" s="1757"/>
      <c r="N53" s="1757"/>
      <c r="O53" s="1757"/>
      <c r="P53" s="1757"/>
    </row>
    <row r="54" spans="2:16" x14ac:dyDescent="0.25">
      <c r="B54" s="1737"/>
      <c r="C54" s="1737"/>
      <c r="D54" s="1737"/>
      <c r="E54" s="1737"/>
      <c r="F54" s="1737"/>
      <c r="G54" s="1737"/>
      <c r="H54" s="1737"/>
      <c r="I54" s="1737"/>
      <c r="J54" s="1737"/>
      <c r="K54" s="1737"/>
      <c r="L54" s="1737"/>
      <c r="M54" s="1737"/>
      <c r="N54" s="1737"/>
      <c r="O54" s="1737"/>
      <c r="P54" s="1737"/>
    </row>
  </sheetData>
  <sheetProtection algorithmName="SHA-512" hashValue="314cI8yui1ztE4g9ZfHKLooo42rrX4QHbXf4tepMIIp9YqYyITnnLTOnlxIDopeNjz7Z9o5RBqodEfaXnI91Dw==" saltValue="AKdMa4ZST9G8v1XT4A5B2A==" spinCount="100000" sheet="1" formatCells="0" formatColumns="0" formatRows="0" insertRows="0"/>
  <mergeCells count="2">
    <mergeCell ref="C9:O9"/>
    <mergeCell ref="C11:N11"/>
  </mergeCells>
  <conditionalFormatting sqref="H28:O29">
    <cfRule type="expression" dxfId="30" priority="4">
      <formula>$C28="CAUs / Managers"</formula>
    </cfRule>
  </conditionalFormatting>
  <conditionalFormatting sqref="G31:K31">
    <cfRule type="expression" dxfId="29" priority="2">
      <formula>$G$31="CAUTION - LIH Square footage does not match Form 2B"</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2016
Version: 1.0</oddFooter>
  </headerFooter>
  <rowBreaks count="1" manualBreakCount="1">
    <brk id="31" min="1"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zoomScaleNormal="100" workbookViewId="0">
      <selection activeCell="C17" sqref="C17"/>
    </sheetView>
  </sheetViews>
  <sheetFormatPr defaultRowHeight="15" x14ac:dyDescent="0.25"/>
  <cols>
    <col min="1" max="2" width="1.7109375" style="403" customWidth="1"/>
    <col min="3" max="3" width="52" style="403" customWidth="1"/>
    <col min="4" max="6" width="17.140625" style="403" customWidth="1"/>
    <col min="7" max="7" width="20" style="403" customWidth="1"/>
    <col min="8" max="8" width="1.7109375" style="403" customWidth="1"/>
    <col min="9" max="16384" width="9.140625" style="403"/>
  </cols>
  <sheetData>
    <row r="9" spans="2:8" ht="9" customHeight="1" thickBot="1" x14ac:dyDescent="0.3"/>
    <row r="10" spans="2:8" ht="9" customHeight="1" x14ac:dyDescent="0.3">
      <c r="B10" s="603"/>
      <c r="C10" s="604"/>
      <c r="D10" s="604"/>
      <c r="E10" s="604"/>
      <c r="F10" s="604"/>
      <c r="G10" s="604"/>
      <c r="H10" s="605"/>
    </row>
    <row r="11" spans="2:8" ht="18.75" x14ac:dyDescent="0.3">
      <c r="B11" s="606"/>
      <c r="C11" s="2270" t="s">
        <v>543</v>
      </c>
      <c r="D11" s="2270"/>
      <c r="E11" s="2270"/>
      <c r="F11" s="2270"/>
      <c r="G11" s="2270"/>
      <c r="H11" s="567"/>
    </row>
    <row r="12" spans="2:8" ht="18.75" x14ac:dyDescent="0.3">
      <c r="B12" s="606"/>
      <c r="C12" s="1957"/>
      <c r="D12" s="1957"/>
      <c r="E12" s="1957"/>
      <c r="F12" s="1957"/>
      <c r="G12" s="1957"/>
      <c r="H12" s="567"/>
    </row>
    <row r="13" spans="2:8" ht="15.75" thickBot="1" x14ac:dyDescent="0.3">
      <c r="B13" s="202"/>
      <c r="C13" s="2375" t="str">
        <f>IF('1'!G5="","Enter Project Name on Form 1",(CONCATENATE("Project Name: ",'1'!G5)))</f>
        <v>Project Name: Filipino Community Village</v>
      </c>
      <c r="D13" s="2375"/>
      <c r="E13" s="2375"/>
      <c r="F13" s="2375"/>
      <c r="G13" s="429"/>
      <c r="H13" s="201"/>
    </row>
    <row r="14" spans="2:8" x14ac:dyDescent="0.25">
      <c r="B14" s="202"/>
      <c r="C14" s="385"/>
      <c r="D14" s="429"/>
      <c r="E14" s="429"/>
      <c r="F14" s="429"/>
      <c r="G14" s="429"/>
      <c r="H14" s="201"/>
    </row>
    <row r="15" spans="2:8" ht="15.75" thickBot="1" x14ac:dyDescent="0.3">
      <c r="B15" s="202"/>
      <c r="C15" s="607" t="s">
        <v>1520</v>
      </c>
      <c r="D15" s="429"/>
      <c r="E15" s="429"/>
      <c r="F15" s="429"/>
      <c r="G15" s="429"/>
      <c r="H15" s="201"/>
    </row>
    <row r="16" spans="2:8" ht="27" thickBot="1" x14ac:dyDescent="0.3">
      <c r="B16" s="202"/>
      <c r="C16" s="1588" t="s">
        <v>300</v>
      </c>
      <c r="D16" s="1142" t="s">
        <v>341</v>
      </c>
      <c r="E16" s="1142" t="s">
        <v>342</v>
      </c>
      <c r="F16" s="1142" t="s">
        <v>343</v>
      </c>
      <c r="G16" s="1589" t="s">
        <v>344</v>
      </c>
      <c r="H16" s="201"/>
    </row>
    <row r="17" spans="2:8" x14ac:dyDescent="0.25">
      <c r="B17" s="202"/>
      <c r="C17" s="1141"/>
      <c r="D17" s="1250">
        <v>0</v>
      </c>
      <c r="E17" s="1250">
        <v>0</v>
      </c>
      <c r="F17" s="1590">
        <f>SUM(D17:E17)</f>
        <v>0</v>
      </c>
      <c r="G17" s="1727"/>
      <c r="H17" s="201"/>
    </row>
    <row r="18" spans="2:8" x14ac:dyDescent="0.25">
      <c r="B18" s="202"/>
      <c r="C18" s="1075"/>
      <c r="D18" s="1251">
        <v>0</v>
      </c>
      <c r="E18" s="1251">
        <v>0</v>
      </c>
      <c r="F18" s="1591">
        <f>SUM(D18:E18)</f>
        <v>0</v>
      </c>
      <c r="G18" s="1728"/>
      <c r="H18" s="201"/>
    </row>
    <row r="19" spans="2:8" x14ac:dyDescent="0.25">
      <c r="B19" s="202"/>
      <c r="C19" s="1075"/>
      <c r="D19" s="1251">
        <v>0</v>
      </c>
      <c r="E19" s="1251">
        <v>0</v>
      </c>
      <c r="F19" s="1591">
        <f>SUM(D19:E19)</f>
        <v>0</v>
      </c>
      <c r="G19" s="1728"/>
      <c r="H19" s="201"/>
    </row>
    <row r="20" spans="2:8" ht="15.75" thickBot="1" x14ac:dyDescent="0.3">
      <c r="B20" s="202"/>
      <c r="C20" s="1075"/>
      <c r="D20" s="1251">
        <v>0</v>
      </c>
      <c r="E20" s="1251">
        <v>0</v>
      </c>
      <c r="F20" s="1591">
        <f>SUM(D20:E20)</f>
        <v>0</v>
      </c>
      <c r="G20" s="1728"/>
      <c r="H20" s="201"/>
    </row>
    <row r="21" spans="2:8" ht="16.5" thickTop="1" thickBot="1" x14ac:dyDescent="0.3">
      <c r="B21" s="202"/>
      <c r="C21" s="1077" t="s">
        <v>1526</v>
      </c>
      <c r="D21" s="1256">
        <f>SUM(D17:D20)</f>
        <v>0</v>
      </c>
      <c r="E21" s="1256">
        <f>SUM(E17:E20)</f>
        <v>0</v>
      </c>
      <c r="F21" s="1257">
        <f>SUM(D21:E21)</f>
        <v>0</v>
      </c>
      <c r="G21" s="1078"/>
      <c r="H21" s="201"/>
    </row>
    <row r="22" spans="2:8" x14ac:dyDescent="0.25">
      <c r="B22" s="202"/>
      <c r="C22" s="385"/>
      <c r="D22" s="429"/>
      <c r="E22" s="429"/>
      <c r="F22" s="203" t="s">
        <v>34</v>
      </c>
      <c r="G22" s="429"/>
      <c r="H22" s="201"/>
    </row>
    <row r="23" spans="2:8" ht="15.75" thickBot="1" x14ac:dyDescent="0.3">
      <c r="B23" s="202"/>
      <c r="C23" s="607" t="s">
        <v>345</v>
      </c>
      <c r="D23" s="429"/>
      <c r="E23" s="429"/>
      <c r="F23" s="429"/>
      <c r="G23" s="429"/>
      <c r="H23" s="201"/>
    </row>
    <row r="24" spans="2:8" ht="15" customHeight="1" x14ac:dyDescent="0.25">
      <c r="B24" s="202"/>
      <c r="C24" s="2372" t="s">
        <v>300</v>
      </c>
      <c r="D24" s="2370" t="s">
        <v>341</v>
      </c>
      <c r="E24" s="2370" t="s">
        <v>342</v>
      </c>
      <c r="F24" s="2370" t="s">
        <v>343</v>
      </c>
      <c r="G24" s="2370" t="s">
        <v>344</v>
      </c>
      <c r="H24" s="201"/>
    </row>
    <row r="25" spans="2:8" ht="15.75" thickBot="1" x14ac:dyDescent="0.3">
      <c r="B25" s="202"/>
      <c r="C25" s="2376"/>
      <c r="D25" s="2374"/>
      <c r="E25" s="2374"/>
      <c r="F25" s="2374"/>
      <c r="G25" s="2374"/>
      <c r="H25" s="201"/>
    </row>
    <row r="26" spans="2:8" x14ac:dyDescent="0.25">
      <c r="B26" s="202"/>
      <c r="C26" s="1143"/>
      <c r="D26" s="1252">
        <v>0</v>
      </c>
      <c r="E26" s="1252">
        <v>0</v>
      </c>
      <c r="F26" s="1592">
        <f>SUM(D26+E26)</f>
        <v>0</v>
      </c>
      <c r="G26" s="1729"/>
      <c r="H26" s="201"/>
    </row>
    <row r="27" spans="2:8" x14ac:dyDescent="0.25">
      <c r="B27" s="202"/>
      <c r="C27" s="1144"/>
      <c r="D27" s="1251">
        <v>0</v>
      </c>
      <c r="E27" s="1251">
        <v>0</v>
      </c>
      <c r="F27" s="1591">
        <f>SUM(D27+E27)</f>
        <v>0</v>
      </c>
      <c r="G27" s="1730"/>
      <c r="H27" s="201"/>
    </row>
    <row r="28" spans="2:8" x14ac:dyDescent="0.25">
      <c r="B28" s="202"/>
      <c r="C28" s="1145"/>
      <c r="D28" s="1253">
        <v>0</v>
      </c>
      <c r="E28" s="1253">
        <v>0</v>
      </c>
      <c r="F28" s="1591">
        <f>SUM(D28+E28)</f>
        <v>0</v>
      </c>
      <c r="G28" s="1731"/>
      <c r="H28" s="201"/>
    </row>
    <row r="29" spans="2:8" ht="15.75" thickBot="1" x14ac:dyDescent="0.3">
      <c r="B29" s="202"/>
      <c r="C29" s="1145"/>
      <c r="D29" s="1253">
        <v>0</v>
      </c>
      <c r="E29" s="1253">
        <v>0</v>
      </c>
      <c r="F29" s="1593">
        <f>SUM(D29+E29)</f>
        <v>0</v>
      </c>
      <c r="G29" s="1731"/>
      <c r="H29" s="201"/>
    </row>
    <row r="30" spans="2:8" ht="16.5" thickTop="1" thickBot="1" x14ac:dyDescent="0.3">
      <c r="B30" s="202"/>
      <c r="C30" s="737" t="s">
        <v>1524</v>
      </c>
      <c r="D30" s="1254">
        <f>SUM(D26:D29)</f>
        <v>0</v>
      </c>
      <c r="E30" s="1254">
        <f>SUM(E26:E29)</f>
        <v>0</v>
      </c>
      <c r="F30" s="1255">
        <f>SUM(D30:E30)</f>
        <v>0</v>
      </c>
      <c r="G30" s="1594"/>
      <c r="H30" s="201"/>
    </row>
    <row r="31" spans="2:8" x14ac:dyDescent="0.25">
      <c r="B31" s="202"/>
      <c r="C31" s="385"/>
      <c r="D31" s="429"/>
      <c r="E31" s="429"/>
      <c r="F31" s="203"/>
      <c r="G31" s="429"/>
      <c r="H31" s="201"/>
    </row>
    <row r="32" spans="2:8" ht="15.75" thickBot="1" x14ac:dyDescent="0.3">
      <c r="B32" s="202"/>
      <c r="C32" s="607" t="s">
        <v>346</v>
      </c>
      <c r="D32" s="429"/>
      <c r="E32" s="429"/>
      <c r="F32" s="429"/>
      <c r="G32" s="429"/>
      <c r="H32" s="201"/>
    </row>
    <row r="33" spans="2:8" ht="15" customHeight="1" x14ac:dyDescent="0.25">
      <c r="B33" s="202"/>
      <c r="C33" s="2372" t="s">
        <v>300</v>
      </c>
      <c r="D33" s="2370" t="s">
        <v>341</v>
      </c>
      <c r="E33" s="2370" t="s">
        <v>342</v>
      </c>
      <c r="F33" s="2370" t="s">
        <v>343</v>
      </c>
      <c r="G33" s="2370" t="s">
        <v>344</v>
      </c>
      <c r="H33" s="201"/>
    </row>
    <row r="34" spans="2:8" ht="15.75" thickBot="1" x14ac:dyDescent="0.3">
      <c r="B34" s="202"/>
      <c r="C34" s="2373"/>
      <c r="D34" s="2371"/>
      <c r="E34" s="2371"/>
      <c r="F34" s="2374"/>
      <c r="G34" s="2371"/>
      <c r="H34" s="201"/>
    </row>
    <row r="35" spans="2:8" x14ac:dyDescent="0.25">
      <c r="B35" s="202"/>
      <c r="C35" s="1141"/>
      <c r="D35" s="1250">
        <v>0</v>
      </c>
      <c r="E35" s="1250">
        <v>0</v>
      </c>
      <c r="F35" s="1590">
        <f>SUM(D35:E35)</f>
        <v>0</v>
      </c>
      <c r="G35" s="1727"/>
      <c r="H35" s="201"/>
    </row>
    <row r="36" spans="2:8" x14ac:dyDescent="0.25">
      <c r="B36" s="202"/>
      <c r="C36" s="1723"/>
      <c r="D36" s="1252">
        <v>0</v>
      </c>
      <c r="E36" s="1252">
        <v>0</v>
      </c>
      <c r="F36" s="1591">
        <f>SUM(D36:E36)</f>
        <v>0</v>
      </c>
      <c r="G36" s="1732"/>
      <c r="H36" s="201"/>
    </row>
    <row r="37" spans="2:8" x14ac:dyDescent="0.25">
      <c r="B37" s="202"/>
      <c r="C37" s="1075"/>
      <c r="D37" s="1251">
        <v>0</v>
      </c>
      <c r="E37" s="1251">
        <v>0</v>
      </c>
      <c r="F37" s="1591">
        <f>SUM(D37:E37)</f>
        <v>0</v>
      </c>
      <c r="G37" s="1728"/>
      <c r="H37" s="201"/>
    </row>
    <row r="38" spans="2:8" ht="15.75" thickBot="1" x14ac:dyDescent="0.3">
      <c r="B38" s="1595"/>
      <c r="C38" s="1076"/>
      <c r="D38" s="1253">
        <v>0</v>
      </c>
      <c r="E38" s="1253">
        <v>0</v>
      </c>
      <c r="F38" s="1593">
        <f>SUM(D38:E38)</f>
        <v>0</v>
      </c>
      <c r="G38" s="1733"/>
      <c r="H38" s="1596"/>
    </row>
    <row r="39" spans="2:8" ht="16.5" thickTop="1" thickBot="1" x14ac:dyDescent="0.3">
      <c r="B39" s="1595"/>
      <c r="C39" s="737" t="s">
        <v>1525</v>
      </c>
      <c r="D39" s="1254">
        <f>SUM(D35:D38)</f>
        <v>0</v>
      </c>
      <c r="E39" s="1254">
        <f>SUM(E35:E38)</f>
        <v>0</v>
      </c>
      <c r="F39" s="1257">
        <f>SUM(D39:E39)</f>
        <v>0</v>
      </c>
      <c r="G39" s="1597"/>
      <c r="H39" s="1596"/>
    </row>
    <row r="40" spans="2:8" ht="15.75" thickBot="1" x14ac:dyDescent="0.3">
      <c r="B40" s="204"/>
      <c r="C40" s="205"/>
      <c r="D40" s="206"/>
      <c r="E40" s="206"/>
      <c r="F40" s="206"/>
      <c r="G40" s="206"/>
      <c r="H40" s="207"/>
    </row>
  </sheetData>
  <sheetProtection algorithmName="SHA-512" hashValue="GildClU1vsbx0vOzaMeDxjxWeraVen2yBCtJuWb6bv3uSYVSfIfVWLM2d3KCCaNO7b9IDmrrNCtLCcvh9pIuWg==" saltValue="RjHvYBncF9o0fmCJyGiRyw==" spinCount="100000" sheet="1" formatCells="0" formatColumns="0" formatRows="0" insertRows="0"/>
  <mergeCells count="12">
    <mergeCell ref="C13:F13"/>
    <mergeCell ref="C11:G11"/>
    <mergeCell ref="F24:F25"/>
    <mergeCell ref="E24:E25"/>
    <mergeCell ref="D24:D25"/>
    <mergeCell ref="C24:C25"/>
    <mergeCell ref="G24:G25"/>
    <mergeCell ref="G33:G34"/>
    <mergeCell ref="C33:C34"/>
    <mergeCell ref="D33:D34"/>
    <mergeCell ref="E33:E34"/>
    <mergeCell ref="F33:F34"/>
  </mergeCells>
  <pageMargins left="0.7" right="0.7" top="0.75" bottom="0.75" header="0.3" footer="0.3"/>
  <pageSetup scale="96" orientation="landscape" r:id="rId1"/>
  <headerFooter>
    <oddFooter>&amp;LForm 8B
Operating, Service and Rent Subsidy Sources&amp;CCFA Forms&amp;REdition: 2016
Version: 1.0</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62"/>
  <sheetViews>
    <sheetView showGridLines="0" topLeftCell="A21" zoomScaleNormal="100" workbookViewId="0">
      <selection activeCell="N20" sqref="N20"/>
    </sheetView>
  </sheetViews>
  <sheetFormatPr defaultRowHeight="15" x14ac:dyDescent="0.25"/>
  <cols>
    <col min="1" max="2" width="1.7109375" style="403" customWidth="1"/>
    <col min="3" max="3" width="20" style="403" customWidth="1"/>
    <col min="4" max="4" width="11.5703125" style="403" bestFit="1" customWidth="1"/>
    <col min="5" max="5" width="14.28515625" style="403" customWidth="1"/>
    <col min="6" max="8" width="9.140625" style="403"/>
    <col min="9" max="9" width="7.28515625" style="403" bestFit="1" customWidth="1"/>
    <col min="10" max="10" width="6.85546875" style="403" bestFit="1" customWidth="1"/>
    <col min="11" max="11" width="10.7109375" style="403" bestFit="1" customWidth="1"/>
    <col min="12" max="12" width="10" style="403" customWidth="1"/>
    <col min="13" max="13" width="2.85546875" style="403" customWidth="1"/>
    <col min="14" max="14" width="11.42578125" style="403" customWidth="1"/>
    <col min="15" max="18" width="10" style="403" bestFit="1" customWidth="1"/>
    <col min="19" max="19" width="1.7109375" style="403" customWidth="1"/>
    <col min="20" max="16384" width="9.140625" style="403"/>
  </cols>
  <sheetData>
    <row r="8" spans="2:19" ht="9" customHeight="1" thickBot="1" x14ac:dyDescent="0.3"/>
    <row r="9" spans="2:19" ht="9" customHeight="1" x14ac:dyDescent="0.25">
      <c r="B9" s="208"/>
      <c r="C9" s="209"/>
      <c r="D9" s="209"/>
      <c r="E9" s="210"/>
      <c r="F9" s="210"/>
      <c r="G9" s="211"/>
      <c r="H9" s="212"/>
      <c r="I9" s="212"/>
      <c r="J9" s="212"/>
      <c r="K9" s="213"/>
      <c r="L9" s="211"/>
      <c r="M9" s="211"/>
      <c r="N9" s="214"/>
      <c r="O9" s="210"/>
      <c r="P9" s="211"/>
      <c r="Q9" s="211"/>
      <c r="R9" s="211"/>
      <c r="S9" s="215"/>
    </row>
    <row r="10" spans="2:19" ht="18.75" x14ac:dyDescent="0.3">
      <c r="B10" s="216"/>
      <c r="C10" s="2144" t="s">
        <v>1143</v>
      </c>
      <c r="D10" s="2144"/>
      <c r="E10" s="2144"/>
      <c r="F10" s="2144"/>
      <c r="G10" s="2144"/>
      <c r="H10" s="2144"/>
      <c r="I10" s="2144"/>
      <c r="J10" s="2144"/>
      <c r="K10" s="2144"/>
      <c r="L10" s="2144"/>
      <c r="M10" s="2144"/>
      <c r="N10" s="2144"/>
      <c r="O10" s="2144"/>
      <c r="P10" s="2144"/>
      <c r="Q10" s="2144"/>
      <c r="R10" s="2144"/>
      <c r="S10" s="201"/>
    </row>
    <row r="11" spans="2:19" x14ac:dyDescent="0.25">
      <c r="B11" s="216"/>
      <c r="C11" s="429"/>
      <c r="D11" s="429"/>
      <c r="E11" s="217"/>
      <c r="F11" s="217"/>
      <c r="G11" s="218"/>
      <c r="H11" s="219"/>
      <c r="I11" s="219"/>
      <c r="J11" s="219"/>
      <c r="K11" s="220"/>
      <c r="L11" s="218"/>
      <c r="M11" s="218"/>
      <c r="N11" s="221"/>
      <c r="O11" s="217"/>
      <c r="P11" s="218"/>
      <c r="Q11" s="218"/>
      <c r="R11" s="577"/>
      <c r="S11" s="201"/>
    </row>
    <row r="12" spans="2:19" ht="15.75" thickBot="1" x14ac:dyDescent="0.3">
      <c r="B12" s="216"/>
      <c r="C12" s="2410" t="str">
        <f>IF('1'!G5="","Enter Project Name on Form 1",(CONCATENATE("Project Name: ",'1'!G5)))</f>
        <v>Project Name: Filipino Community Village</v>
      </c>
      <c r="D12" s="2410"/>
      <c r="E12" s="2410"/>
      <c r="F12" s="2410"/>
      <c r="G12" s="2410"/>
      <c r="H12" s="2410"/>
      <c r="I12" s="2410"/>
      <c r="J12" s="2411"/>
      <c r="K12" s="2410"/>
      <c r="L12" s="2410"/>
      <c r="M12" s="1976"/>
      <c r="N12" s="1976"/>
      <c r="O12" s="429"/>
      <c r="P12" s="429"/>
      <c r="Q12" s="429"/>
      <c r="R12" s="577"/>
      <c r="S12" s="237"/>
    </row>
    <row r="13" spans="2:19" ht="15.75" thickBot="1" x14ac:dyDescent="0.3">
      <c r="B13" s="216"/>
      <c r="C13" s="384"/>
      <c r="D13" s="384"/>
      <c r="E13" s="384"/>
      <c r="F13" s="384"/>
      <c r="G13" s="384"/>
      <c r="H13" s="384"/>
      <c r="I13" s="384"/>
      <c r="J13" s="384"/>
      <c r="K13" s="384"/>
      <c r="L13" s="384"/>
      <c r="M13" s="222"/>
      <c r="N13" s="384"/>
      <c r="O13" s="384"/>
      <c r="P13" s="384"/>
      <c r="Q13" s="384"/>
      <c r="R13" s="384"/>
      <c r="S13" s="201"/>
    </row>
    <row r="14" spans="2:19" ht="16.5" thickBot="1" x14ac:dyDescent="0.3">
      <c r="B14" s="216"/>
      <c r="C14" s="2412" t="s">
        <v>632</v>
      </c>
      <c r="D14" s="2413"/>
      <c r="E14" s="2414"/>
      <c r="F14" s="2414"/>
      <c r="G14" s="2414"/>
      <c r="H14" s="2414"/>
      <c r="I14" s="2414"/>
      <c r="J14" s="2413"/>
      <c r="K14" s="2414"/>
      <c r="L14" s="2415"/>
      <c r="M14" s="222"/>
      <c r="N14" s="2416" t="s">
        <v>633</v>
      </c>
      <c r="O14" s="2417"/>
      <c r="P14" s="2417"/>
      <c r="Q14" s="2418"/>
      <c r="R14" s="2419"/>
      <c r="S14" s="201"/>
    </row>
    <row r="15" spans="2:19" ht="78" thickBot="1" x14ac:dyDescent="0.3">
      <c r="B15" s="223"/>
      <c r="C15" s="1972" t="s">
        <v>631</v>
      </c>
      <c r="D15" s="608" t="s">
        <v>637</v>
      </c>
      <c r="E15" s="608" t="s">
        <v>347</v>
      </c>
      <c r="F15" s="609" t="s">
        <v>348</v>
      </c>
      <c r="G15" s="610" t="s">
        <v>349</v>
      </c>
      <c r="H15" s="609" t="s">
        <v>350</v>
      </c>
      <c r="I15" s="1754" t="s">
        <v>1532</v>
      </c>
      <c r="J15" s="609" t="s">
        <v>1531</v>
      </c>
      <c r="K15" s="610" t="s">
        <v>351</v>
      </c>
      <c r="L15" s="611" t="s">
        <v>355</v>
      </c>
      <c r="M15" s="222"/>
      <c r="N15" s="709" t="s">
        <v>357</v>
      </c>
      <c r="O15" s="1079" t="str">
        <f>IF('8B'!C26="","Enter Source Name on Form 8B",'8B'!C26)</f>
        <v>Enter Source Name on Form 8B</v>
      </c>
      <c r="P15" s="1080" t="str">
        <f>IF('8B'!C27="","Enter Source Name on Form 8B",'8B'!C27)</f>
        <v>Enter Source Name on Form 8B</v>
      </c>
      <c r="Q15" s="1080" t="str">
        <f>IF('8B'!C28="","Enter Source Name on Form 8B",'8B'!C28)</f>
        <v>Enter Source Name on Form 8B</v>
      </c>
      <c r="R15" s="1081" t="str">
        <f>IF('8B'!C29="","Enter Source Name on Form 8B",'8B'!C29)</f>
        <v>Enter Source Name on Form 8B</v>
      </c>
      <c r="S15" s="201"/>
    </row>
    <row r="16" spans="2:19" x14ac:dyDescent="0.25">
      <c r="B16" s="223"/>
      <c r="C16" s="1973" t="s">
        <v>1874</v>
      </c>
      <c r="D16" s="1038" t="s">
        <v>634</v>
      </c>
      <c r="E16" s="811" t="s">
        <v>1875</v>
      </c>
      <c r="F16" s="1258">
        <v>75000</v>
      </c>
      <c r="G16" s="812">
        <v>1</v>
      </c>
      <c r="H16" s="1598">
        <f>F16*G16</f>
        <v>75000</v>
      </c>
      <c r="I16" s="812" t="s">
        <v>1533</v>
      </c>
      <c r="J16" s="812">
        <v>0.28399999999999997</v>
      </c>
      <c r="K16" s="2074">
        <f>H16*J16</f>
        <v>21299.999999999996</v>
      </c>
      <c r="L16" s="1599">
        <f>H16+K16</f>
        <v>96300</v>
      </c>
      <c r="M16" s="224"/>
      <c r="N16" s="1263">
        <v>96300</v>
      </c>
      <c r="O16" s="1264">
        <v>0</v>
      </c>
      <c r="P16" s="1264">
        <v>0</v>
      </c>
      <c r="Q16" s="1717">
        <v>0</v>
      </c>
      <c r="R16" s="1265">
        <v>0</v>
      </c>
      <c r="S16" s="225"/>
    </row>
    <row r="17" spans="2:19" x14ac:dyDescent="0.25">
      <c r="B17" s="216"/>
      <c r="C17" s="1970" t="s">
        <v>1876</v>
      </c>
      <c r="D17" s="1039" t="s">
        <v>634</v>
      </c>
      <c r="E17" s="986" t="s">
        <v>1875</v>
      </c>
      <c r="F17" s="1259">
        <v>40000</v>
      </c>
      <c r="G17" s="814">
        <v>0.375</v>
      </c>
      <c r="H17" s="1600">
        <f t="shared" ref="H17:H24" si="0">F17*G17</f>
        <v>15000</v>
      </c>
      <c r="I17" s="814" t="s">
        <v>1533</v>
      </c>
      <c r="J17" s="2075">
        <v>0.28399999999999997</v>
      </c>
      <c r="K17" s="2076">
        <f t="shared" ref="K17:K24" si="1">H17*J17</f>
        <v>4260</v>
      </c>
      <c r="L17" s="1601">
        <f>H17+K17</f>
        <v>19260</v>
      </c>
      <c r="M17" s="224"/>
      <c r="N17" s="1266">
        <v>19260</v>
      </c>
      <c r="O17" s="1260">
        <v>0</v>
      </c>
      <c r="P17" s="1260">
        <v>0</v>
      </c>
      <c r="Q17" s="1718">
        <v>0</v>
      </c>
      <c r="R17" s="1267">
        <v>0</v>
      </c>
      <c r="S17" s="226"/>
    </row>
    <row r="18" spans="2:19" x14ac:dyDescent="0.25">
      <c r="B18" s="216"/>
      <c r="C18" s="1970" t="s">
        <v>2137</v>
      </c>
      <c r="D18" s="1039" t="s">
        <v>634</v>
      </c>
      <c r="E18" s="986" t="s">
        <v>1875</v>
      </c>
      <c r="F18" s="1259">
        <v>55000</v>
      </c>
      <c r="G18" s="814">
        <v>1</v>
      </c>
      <c r="H18" s="1600">
        <f t="shared" si="0"/>
        <v>55000</v>
      </c>
      <c r="I18" s="814" t="s">
        <v>1533</v>
      </c>
      <c r="J18" s="814">
        <v>0.28399999999999997</v>
      </c>
      <c r="K18" s="2077">
        <f t="shared" si="1"/>
        <v>15619.999999999998</v>
      </c>
      <c r="L18" s="1601">
        <f t="shared" ref="L18:L24" si="2">H18+K18</f>
        <v>70620</v>
      </c>
      <c r="M18" s="224"/>
      <c r="N18" s="1266">
        <v>70620</v>
      </c>
      <c r="O18" s="1260">
        <v>0</v>
      </c>
      <c r="P18" s="1260">
        <v>0</v>
      </c>
      <c r="Q18" s="1718">
        <v>0</v>
      </c>
      <c r="R18" s="1267">
        <v>0</v>
      </c>
      <c r="S18" s="201"/>
    </row>
    <row r="19" spans="2:19" x14ac:dyDescent="0.25">
      <c r="B19" s="216"/>
      <c r="C19" s="1970" t="s">
        <v>2138</v>
      </c>
      <c r="D19" s="1039" t="s">
        <v>635</v>
      </c>
      <c r="E19" s="986" t="s">
        <v>2139</v>
      </c>
      <c r="F19" s="1259">
        <v>47969</v>
      </c>
      <c r="G19" s="814">
        <v>1</v>
      </c>
      <c r="H19" s="1600">
        <f t="shared" si="0"/>
        <v>47969</v>
      </c>
      <c r="I19" s="814"/>
      <c r="J19" s="814">
        <v>0</v>
      </c>
      <c r="K19" s="2076">
        <f t="shared" si="1"/>
        <v>0</v>
      </c>
      <c r="L19" s="1601">
        <f t="shared" si="2"/>
        <v>47969</v>
      </c>
      <c r="M19" s="224"/>
      <c r="N19" s="1266">
        <v>47969</v>
      </c>
      <c r="O19" s="1260">
        <v>0</v>
      </c>
      <c r="P19" s="1260">
        <v>0</v>
      </c>
      <c r="Q19" s="1718">
        <v>0</v>
      </c>
      <c r="R19" s="1267">
        <v>0</v>
      </c>
      <c r="S19" s="201"/>
    </row>
    <row r="20" spans="2:19" x14ac:dyDescent="0.25">
      <c r="B20" s="216"/>
      <c r="C20" s="1970"/>
      <c r="D20" s="1039"/>
      <c r="E20" s="986"/>
      <c r="F20" s="1259">
        <v>0</v>
      </c>
      <c r="G20" s="814">
        <v>0</v>
      </c>
      <c r="H20" s="1600">
        <f t="shared" si="0"/>
        <v>0</v>
      </c>
      <c r="I20" s="814"/>
      <c r="J20" s="814">
        <v>0</v>
      </c>
      <c r="K20" s="2076">
        <f t="shared" si="1"/>
        <v>0</v>
      </c>
      <c r="L20" s="1601">
        <f>H20+K20</f>
        <v>0</v>
      </c>
      <c r="M20" s="224"/>
      <c r="N20" s="1266">
        <v>0</v>
      </c>
      <c r="O20" s="1260">
        <v>0</v>
      </c>
      <c r="P20" s="1260">
        <v>0</v>
      </c>
      <c r="Q20" s="1718">
        <v>0</v>
      </c>
      <c r="R20" s="1267">
        <v>0</v>
      </c>
      <c r="S20" s="201"/>
    </row>
    <row r="21" spans="2:19" x14ac:dyDescent="0.25">
      <c r="B21" s="216"/>
      <c r="C21" s="1970"/>
      <c r="D21" s="1039"/>
      <c r="E21" s="986"/>
      <c r="F21" s="1260">
        <v>0</v>
      </c>
      <c r="G21" s="814">
        <v>0</v>
      </c>
      <c r="H21" s="1600">
        <f t="shared" si="0"/>
        <v>0</v>
      </c>
      <c r="I21" s="814"/>
      <c r="J21" s="814">
        <v>0</v>
      </c>
      <c r="K21" s="2076">
        <f t="shared" si="1"/>
        <v>0</v>
      </c>
      <c r="L21" s="1601">
        <f t="shared" si="2"/>
        <v>0</v>
      </c>
      <c r="M21" s="224"/>
      <c r="N21" s="1266">
        <v>0</v>
      </c>
      <c r="O21" s="1260">
        <v>0</v>
      </c>
      <c r="P21" s="1260">
        <v>0</v>
      </c>
      <c r="Q21" s="1718">
        <v>0</v>
      </c>
      <c r="R21" s="1267">
        <v>0</v>
      </c>
      <c r="S21" s="201"/>
    </row>
    <row r="22" spans="2:19" x14ac:dyDescent="0.25">
      <c r="B22" s="216"/>
      <c r="C22" s="1970"/>
      <c r="D22" s="1039"/>
      <c r="E22" s="986"/>
      <c r="F22" s="1260">
        <v>0</v>
      </c>
      <c r="G22" s="814">
        <v>0</v>
      </c>
      <c r="H22" s="1600">
        <f t="shared" si="0"/>
        <v>0</v>
      </c>
      <c r="I22" s="814"/>
      <c r="J22" s="814">
        <v>0</v>
      </c>
      <c r="K22" s="2076">
        <f t="shared" si="1"/>
        <v>0</v>
      </c>
      <c r="L22" s="1601">
        <f t="shared" si="2"/>
        <v>0</v>
      </c>
      <c r="M22" s="224"/>
      <c r="N22" s="1266">
        <v>0</v>
      </c>
      <c r="O22" s="1260">
        <v>0</v>
      </c>
      <c r="P22" s="1260">
        <v>0</v>
      </c>
      <c r="Q22" s="1718">
        <v>0</v>
      </c>
      <c r="R22" s="1267">
        <v>0</v>
      </c>
      <c r="S22" s="201"/>
    </row>
    <row r="23" spans="2:19" x14ac:dyDescent="0.25">
      <c r="B23" s="216"/>
      <c r="C23" s="1970"/>
      <c r="D23" s="1039"/>
      <c r="E23" s="986"/>
      <c r="F23" s="1260">
        <v>0</v>
      </c>
      <c r="G23" s="814">
        <v>0</v>
      </c>
      <c r="H23" s="1600">
        <f t="shared" si="0"/>
        <v>0</v>
      </c>
      <c r="I23" s="814"/>
      <c r="J23" s="814">
        <v>0</v>
      </c>
      <c r="K23" s="2076">
        <f t="shared" si="1"/>
        <v>0</v>
      </c>
      <c r="L23" s="1601">
        <f t="shared" si="2"/>
        <v>0</v>
      </c>
      <c r="M23" s="224"/>
      <c r="N23" s="1266">
        <v>0</v>
      </c>
      <c r="O23" s="1260">
        <v>0</v>
      </c>
      <c r="P23" s="1260">
        <v>0</v>
      </c>
      <c r="Q23" s="1718">
        <v>0</v>
      </c>
      <c r="R23" s="1267">
        <v>0</v>
      </c>
      <c r="S23" s="201"/>
    </row>
    <row r="24" spans="2:19" x14ac:dyDescent="0.25">
      <c r="B24" s="216"/>
      <c r="C24" s="1043"/>
      <c r="D24" s="1045"/>
      <c r="E24" s="1026"/>
      <c r="F24" s="1261">
        <v>0</v>
      </c>
      <c r="G24" s="1044">
        <v>0</v>
      </c>
      <c r="H24" s="1602">
        <f t="shared" si="0"/>
        <v>0</v>
      </c>
      <c r="I24" s="1487"/>
      <c r="J24" s="1487">
        <v>0</v>
      </c>
      <c r="K24" s="2078">
        <f t="shared" si="1"/>
        <v>0</v>
      </c>
      <c r="L24" s="1604">
        <f t="shared" si="2"/>
        <v>0</v>
      </c>
      <c r="M24" s="224"/>
      <c r="N24" s="1268">
        <v>0</v>
      </c>
      <c r="O24" s="1261">
        <v>0</v>
      </c>
      <c r="P24" s="1261">
        <v>0</v>
      </c>
      <c r="Q24" s="1719">
        <v>0</v>
      </c>
      <c r="R24" s="1269">
        <v>0</v>
      </c>
      <c r="S24" s="201"/>
    </row>
    <row r="25" spans="2:19" x14ac:dyDescent="0.25">
      <c r="B25" s="216"/>
      <c r="C25" s="1605"/>
      <c r="D25" s="1606"/>
      <c r="E25" s="1607"/>
      <c r="F25" s="1608"/>
      <c r="G25" s="1609"/>
      <c r="H25" s="1484"/>
      <c r="I25" s="2422" t="s">
        <v>1135</v>
      </c>
      <c r="J25" s="2422"/>
      <c r="K25" s="2423"/>
      <c r="L25" s="1610">
        <f>SUMIF(D16:D24,"On Site",L16:L24)</f>
        <v>186180</v>
      </c>
      <c r="M25" s="224"/>
      <c r="N25" s="1611"/>
      <c r="O25" s="1612"/>
      <c r="P25" s="1612"/>
      <c r="Q25" s="1720"/>
      <c r="R25" s="1613"/>
      <c r="S25" s="201"/>
    </row>
    <row r="26" spans="2:19" ht="15.75" thickBot="1" x14ac:dyDescent="0.3">
      <c r="B26" s="216"/>
      <c r="C26" s="1605"/>
      <c r="D26" s="1606"/>
      <c r="E26" s="1607"/>
      <c r="F26" s="1608"/>
      <c r="G26" s="1609"/>
      <c r="H26" s="1484"/>
      <c r="I26" s="2422" t="s">
        <v>1136</v>
      </c>
      <c r="J26" s="2422"/>
      <c r="K26" s="2423"/>
      <c r="L26" s="1614">
        <f>SUMIF(D16:D24,"Off Site",L16:L24)</f>
        <v>47969</v>
      </c>
      <c r="M26" s="224"/>
      <c r="N26" s="1611"/>
      <c r="O26" s="1612"/>
      <c r="P26" s="1612"/>
      <c r="Q26" s="1720"/>
      <c r="R26" s="1613"/>
      <c r="S26" s="201"/>
    </row>
    <row r="27" spans="2:19" ht="17.25" thickTop="1" thickBot="1" x14ac:dyDescent="0.3">
      <c r="B27" s="227"/>
      <c r="C27" s="2420" t="s">
        <v>352</v>
      </c>
      <c r="D27" s="2421"/>
      <c r="E27" s="2421"/>
      <c r="F27" s="2421"/>
      <c r="G27" s="2421"/>
      <c r="H27" s="1485"/>
      <c r="I27" s="1485"/>
      <c r="J27" s="1485"/>
      <c r="K27" s="1486"/>
      <c r="L27" s="1262">
        <f>SUM(L16:L24)</f>
        <v>234149</v>
      </c>
      <c r="M27" s="229"/>
      <c r="N27" s="1270">
        <f>SUM(N16:N24)</f>
        <v>234149</v>
      </c>
      <c r="O27" s="1271">
        <f>SUM(O16:O24)</f>
        <v>0</v>
      </c>
      <c r="P27" s="1271">
        <f>SUM(P16:P24)</f>
        <v>0</v>
      </c>
      <c r="Q27" s="1271">
        <f>SUM(Q16:Q24)</f>
        <v>0</v>
      </c>
      <c r="R27" s="1272">
        <f>SUM(R16:R24)</f>
        <v>0</v>
      </c>
      <c r="S27" s="201"/>
    </row>
    <row r="28" spans="2:19" ht="15" customHeight="1" x14ac:dyDescent="0.25">
      <c r="B28" s="227"/>
      <c r="C28" s="232"/>
      <c r="D28" s="232"/>
      <c r="E28" s="232"/>
      <c r="F28" s="232"/>
      <c r="G28" s="232"/>
      <c r="H28" s="235"/>
      <c r="I28" s="235"/>
      <c r="J28" s="235"/>
      <c r="K28" s="230"/>
      <c r="L28" s="2096" t="str">
        <f>IF(L27&gt;(SUM(N27:R27)),"WARNING - Costs Exceed Listed Funding",(IF(L27&lt;(SUM(N27:R27)),"Costs Are Covered By Listed Funding","")))</f>
        <v/>
      </c>
      <c r="M28" s="230"/>
      <c r="N28" s="2427" t="str">
        <f>IF(SUM(O27:R27)&lt;&gt;'8B'!F30,"WARNING - Total for non-Cash Flow sources does not match Total for Operating Subsidy on 8B","")</f>
        <v/>
      </c>
      <c r="O28" s="2427"/>
      <c r="P28" s="2427"/>
      <c r="Q28" s="2427"/>
      <c r="R28" s="2427"/>
      <c r="S28" s="201"/>
    </row>
    <row r="29" spans="2:19" ht="15" customHeight="1" thickBot="1" x14ac:dyDescent="0.3">
      <c r="B29" s="227"/>
      <c r="C29" s="232"/>
      <c r="D29" s="232"/>
      <c r="E29" s="232"/>
      <c r="F29" s="232"/>
      <c r="G29" s="232"/>
      <c r="H29" s="235"/>
      <c r="I29" s="235"/>
      <c r="J29" s="235"/>
      <c r="K29" s="230"/>
      <c r="L29" s="230"/>
      <c r="M29" s="230"/>
      <c r="N29" s="2428"/>
      <c r="O29" s="2428"/>
      <c r="P29" s="2428"/>
      <c r="Q29" s="2428"/>
      <c r="R29" s="2428"/>
      <c r="S29" s="201"/>
    </row>
    <row r="30" spans="2:19" ht="16.5" thickBot="1" x14ac:dyDescent="0.3">
      <c r="B30" s="216"/>
      <c r="C30" s="2412" t="s">
        <v>353</v>
      </c>
      <c r="D30" s="2413"/>
      <c r="E30" s="2413"/>
      <c r="F30" s="2413"/>
      <c r="G30" s="2413"/>
      <c r="H30" s="2413"/>
      <c r="I30" s="2413"/>
      <c r="J30" s="2413"/>
      <c r="K30" s="2413"/>
      <c r="L30" s="2426"/>
      <c r="M30" s="384"/>
      <c r="N30" s="2416" t="s">
        <v>356</v>
      </c>
      <c r="O30" s="2417"/>
      <c r="P30" s="2417"/>
      <c r="Q30" s="2418"/>
      <c r="R30" s="2419"/>
      <c r="S30" s="201"/>
    </row>
    <row r="31" spans="2:19" ht="78" thickBot="1" x14ac:dyDescent="0.3">
      <c r="B31" s="227"/>
      <c r="C31" s="2430" t="s">
        <v>354</v>
      </c>
      <c r="D31" s="2431"/>
      <c r="E31" s="1507" t="s">
        <v>347</v>
      </c>
      <c r="F31" s="1508" t="s">
        <v>348</v>
      </c>
      <c r="G31" s="1509" t="s">
        <v>349</v>
      </c>
      <c r="H31" s="1508" t="s">
        <v>350</v>
      </c>
      <c r="I31" s="1754" t="s">
        <v>1532</v>
      </c>
      <c r="J31" s="609" t="s">
        <v>1531</v>
      </c>
      <c r="K31" s="1509" t="s">
        <v>351</v>
      </c>
      <c r="L31" s="1510" t="s">
        <v>355</v>
      </c>
      <c r="M31" s="222"/>
      <c r="N31" s="709" t="s">
        <v>357</v>
      </c>
      <c r="O31" s="613" t="str">
        <f>IF('8B'!C35="","Enter Source Name on Form 8B",'8B'!C35)</f>
        <v>Enter Source Name on Form 8B</v>
      </c>
      <c r="P31" s="613" t="str">
        <f>IF('8B'!C36="","Enter Source Name on Form 8B",'8B'!C36)</f>
        <v>Enter Source Name on Form 8B</v>
      </c>
      <c r="Q31" s="1721" t="str">
        <f>IF('8B'!C37="","Enter Source Name on Form 8B",'8B'!C37)</f>
        <v>Enter Source Name on Form 8B</v>
      </c>
      <c r="R31" s="614" t="str">
        <f>IF('8B'!C38="","Enter Source Name on Form 8B",'8B'!C38)</f>
        <v>Enter Source Name on Form 8B</v>
      </c>
      <c r="S31" s="201"/>
    </row>
    <row r="32" spans="2:19" ht="15" customHeight="1" x14ac:dyDescent="0.25">
      <c r="B32" s="227"/>
      <c r="C32" s="2432"/>
      <c r="D32" s="2433"/>
      <c r="E32" s="811"/>
      <c r="F32" s="1258">
        <v>0</v>
      </c>
      <c r="G32" s="812">
        <v>0</v>
      </c>
      <c r="H32" s="1598">
        <f t="shared" ref="H32:H40" si="3">F32*G32</f>
        <v>0</v>
      </c>
      <c r="I32" s="812" t="s">
        <v>541</v>
      </c>
      <c r="J32" s="812"/>
      <c r="K32" s="2074">
        <f>H32*J32</f>
        <v>0</v>
      </c>
      <c r="L32" s="1599">
        <f>H32+K32</f>
        <v>0</v>
      </c>
      <c r="M32" s="224"/>
      <c r="N32" s="1263">
        <v>0</v>
      </c>
      <c r="O32" s="1264">
        <v>0</v>
      </c>
      <c r="P32" s="1264">
        <v>0</v>
      </c>
      <c r="Q32" s="1717">
        <v>0</v>
      </c>
      <c r="R32" s="1265">
        <v>0</v>
      </c>
      <c r="S32" s="201"/>
    </row>
    <row r="33" spans="2:19" ht="15" customHeight="1" x14ac:dyDescent="0.25">
      <c r="B33" s="227"/>
      <c r="C33" s="2377"/>
      <c r="D33" s="2378"/>
      <c r="E33" s="813"/>
      <c r="F33" s="1259">
        <v>0</v>
      </c>
      <c r="G33" s="814">
        <v>0</v>
      </c>
      <c r="H33" s="1600">
        <f t="shared" si="3"/>
        <v>0</v>
      </c>
      <c r="I33" s="814"/>
      <c r="J33" s="2075"/>
      <c r="K33" s="2076">
        <f>H33*J33</f>
        <v>0</v>
      </c>
      <c r="L33" s="1601">
        <f>H33+K33</f>
        <v>0</v>
      </c>
      <c r="M33" s="224"/>
      <c r="N33" s="1266">
        <v>0</v>
      </c>
      <c r="O33" s="1260">
        <v>0</v>
      </c>
      <c r="P33" s="1260">
        <v>0</v>
      </c>
      <c r="Q33" s="1718">
        <v>0</v>
      </c>
      <c r="R33" s="1267">
        <v>0</v>
      </c>
      <c r="S33" s="201"/>
    </row>
    <row r="34" spans="2:19" ht="15" customHeight="1" x14ac:dyDescent="0.25">
      <c r="B34" s="227"/>
      <c r="C34" s="2377"/>
      <c r="D34" s="2378"/>
      <c r="E34" s="813"/>
      <c r="F34" s="1259">
        <v>0</v>
      </c>
      <c r="G34" s="814">
        <v>0</v>
      </c>
      <c r="H34" s="1600">
        <f t="shared" si="3"/>
        <v>0</v>
      </c>
      <c r="I34" s="814"/>
      <c r="J34" s="814"/>
      <c r="K34" s="2077">
        <f t="shared" ref="K34:K40" si="4">H34*J34</f>
        <v>0</v>
      </c>
      <c r="L34" s="1601">
        <f t="shared" ref="L34:L40" si="5">H34+K34</f>
        <v>0</v>
      </c>
      <c r="M34" s="224"/>
      <c r="N34" s="1266">
        <v>0</v>
      </c>
      <c r="O34" s="1260">
        <v>0</v>
      </c>
      <c r="P34" s="1260">
        <v>0</v>
      </c>
      <c r="Q34" s="1718">
        <v>0</v>
      </c>
      <c r="R34" s="1267">
        <v>0</v>
      </c>
      <c r="S34" s="201"/>
    </row>
    <row r="35" spans="2:19" ht="15" customHeight="1" x14ac:dyDescent="0.25">
      <c r="B35" s="227"/>
      <c r="C35" s="2377"/>
      <c r="D35" s="2378"/>
      <c r="E35" s="813"/>
      <c r="F35" s="1259">
        <v>0</v>
      </c>
      <c r="G35" s="814">
        <v>0</v>
      </c>
      <c r="H35" s="1600">
        <f t="shared" si="3"/>
        <v>0</v>
      </c>
      <c r="I35" s="814"/>
      <c r="J35" s="814"/>
      <c r="K35" s="2076">
        <f t="shared" si="4"/>
        <v>0</v>
      </c>
      <c r="L35" s="1601">
        <f t="shared" si="5"/>
        <v>0</v>
      </c>
      <c r="M35" s="224"/>
      <c r="N35" s="1266">
        <v>0</v>
      </c>
      <c r="O35" s="1260">
        <v>0</v>
      </c>
      <c r="P35" s="1260">
        <v>0</v>
      </c>
      <c r="Q35" s="1718">
        <v>0</v>
      </c>
      <c r="R35" s="1267">
        <v>0</v>
      </c>
      <c r="S35" s="201"/>
    </row>
    <row r="36" spans="2:19" ht="15" customHeight="1" x14ac:dyDescent="0.25">
      <c r="B36" s="227"/>
      <c r="C36" s="2377"/>
      <c r="D36" s="2378"/>
      <c r="E36" s="813"/>
      <c r="F36" s="1259">
        <v>0</v>
      </c>
      <c r="G36" s="814">
        <v>0</v>
      </c>
      <c r="H36" s="1600">
        <f t="shared" si="3"/>
        <v>0</v>
      </c>
      <c r="I36" s="814"/>
      <c r="J36" s="814"/>
      <c r="K36" s="2076">
        <f t="shared" si="4"/>
        <v>0</v>
      </c>
      <c r="L36" s="1601">
        <f t="shared" si="5"/>
        <v>0</v>
      </c>
      <c r="M36" s="224"/>
      <c r="N36" s="1266">
        <v>0</v>
      </c>
      <c r="O36" s="1260">
        <v>0</v>
      </c>
      <c r="P36" s="1260">
        <v>0</v>
      </c>
      <c r="Q36" s="1718">
        <v>0</v>
      </c>
      <c r="R36" s="1267">
        <v>0</v>
      </c>
      <c r="S36" s="201"/>
    </row>
    <row r="37" spans="2:19" ht="15" customHeight="1" x14ac:dyDescent="0.25">
      <c r="B37" s="227"/>
      <c r="C37" s="2377"/>
      <c r="D37" s="2378"/>
      <c r="E37" s="813"/>
      <c r="F37" s="1260">
        <v>0</v>
      </c>
      <c r="G37" s="814">
        <v>0</v>
      </c>
      <c r="H37" s="1600">
        <f t="shared" si="3"/>
        <v>0</v>
      </c>
      <c r="I37" s="814"/>
      <c r="J37" s="814"/>
      <c r="K37" s="2076">
        <f t="shared" si="4"/>
        <v>0</v>
      </c>
      <c r="L37" s="1601">
        <f t="shared" si="5"/>
        <v>0</v>
      </c>
      <c r="M37" s="224"/>
      <c r="N37" s="1266">
        <v>0</v>
      </c>
      <c r="O37" s="1260">
        <v>0</v>
      </c>
      <c r="P37" s="1260">
        <v>0</v>
      </c>
      <c r="Q37" s="1718">
        <v>0</v>
      </c>
      <c r="R37" s="1267">
        <v>0</v>
      </c>
      <c r="S37" s="201"/>
    </row>
    <row r="38" spans="2:19" ht="15" customHeight="1" x14ac:dyDescent="0.25">
      <c r="B38" s="227"/>
      <c r="C38" s="2377"/>
      <c r="D38" s="2378"/>
      <c r="E38" s="813"/>
      <c r="F38" s="1260">
        <v>0</v>
      </c>
      <c r="G38" s="814">
        <v>0</v>
      </c>
      <c r="H38" s="1600">
        <f t="shared" si="3"/>
        <v>0</v>
      </c>
      <c r="I38" s="814"/>
      <c r="J38" s="814"/>
      <c r="K38" s="2076">
        <f t="shared" si="4"/>
        <v>0</v>
      </c>
      <c r="L38" s="1601">
        <f t="shared" si="5"/>
        <v>0</v>
      </c>
      <c r="M38" s="224"/>
      <c r="N38" s="1266">
        <v>0</v>
      </c>
      <c r="O38" s="1260">
        <v>0</v>
      </c>
      <c r="P38" s="1260">
        <v>0</v>
      </c>
      <c r="Q38" s="1718">
        <v>0</v>
      </c>
      <c r="R38" s="1267">
        <v>0</v>
      </c>
      <c r="S38" s="201"/>
    </row>
    <row r="39" spans="2:19" ht="15" customHeight="1" x14ac:dyDescent="0.25">
      <c r="B39" s="227"/>
      <c r="C39" s="2377"/>
      <c r="D39" s="2378"/>
      <c r="E39" s="813"/>
      <c r="F39" s="1260">
        <v>0</v>
      </c>
      <c r="G39" s="814">
        <v>0</v>
      </c>
      <c r="H39" s="1600">
        <f t="shared" si="3"/>
        <v>0</v>
      </c>
      <c r="I39" s="814"/>
      <c r="J39" s="814"/>
      <c r="K39" s="2076">
        <f t="shared" si="4"/>
        <v>0</v>
      </c>
      <c r="L39" s="1601">
        <f t="shared" si="5"/>
        <v>0</v>
      </c>
      <c r="M39" s="224"/>
      <c r="N39" s="1266">
        <v>0</v>
      </c>
      <c r="O39" s="1260">
        <v>0</v>
      </c>
      <c r="P39" s="1260">
        <v>0</v>
      </c>
      <c r="Q39" s="1718">
        <v>0</v>
      </c>
      <c r="R39" s="1267">
        <v>0</v>
      </c>
      <c r="S39" s="201"/>
    </row>
    <row r="40" spans="2:19" ht="15" customHeight="1" thickBot="1" x14ac:dyDescent="0.3">
      <c r="B40" s="227"/>
      <c r="C40" s="2379"/>
      <c r="D40" s="2380"/>
      <c r="E40" s="1716"/>
      <c r="F40" s="1281">
        <v>0</v>
      </c>
      <c r="G40" s="1487">
        <v>0</v>
      </c>
      <c r="H40" s="1603">
        <f t="shared" si="3"/>
        <v>0</v>
      </c>
      <c r="I40" s="1487"/>
      <c r="J40" s="1487"/>
      <c r="K40" s="2078">
        <f t="shared" si="4"/>
        <v>0</v>
      </c>
      <c r="L40" s="1604">
        <f t="shared" si="5"/>
        <v>0</v>
      </c>
      <c r="M40" s="224"/>
      <c r="N40" s="1268">
        <v>0</v>
      </c>
      <c r="O40" s="1261">
        <v>0</v>
      </c>
      <c r="P40" s="1261">
        <v>0</v>
      </c>
      <c r="Q40" s="1719">
        <v>0</v>
      </c>
      <c r="R40" s="1269">
        <v>0</v>
      </c>
      <c r="S40" s="201"/>
    </row>
    <row r="41" spans="2:19" ht="15" customHeight="1" thickTop="1" thickBot="1" x14ac:dyDescent="0.3">
      <c r="B41" s="227"/>
      <c r="C41" s="2424" t="s">
        <v>358</v>
      </c>
      <c r="D41" s="2425"/>
      <c r="E41" s="2425"/>
      <c r="F41" s="2425"/>
      <c r="G41" s="228"/>
      <c r="H41" s="228"/>
      <c r="I41" s="1485"/>
      <c r="J41" s="1485"/>
      <c r="K41" s="1486"/>
      <c r="L41" s="1262">
        <f>SUM(L32:L40)</f>
        <v>0</v>
      </c>
      <c r="M41" s="229"/>
      <c r="N41" s="1724">
        <f>SUM(N32:N40)</f>
        <v>0</v>
      </c>
      <c r="O41" s="1725">
        <f>SUM(O32:O40)</f>
        <v>0</v>
      </c>
      <c r="P41" s="1725">
        <f>SUM(P32:P40)</f>
        <v>0</v>
      </c>
      <c r="Q41" s="1725">
        <f>SUM(Q32:Q40)</f>
        <v>0</v>
      </c>
      <c r="R41" s="1726">
        <f>SUM(R32:R40)</f>
        <v>0</v>
      </c>
      <c r="S41" s="201"/>
    </row>
    <row r="42" spans="2:19" ht="15" customHeight="1" thickBot="1" x14ac:dyDescent="0.3">
      <c r="B42" s="227"/>
      <c r="C42" s="232"/>
      <c r="D42" s="232"/>
      <c r="E42" s="232"/>
      <c r="F42" s="232"/>
      <c r="G42" s="232"/>
      <c r="H42" s="235"/>
      <c r="I42" s="235"/>
      <c r="J42" s="235"/>
      <c r="K42" s="230"/>
      <c r="L42" s="230"/>
      <c r="M42" s="230"/>
      <c r="N42" s="2429"/>
      <c r="O42" s="2429"/>
      <c r="P42" s="2429"/>
      <c r="Q42" s="2429"/>
      <c r="R42" s="2429"/>
      <c r="S42" s="201"/>
    </row>
    <row r="43" spans="2:19" ht="37.5" thickBot="1" x14ac:dyDescent="0.3">
      <c r="B43" s="227"/>
      <c r="C43" s="2407" t="s">
        <v>1521</v>
      </c>
      <c r="D43" s="2408"/>
      <c r="E43" s="2408"/>
      <c r="F43" s="2408"/>
      <c r="G43" s="2408"/>
      <c r="H43" s="2408"/>
      <c r="I43" s="2408"/>
      <c r="J43" s="2408"/>
      <c r="K43" s="2408"/>
      <c r="L43" s="2409"/>
      <c r="M43" s="230"/>
      <c r="N43" s="710" t="s">
        <v>357</v>
      </c>
      <c r="O43" s="366" t="str">
        <f>O31</f>
        <v>Enter Source Name on Form 8B</v>
      </c>
      <c r="P43" s="366" t="str">
        <f>P31</f>
        <v>Enter Source Name on Form 8B</v>
      </c>
      <c r="Q43" s="366" t="str">
        <f>Q31</f>
        <v>Enter Source Name on Form 8B</v>
      </c>
      <c r="R43" s="367" t="str">
        <f>R31</f>
        <v>Enter Source Name on Form 8B</v>
      </c>
      <c r="S43" s="201"/>
    </row>
    <row r="44" spans="2:19" x14ac:dyDescent="0.25">
      <c r="B44" s="227"/>
      <c r="C44" s="384"/>
      <c r="D44" s="384"/>
      <c r="E44" s="384"/>
      <c r="F44" s="2383" t="s">
        <v>1140</v>
      </c>
      <c r="G44" s="2383"/>
      <c r="H44" s="2383"/>
      <c r="I44" s="1511"/>
      <c r="J44" s="1511"/>
      <c r="K44" s="1512"/>
      <c r="L44" s="1273">
        <v>0</v>
      </c>
      <c r="M44" s="233"/>
      <c r="N44" s="1276">
        <v>0</v>
      </c>
      <c r="O44" s="1264">
        <v>0</v>
      </c>
      <c r="P44" s="1264">
        <v>0</v>
      </c>
      <c r="Q44" s="1717">
        <v>0</v>
      </c>
      <c r="R44" s="1277">
        <v>0</v>
      </c>
      <c r="S44" s="201"/>
    </row>
    <row r="45" spans="2:19" x14ac:dyDescent="0.25">
      <c r="B45" s="227"/>
      <c r="C45" s="384"/>
      <c r="D45" s="384"/>
      <c r="E45" s="384"/>
      <c r="F45" s="1513" t="s">
        <v>359</v>
      </c>
      <c r="G45" s="1514"/>
      <c r="H45" s="1514"/>
      <c r="I45" s="1514"/>
      <c r="J45" s="1514"/>
      <c r="K45" s="1515"/>
      <c r="L45" s="1274">
        <v>0</v>
      </c>
      <c r="M45" s="233"/>
      <c r="N45" s="1278">
        <v>0</v>
      </c>
      <c r="O45" s="1260">
        <v>0</v>
      </c>
      <c r="P45" s="1260">
        <v>0</v>
      </c>
      <c r="Q45" s="1718">
        <v>0</v>
      </c>
      <c r="R45" s="1279">
        <v>0</v>
      </c>
      <c r="S45" s="201"/>
    </row>
    <row r="46" spans="2:19" ht="15.75" customHeight="1" x14ac:dyDescent="0.25">
      <c r="B46" s="227"/>
      <c r="C46" s="384"/>
      <c r="D46" s="384"/>
      <c r="E46" s="384"/>
      <c r="F46" s="2381" t="s">
        <v>1141</v>
      </c>
      <c r="G46" s="2381"/>
      <c r="H46" s="1514"/>
      <c r="I46" s="1514"/>
      <c r="J46" s="1514"/>
      <c r="K46" s="1515"/>
      <c r="L46" s="1274">
        <v>0</v>
      </c>
      <c r="M46" s="233"/>
      <c r="N46" s="1278">
        <v>0</v>
      </c>
      <c r="O46" s="1260">
        <v>0</v>
      </c>
      <c r="P46" s="1260">
        <v>0</v>
      </c>
      <c r="Q46" s="1718">
        <v>0</v>
      </c>
      <c r="R46" s="1279">
        <v>0</v>
      </c>
      <c r="S46" s="201"/>
    </row>
    <row r="47" spans="2:19" x14ac:dyDescent="0.25">
      <c r="B47" s="227"/>
      <c r="C47" s="384"/>
      <c r="D47" s="384"/>
      <c r="E47" s="384"/>
      <c r="F47" s="1513" t="s">
        <v>360</v>
      </c>
      <c r="G47" s="1514"/>
      <c r="H47" s="1514"/>
      <c r="I47" s="1514"/>
      <c r="J47" s="1514"/>
      <c r="K47" s="1515"/>
      <c r="L47" s="1274">
        <v>0</v>
      </c>
      <c r="M47" s="233"/>
      <c r="N47" s="1278">
        <v>0</v>
      </c>
      <c r="O47" s="1260">
        <v>0</v>
      </c>
      <c r="P47" s="1260">
        <v>0</v>
      </c>
      <c r="Q47" s="1718">
        <v>0</v>
      </c>
      <c r="R47" s="1279">
        <v>0</v>
      </c>
      <c r="S47" s="201"/>
    </row>
    <row r="48" spans="2:19" x14ac:dyDescent="0.25">
      <c r="B48" s="227"/>
      <c r="C48" s="384"/>
      <c r="D48" s="384"/>
      <c r="E48" s="384"/>
      <c r="F48" s="1513" t="s">
        <v>361</v>
      </c>
      <c r="G48" s="1514"/>
      <c r="H48" s="1514"/>
      <c r="I48" s="1514"/>
      <c r="J48" s="1514"/>
      <c r="K48" s="1515"/>
      <c r="L48" s="1274">
        <v>0</v>
      </c>
      <c r="M48" s="233"/>
      <c r="N48" s="1278">
        <v>0</v>
      </c>
      <c r="O48" s="1260">
        <v>0</v>
      </c>
      <c r="P48" s="1260">
        <v>0</v>
      </c>
      <c r="Q48" s="1718">
        <v>0</v>
      </c>
      <c r="R48" s="1279">
        <v>0</v>
      </c>
      <c r="S48" s="201"/>
    </row>
    <row r="49" spans="2:19" x14ac:dyDescent="0.25">
      <c r="B49" s="227"/>
      <c r="C49" s="384"/>
      <c r="D49" s="384"/>
      <c r="E49" s="384"/>
      <c r="F49" s="1971" t="s">
        <v>362</v>
      </c>
      <c r="G49" s="384"/>
      <c r="H49" s="384"/>
      <c r="I49" s="384"/>
      <c r="J49" s="384"/>
      <c r="K49" s="384"/>
      <c r="L49" s="1274">
        <v>0</v>
      </c>
      <c r="M49" s="233"/>
      <c r="N49" s="1278">
        <v>0</v>
      </c>
      <c r="O49" s="1260">
        <v>0</v>
      </c>
      <c r="P49" s="1260">
        <v>0</v>
      </c>
      <c r="Q49" s="1718">
        <v>0</v>
      </c>
      <c r="R49" s="1279">
        <v>0</v>
      </c>
      <c r="S49" s="201"/>
    </row>
    <row r="50" spans="2:19" x14ac:dyDescent="0.25">
      <c r="B50" s="227"/>
      <c r="C50" s="384"/>
      <c r="D50" s="384"/>
      <c r="E50" s="384"/>
      <c r="F50" s="1971" t="s">
        <v>427</v>
      </c>
      <c r="G50" s="2396" t="s">
        <v>1848</v>
      </c>
      <c r="H50" s="2397"/>
      <c r="I50" s="2397"/>
      <c r="J50" s="2397"/>
      <c r="K50" s="2398"/>
      <c r="L50" s="1274">
        <v>0</v>
      </c>
      <c r="M50" s="233"/>
      <c r="N50" s="1278">
        <v>0</v>
      </c>
      <c r="O50" s="1260">
        <v>0</v>
      </c>
      <c r="P50" s="1260">
        <v>0</v>
      </c>
      <c r="Q50" s="1718">
        <v>0</v>
      </c>
      <c r="R50" s="1279">
        <v>0</v>
      </c>
      <c r="S50" s="201"/>
    </row>
    <row r="51" spans="2:19" x14ac:dyDescent="0.25">
      <c r="B51" s="227"/>
      <c r="C51" s="384"/>
      <c r="D51" s="384"/>
      <c r="E51" s="384"/>
      <c r="F51" s="1971" t="s">
        <v>427</v>
      </c>
      <c r="G51" s="2399" t="s">
        <v>1846</v>
      </c>
      <c r="H51" s="2400"/>
      <c r="I51" s="2400"/>
      <c r="J51" s="2400"/>
      <c r="K51" s="2401"/>
      <c r="L51" s="1274">
        <v>0</v>
      </c>
      <c r="M51" s="233"/>
      <c r="N51" s="1278">
        <v>0</v>
      </c>
      <c r="O51" s="1260">
        <v>0</v>
      </c>
      <c r="P51" s="1260">
        <v>0</v>
      </c>
      <c r="Q51" s="1718">
        <v>0</v>
      </c>
      <c r="R51" s="1279">
        <v>0</v>
      </c>
      <c r="S51" s="201"/>
    </row>
    <row r="52" spans="2:19" x14ac:dyDescent="0.25">
      <c r="B52" s="227"/>
      <c r="C52" s="384"/>
      <c r="D52" s="384"/>
      <c r="E52" s="384"/>
      <c r="F52" s="1971" t="s">
        <v>427</v>
      </c>
      <c r="G52" s="2384" t="s">
        <v>1847</v>
      </c>
      <c r="H52" s="2385"/>
      <c r="I52" s="2385"/>
      <c r="J52" s="2385"/>
      <c r="K52" s="2386"/>
      <c r="L52" s="1274">
        <v>0</v>
      </c>
      <c r="M52" s="233"/>
      <c r="N52" s="1278">
        <v>0</v>
      </c>
      <c r="O52" s="1260">
        <v>0</v>
      </c>
      <c r="P52" s="1260">
        <v>0</v>
      </c>
      <c r="Q52" s="1718">
        <v>0</v>
      </c>
      <c r="R52" s="1279">
        <v>0</v>
      </c>
      <c r="S52" s="201"/>
    </row>
    <row r="53" spans="2:19" ht="15.75" thickBot="1" x14ac:dyDescent="0.3">
      <c r="B53" s="227"/>
      <c r="C53" s="384"/>
      <c r="D53" s="384"/>
      <c r="E53" s="384"/>
      <c r="F53" s="2382" t="s">
        <v>1142</v>
      </c>
      <c r="G53" s="2382"/>
      <c r="H53" s="2382"/>
      <c r="I53" s="384"/>
      <c r="J53" s="384"/>
      <c r="K53" s="384"/>
      <c r="L53" s="1275">
        <v>0</v>
      </c>
      <c r="M53" s="233"/>
      <c r="N53" s="1280">
        <v>0</v>
      </c>
      <c r="O53" s="1281">
        <v>0</v>
      </c>
      <c r="P53" s="1281">
        <v>0</v>
      </c>
      <c r="Q53" s="1722">
        <v>0</v>
      </c>
      <c r="R53" s="1282">
        <v>0</v>
      </c>
      <c r="S53" s="201"/>
    </row>
    <row r="54" spans="2:19" ht="17.25" thickTop="1" thickBot="1" x14ac:dyDescent="0.3">
      <c r="B54" s="227"/>
      <c r="C54" s="231"/>
      <c r="D54" s="231"/>
      <c r="E54" s="232"/>
      <c r="F54" s="2404" t="s">
        <v>1522</v>
      </c>
      <c r="G54" s="2405"/>
      <c r="H54" s="2405"/>
      <c r="I54" s="2405"/>
      <c r="J54" s="2405"/>
      <c r="K54" s="2406"/>
      <c r="L54" s="1283">
        <f>(SUM(L44:L53))</f>
        <v>0</v>
      </c>
      <c r="M54" s="235"/>
      <c r="N54" s="1284">
        <f>(SUM(N44:N53))</f>
        <v>0</v>
      </c>
      <c r="O54" s="1285">
        <f>(SUM(O44:O53))</f>
        <v>0</v>
      </c>
      <c r="P54" s="1285">
        <f>(SUM(P44:P53))</f>
        <v>0</v>
      </c>
      <c r="Q54" s="1285">
        <f>(SUM(Q44:Q53))</f>
        <v>0</v>
      </c>
      <c r="R54" s="1286">
        <f>(SUM(R44:R53))</f>
        <v>0</v>
      </c>
      <c r="S54" s="201"/>
    </row>
    <row r="55" spans="2:19" ht="15.75" x14ac:dyDescent="0.25">
      <c r="B55" s="227"/>
      <c r="C55" s="231"/>
      <c r="D55" s="231"/>
      <c r="E55" s="232"/>
      <c r="F55" s="232"/>
      <c r="G55" s="360"/>
      <c r="H55" s="429"/>
      <c r="I55" s="429"/>
      <c r="J55" s="429"/>
      <c r="K55" s="236"/>
      <c r="L55" s="2096" t="str">
        <f>IF(L54&gt;(SUM(N54:R54)),"WARNING - non-personnel Costs Exceed Listed Funding",(IF(L54&lt;(SUM(N54:R54)),"non-personnel Costs Are Covered By Listed Funding","")))</f>
        <v/>
      </c>
      <c r="M55" s="1042"/>
      <c r="N55" s="2402" t="str">
        <f>IF((ROUND(SUM(O54:R54),0))+(ROUND(SUM(O41:R41),0))&lt;&gt;(ROUND('8B'!F39,0)),"WARNING - Total for non-Cash Flow sources does not match Total for Services Subsidy on 8B","")</f>
        <v/>
      </c>
      <c r="O55" s="2402"/>
      <c r="P55" s="2402"/>
      <c r="Q55" s="2402"/>
      <c r="R55" s="2402"/>
      <c r="S55" s="201"/>
    </row>
    <row r="56" spans="2:19" ht="16.5" thickBot="1" x14ac:dyDescent="0.3">
      <c r="B56" s="216"/>
      <c r="C56" s="1040" t="s">
        <v>511</v>
      </c>
      <c r="D56" s="1040"/>
      <c r="E56" s="1040"/>
      <c r="F56" s="1040"/>
      <c r="G56" s="1040"/>
      <c r="H56" s="1040"/>
      <c r="I56" s="1040"/>
      <c r="J56" s="1753"/>
      <c r="K56" s="1040"/>
      <c r="L56" s="1041"/>
      <c r="M56" s="1040"/>
      <c r="N56" s="2403"/>
      <c r="O56" s="2403"/>
      <c r="P56" s="2403"/>
      <c r="Q56" s="2403"/>
      <c r="R56" s="2403"/>
      <c r="S56" s="201"/>
    </row>
    <row r="57" spans="2:19" x14ac:dyDescent="0.25">
      <c r="B57" s="216"/>
      <c r="C57" s="2387"/>
      <c r="D57" s="2388"/>
      <c r="E57" s="2388"/>
      <c r="F57" s="2388"/>
      <c r="G57" s="2388"/>
      <c r="H57" s="2388"/>
      <c r="I57" s="2388"/>
      <c r="J57" s="2388"/>
      <c r="K57" s="2388"/>
      <c r="L57" s="2388"/>
      <c r="M57" s="2388"/>
      <c r="N57" s="2388"/>
      <c r="O57" s="2388"/>
      <c r="P57" s="2389"/>
      <c r="Q57" s="2065"/>
      <c r="R57" s="577"/>
      <c r="S57" s="201"/>
    </row>
    <row r="58" spans="2:19" x14ac:dyDescent="0.25">
      <c r="B58" s="216"/>
      <c r="C58" s="2390"/>
      <c r="D58" s="2151"/>
      <c r="E58" s="2151"/>
      <c r="F58" s="2151"/>
      <c r="G58" s="2151"/>
      <c r="H58" s="2151"/>
      <c r="I58" s="2151"/>
      <c r="J58" s="2151"/>
      <c r="K58" s="2151"/>
      <c r="L58" s="2151"/>
      <c r="M58" s="2151"/>
      <c r="N58" s="2151"/>
      <c r="O58" s="2151"/>
      <c r="P58" s="2391"/>
      <c r="Q58" s="2065"/>
      <c r="R58" s="577"/>
      <c r="S58" s="201"/>
    </row>
    <row r="59" spans="2:19" x14ac:dyDescent="0.25">
      <c r="B59" s="216"/>
      <c r="C59" s="2390"/>
      <c r="D59" s="2151"/>
      <c r="E59" s="2151"/>
      <c r="F59" s="2151"/>
      <c r="G59" s="2151"/>
      <c r="H59" s="2151"/>
      <c r="I59" s="2151"/>
      <c r="J59" s="2151"/>
      <c r="K59" s="2151"/>
      <c r="L59" s="2151"/>
      <c r="M59" s="2151"/>
      <c r="N59" s="2151"/>
      <c r="O59" s="2151"/>
      <c r="P59" s="2391"/>
      <c r="Q59" s="2065"/>
      <c r="R59" s="577"/>
      <c r="S59" s="201"/>
    </row>
    <row r="60" spans="2:19" x14ac:dyDescent="0.25">
      <c r="B60" s="216"/>
      <c r="C60" s="2390"/>
      <c r="D60" s="2151"/>
      <c r="E60" s="2151"/>
      <c r="F60" s="2151"/>
      <c r="G60" s="2151"/>
      <c r="H60" s="2151"/>
      <c r="I60" s="2151"/>
      <c r="J60" s="2151"/>
      <c r="K60" s="2151"/>
      <c r="L60" s="2151"/>
      <c r="M60" s="2151"/>
      <c r="N60" s="2151"/>
      <c r="O60" s="2151"/>
      <c r="P60" s="2391"/>
      <c r="Q60" s="2065"/>
      <c r="R60" s="577"/>
      <c r="S60" s="201"/>
    </row>
    <row r="61" spans="2:19" ht="15.75" thickBot="1" x14ac:dyDescent="0.3">
      <c r="B61" s="216"/>
      <c r="C61" s="2392"/>
      <c r="D61" s="2393"/>
      <c r="E61" s="2393"/>
      <c r="F61" s="2393"/>
      <c r="G61" s="2393"/>
      <c r="H61" s="2393"/>
      <c r="I61" s="2393"/>
      <c r="J61" s="2394"/>
      <c r="K61" s="2393"/>
      <c r="L61" s="2393"/>
      <c r="M61" s="2393"/>
      <c r="N61" s="2393"/>
      <c r="O61" s="2393"/>
      <c r="P61" s="2395"/>
      <c r="Q61" s="2065"/>
      <c r="R61" s="577"/>
      <c r="S61" s="201"/>
    </row>
    <row r="62" spans="2:19" ht="9" customHeight="1" thickBot="1" x14ac:dyDescent="0.3">
      <c r="B62" s="612"/>
      <c r="C62" s="206"/>
      <c r="D62" s="206"/>
      <c r="E62" s="615"/>
      <c r="F62" s="615"/>
      <c r="G62" s="616"/>
      <c r="H62" s="617"/>
      <c r="I62" s="617"/>
      <c r="J62" s="617"/>
      <c r="K62" s="618"/>
      <c r="L62" s="616"/>
      <c r="M62" s="616"/>
      <c r="N62" s="619"/>
      <c r="O62" s="615"/>
      <c r="P62" s="616"/>
      <c r="Q62" s="616"/>
      <c r="R62" s="206"/>
      <c r="S62" s="207"/>
    </row>
  </sheetData>
  <sheetProtection algorithmName="SHA-512" hashValue="rfoBiOjnOYJdrPqOkYntz/xkAj86hzgialeBGFP/lLSCmmxotDltvigwot4BtyELUEmF/0BM1unkgybh1ONilg==" saltValue="fopaMaDeUmvijVKEsjc9ew==" spinCount="100000" sheet="1" formatCells="0" formatColumns="0" formatRows="0" insertRows="0"/>
  <mergeCells count="32">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 ref="F46:G46"/>
    <mergeCell ref="F53:H53"/>
    <mergeCell ref="F44:H44"/>
    <mergeCell ref="G52:K52"/>
    <mergeCell ref="C57:P61"/>
    <mergeCell ref="G50:K50"/>
    <mergeCell ref="G51:K51"/>
    <mergeCell ref="N55:R56"/>
    <mergeCell ref="F54:K54"/>
    <mergeCell ref="C39:D39"/>
    <mergeCell ref="C40:D40"/>
    <mergeCell ref="C34:D34"/>
    <mergeCell ref="C35:D35"/>
    <mergeCell ref="C36:D36"/>
    <mergeCell ref="C37:D37"/>
    <mergeCell ref="C38:D38"/>
  </mergeCells>
  <conditionalFormatting sqref="K16:K24">
    <cfRule type="expression" dxfId="28" priority="9">
      <formula>$I16="Actual"</formula>
    </cfRule>
    <cfRule type="expression" dxfId="27" priority="13">
      <formula>$I16&lt;&gt;"Actual"</formula>
    </cfRule>
  </conditionalFormatting>
  <conditionalFormatting sqref="J16:J24">
    <cfRule type="expression" dxfId="26" priority="10">
      <formula>$I16="Actual"</formula>
    </cfRule>
    <cfRule type="expression" dxfId="25" priority="11">
      <formula>$I16&lt;&gt;"Percent"</formula>
    </cfRule>
  </conditionalFormatting>
  <conditionalFormatting sqref="K32:K40">
    <cfRule type="expression" dxfId="24" priority="5">
      <formula>$I32="Actual"</formula>
    </cfRule>
    <cfRule type="expression" dxfId="23" priority="8">
      <formula>$I32&lt;&gt;"Actual"</formula>
    </cfRule>
  </conditionalFormatting>
  <conditionalFormatting sqref="J32:J40">
    <cfRule type="expression" dxfId="22" priority="6">
      <formula>$I32="Actual"</formula>
    </cfRule>
    <cfRule type="expression" dxfId="21" priority="7">
      <formula>$I32&lt;&gt;"Percent"</formula>
    </cfRule>
  </conditionalFormatting>
  <conditionalFormatting sqref="L28">
    <cfRule type="expression" dxfId="20" priority="3">
      <formula>L28="Costs Are Covered By Listed Funding"</formula>
    </cfRule>
    <cfRule type="expression" dxfId="19" priority="4">
      <formula>L28="WARNING - Costs Exceed Listed Funding"</formula>
    </cfRule>
  </conditionalFormatting>
  <conditionalFormatting sqref="L55">
    <cfRule type="expression" dxfId="18" priority="1">
      <formula>L55="non-personnel Costs Are Covered By Listed Funding"</formula>
    </cfRule>
    <cfRule type="expression" dxfId="17" priority="2">
      <formula>L55="WARNING - non-personnel Costs Exceed Listed Funding"</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2" orientation="portrait" r:id="rId1"/>
  <headerFooter>
    <oddFooter>&amp;LForm 8C
Personnel (Services and Operating) and Non-Personnel Expenses&amp;CCFA Forms&amp;REdition: 2016
Version: 1.0</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W142"/>
  <sheetViews>
    <sheetView showGridLines="0" topLeftCell="A71" zoomScaleNormal="100" workbookViewId="0">
      <selection activeCell="H71" sqref="H71"/>
    </sheetView>
  </sheetViews>
  <sheetFormatPr defaultRowHeight="15" x14ac:dyDescent="0.25"/>
  <cols>
    <col min="1" max="2" width="1.7109375" style="403" customWidth="1"/>
    <col min="3" max="3" width="14.28515625" style="403" customWidth="1"/>
    <col min="4" max="4" width="9.140625" style="403" customWidth="1"/>
    <col min="5" max="5" width="1.42578125" style="403" customWidth="1"/>
    <col min="6" max="7" width="9.140625" style="403"/>
    <col min="8" max="8" width="10.7109375" style="403" bestFit="1" customWidth="1"/>
    <col min="9" max="22" width="12.5703125" style="403" bestFit="1" customWidth="1"/>
    <col min="23" max="23" width="1.5703125" style="403" customWidth="1"/>
    <col min="24" max="16384" width="9.140625" style="403"/>
  </cols>
  <sheetData>
    <row r="12" spans="2:23" ht="15.75" thickBot="1" x14ac:dyDescent="0.3"/>
    <row r="13" spans="2:23" ht="9" customHeight="1" x14ac:dyDescent="0.25">
      <c r="B13" s="255"/>
      <c r="C13" s="741"/>
      <c r="D13" s="741"/>
      <c r="E13" s="741"/>
      <c r="F13" s="741"/>
      <c r="G13" s="741"/>
      <c r="H13" s="741"/>
      <c r="I13" s="741"/>
      <c r="J13" s="741"/>
      <c r="K13" s="741"/>
      <c r="L13" s="741"/>
      <c r="M13" s="741"/>
      <c r="N13" s="741"/>
      <c r="O13" s="741"/>
      <c r="P13" s="741"/>
      <c r="Q13" s="741"/>
      <c r="R13" s="741"/>
      <c r="S13" s="741"/>
      <c r="T13" s="741"/>
      <c r="U13" s="741"/>
      <c r="V13" s="741"/>
      <c r="W13" s="256"/>
    </row>
    <row r="14" spans="2:23" ht="18.75" x14ac:dyDescent="0.3">
      <c r="B14" s="257"/>
      <c r="C14" s="2270" t="s">
        <v>1528</v>
      </c>
      <c r="D14" s="2270"/>
      <c r="E14" s="2270"/>
      <c r="F14" s="2270"/>
      <c r="G14" s="2270"/>
      <c r="H14" s="2270"/>
      <c r="I14" s="2270"/>
      <c r="J14" s="2270"/>
      <c r="K14" s="2270"/>
      <c r="L14" s="2270"/>
      <c r="M14" s="2270"/>
      <c r="N14" s="2270"/>
      <c r="O14" s="2270"/>
      <c r="P14" s="2270"/>
      <c r="Q14" s="2270"/>
      <c r="R14" s="2270"/>
      <c r="S14" s="2270"/>
      <c r="T14" s="2270"/>
      <c r="U14" s="2270"/>
      <c r="V14" s="2270"/>
      <c r="W14" s="259"/>
    </row>
    <row r="15" spans="2:23" ht="7.5" customHeight="1" x14ac:dyDescent="0.25">
      <c r="B15" s="257"/>
      <c r="C15" s="258"/>
      <c r="D15" s="258"/>
      <c r="E15" s="258"/>
      <c r="F15" s="258"/>
      <c r="G15" s="258"/>
      <c r="H15" s="258"/>
      <c r="I15" s="258"/>
      <c r="J15" s="258"/>
      <c r="K15" s="258"/>
      <c r="L15" s="258"/>
      <c r="M15" s="258"/>
      <c r="N15" s="258"/>
      <c r="O15" s="258"/>
      <c r="P15" s="258"/>
      <c r="Q15" s="258"/>
      <c r="R15" s="258"/>
      <c r="S15" s="258"/>
      <c r="T15" s="258"/>
      <c r="U15" s="258"/>
      <c r="V15" s="258"/>
      <c r="W15" s="259"/>
    </row>
    <row r="16" spans="2:23" ht="15.75" thickBot="1" x14ac:dyDescent="0.3">
      <c r="B16" s="257"/>
      <c r="C16" s="2259" t="str">
        <f>IF('1'!G5="","Enter Project Name on Form 1",(CONCATENATE("Project Name: ",'1'!G5)))</f>
        <v>Project Name: Filipino Community Village</v>
      </c>
      <c r="D16" s="2259"/>
      <c r="E16" s="2259"/>
      <c r="F16" s="2259"/>
      <c r="G16" s="2259"/>
      <c r="H16" s="2259"/>
      <c r="I16" s="2259"/>
      <c r="J16" s="2259"/>
      <c r="K16" s="2259"/>
      <c r="L16" s="2259"/>
      <c r="M16" s="2259"/>
      <c r="N16" s="500"/>
      <c r="O16" s="500"/>
      <c r="P16" s="500"/>
      <c r="Q16" s="500"/>
      <c r="R16" s="500"/>
      <c r="S16" s="500"/>
      <c r="T16" s="500"/>
      <c r="U16" s="500"/>
      <c r="V16" s="500"/>
      <c r="W16" s="259"/>
    </row>
    <row r="17" spans="2:23" ht="3.75" customHeight="1" x14ac:dyDescent="0.25">
      <c r="B17" s="257"/>
      <c r="C17" s="500"/>
      <c r="D17" s="500"/>
      <c r="E17" s="500"/>
      <c r="F17" s="500"/>
      <c r="G17" s="500"/>
      <c r="H17" s="429"/>
      <c r="I17" s="429"/>
      <c r="J17" s="429"/>
      <c r="K17" s="429"/>
      <c r="L17" s="500"/>
      <c r="M17" s="500"/>
      <c r="N17" s="500"/>
      <c r="O17" s="500"/>
      <c r="P17" s="500"/>
      <c r="Q17" s="500"/>
      <c r="R17" s="500"/>
      <c r="S17" s="500"/>
      <c r="T17" s="500"/>
      <c r="U17" s="500"/>
      <c r="V17" s="500"/>
      <c r="W17" s="259"/>
    </row>
    <row r="18" spans="2:23" x14ac:dyDescent="0.25">
      <c r="B18" s="260"/>
      <c r="C18" s="500" t="s">
        <v>363</v>
      </c>
      <c r="D18" s="742"/>
      <c r="E18" s="258"/>
      <c r="F18" s="258"/>
      <c r="G18" s="258"/>
      <c r="H18" s="261"/>
      <c r="I18" s="261"/>
      <c r="J18" s="261"/>
      <c r="K18" s="261"/>
      <c r="L18" s="261"/>
      <c r="M18" s="262"/>
      <c r="N18" s="261"/>
      <c r="O18" s="261"/>
      <c r="P18" s="261"/>
      <c r="Q18" s="261"/>
      <c r="R18" s="261"/>
      <c r="S18" s="261"/>
      <c r="T18" s="261"/>
      <c r="U18" s="261"/>
      <c r="V18" s="261"/>
      <c r="W18" s="263"/>
    </row>
    <row r="19" spans="2:23" ht="7.5" customHeight="1" x14ac:dyDescent="0.25">
      <c r="B19" s="260"/>
      <c r="C19" s="264"/>
      <c r="D19" s="261"/>
      <c r="E19" s="258"/>
      <c r="F19" s="258"/>
      <c r="G19" s="258"/>
      <c r="H19" s="261"/>
      <c r="I19" s="261"/>
      <c r="J19" s="261"/>
      <c r="K19" s="261"/>
      <c r="L19" s="261"/>
      <c r="M19" s="262"/>
      <c r="N19" s="261"/>
      <c r="O19" s="261"/>
      <c r="P19" s="261"/>
      <c r="Q19" s="261"/>
      <c r="R19" s="261"/>
      <c r="S19" s="261"/>
      <c r="T19" s="261"/>
      <c r="U19" s="261"/>
      <c r="V19" s="261"/>
      <c r="W19" s="263"/>
    </row>
    <row r="20" spans="2:23" ht="15.75" thickBot="1" x14ac:dyDescent="0.3">
      <c r="B20" s="260"/>
      <c r="C20" s="293" t="s">
        <v>364</v>
      </c>
      <c r="D20" s="239"/>
      <c r="E20" s="238"/>
      <c r="F20" s="238"/>
      <c r="G20" s="238"/>
      <c r="H20" s="239"/>
      <c r="I20" s="239"/>
      <c r="J20" s="239"/>
      <c r="K20" s="239"/>
      <c r="L20" s="239"/>
      <c r="M20" s="240"/>
      <c r="N20" s="239"/>
      <c r="O20" s="239"/>
      <c r="P20" s="239"/>
      <c r="Q20" s="239"/>
      <c r="R20" s="239"/>
      <c r="S20" s="239"/>
      <c r="T20" s="239"/>
      <c r="U20" s="239"/>
      <c r="V20" s="239"/>
      <c r="W20" s="263"/>
    </row>
    <row r="21" spans="2:23" ht="15.75" thickBot="1" x14ac:dyDescent="0.3">
      <c r="B21" s="743"/>
      <c r="C21" s="429"/>
      <c r="D21" s="258"/>
      <c r="E21" s="429"/>
      <c r="F21" s="429"/>
      <c r="G21" s="429"/>
      <c r="H21" s="241" t="s">
        <v>365</v>
      </c>
      <c r="I21" s="744" t="s">
        <v>366</v>
      </c>
      <c r="J21" s="744" t="s">
        <v>367</v>
      </c>
      <c r="K21" s="744" t="s">
        <v>368</v>
      </c>
      <c r="L21" s="744" t="s">
        <v>369</v>
      </c>
      <c r="M21" s="744" t="s">
        <v>370</v>
      </c>
      <c r="N21" s="744" t="s">
        <v>371</v>
      </c>
      <c r="O21" s="744" t="s">
        <v>419</v>
      </c>
      <c r="P21" s="744" t="s">
        <v>420</v>
      </c>
      <c r="Q21" s="744" t="s">
        <v>421</v>
      </c>
      <c r="R21" s="744" t="s">
        <v>422</v>
      </c>
      <c r="S21" s="744" t="s">
        <v>423</v>
      </c>
      <c r="T21" s="744" t="s">
        <v>424</v>
      </c>
      <c r="U21" s="744" t="s">
        <v>425</v>
      </c>
      <c r="V21" s="745" t="s">
        <v>426</v>
      </c>
      <c r="W21" s="1616"/>
    </row>
    <row r="22" spans="2:23" ht="15.75" thickBot="1" x14ac:dyDescent="0.3">
      <c r="B22" s="743"/>
      <c r="C22" s="265" t="s">
        <v>372</v>
      </c>
      <c r="D22" s="429"/>
      <c r="E22" s="429"/>
      <c r="F22" s="384"/>
      <c r="G22" s="746" t="s">
        <v>373</v>
      </c>
      <c r="H22" s="747"/>
      <c r="I22" s="242"/>
      <c r="J22" s="242"/>
      <c r="K22" s="242"/>
      <c r="L22" s="242"/>
      <c r="M22" s="242"/>
      <c r="N22" s="242"/>
      <c r="O22" s="242"/>
      <c r="P22" s="242"/>
      <c r="Q22" s="242"/>
      <c r="R22" s="242"/>
      <c r="S22" s="242"/>
      <c r="T22" s="242"/>
      <c r="U22" s="242"/>
      <c r="V22" s="748"/>
      <c r="W22" s="1616"/>
    </row>
    <row r="23" spans="2:23" x14ac:dyDescent="0.25">
      <c r="B23" s="743"/>
      <c r="C23" s="266" t="s">
        <v>1517</v>
      </c>
      <c r="D23" s="620"/>
      <c r="E23" s="621"/>
      <c r="F23" s="1694"/>
      <c r="G23" s="806">
        <v>2.5000000000000001E-2</v>
      </c>
      <c r="H23" s="1146">
        <f>'8A'!M30</f>
        <v>755232</v>
      </c>
      <c r="I23" s="1147">
        <f t="shared" ref="I23:V24" si="0">H23+(H23*$G23)</f>
        <v>774112.8</v>
      </c>
      <c r="J23" s="1147">
        <f t="shared" si="0"/>
        <v>793465.62</v>
      </c>
      <c r="K23" s="1147">
        <f t="shared" si="0"/>
        <v>813302.26049999997</v>
      </c>
      <c r="L23" s="1147">
        <f t="shared" si="0"/>
        <v>833634.81701250002</v>
      </c>
      <c r="M23" s="1147">
        <f t="shared" si="0"/>
        <v>854475.68743781256</v>
      </c>
      <c r="N23" s="1147">
        <f t="shared" si="0"/>
        <v>875837.57962375786</v>
      </c>
      <c r="O23" s="1147">
        <f t="shared" si="0"/>
        <v>897733.51911435183</v>
      </c>
      <c r="P23" s="1147">
        <f t="shared" si="0"/>
        <v>920176.85709221067</v>
      </c>
      <c r="Q23" s="1147">
        <f t="shared" si="0"/>
        <v>943181.278519516</v>
      </c>
      <c r="R23" s="1147">
        <f t="shared" si="0"/>
        <v>966760.81048250385</v>
      </c>
      <c r="S23" s="1147">
        <f t="shared" si="0"/>
        <v>990929.8307445664</v>
      </c>
      <c r="T23" s="1147">
        <f t="shared" si="0"/>
        <v>1015703.0765131805</v>
      </c>
      <c r="U23" s="1147">
        <f t="shared" si="0"/>
        <v>1041095.65342601</v>
      </c>
      <c r="V23" s="1148">
        <f t="shared" si="0"/>
        <v>1067123.0447616603</v>
      </c>
      <c r="W23" s="1616"/>
    </row>
    <row r="24" spans="2:23" x14ac:dyDescent="0.25">
      <c r="B24" s="743"/>
      <c r="C24" s="2458" t="s">
        <v>1518</v>
      </c>
      <c r="D24" s="2458"/>
      <c r="E24" s="2458"/>
      <c r="F24" s="2459"/>
      <c r="G24" s="1734">
        <v>2.5000000000000001E-2</v>
      </c>
      <c r="H24" s="1149">
        <f>'8A'!N30</f>
        <v>44256</v>
      </c>
      <c r="I24" s="1147">
        <f>H24+(H24*$G24)</f>
        <v>45362.400000000001</v>
      </c>
      <c r="J24" s="1147">
        <f t="shared" si="0"/>
        <v>46496.46</v>
      </c>
      <c r="K24" s="1147">
        <f t="shared" si="0"/>
        <v>47658.871500000001</v>
      </c>
      <c r="L24" s="1147">
        <f t="shared" si="0"/>
        <v>48850.3432875</v>
      </c>
      <c r="M24" s="1147">
        <f t="shared" si="0"/>
        <v>50071.601869687496</v>
      </c>
      <c r="N24" s="1147">
        <f t="shared" si="0"/>
        <v>51323.391916429682</v>
      </c>
      <c r="O24" s="1147">
        <f t="shared" si="0"/>
        <v>52606.476714340424</v>
      </c>
      <c r="P24" s="1147">
        <f t="shared" si="0"/>
        <v>53921.638632198934</v>
      </c>
      <c r="Q24" s="1147">
        <f t="shared" si="0"/>
        <v>55269.67959800391</v>
      </c>
      <c r="R24" s="1147">
        <f t="shared" si="0"/>
        <v>56651.421587954006</v>
      </c>
      <c r="S24" s="1147">
        <f t="shared" si="0"/>
        <v>58067.707127652859</v>
      </c>
      <c r="T24" s="1147">
        <f t="shared" si="0"/>
        <v>59519.399805844179</v>
      </c>
      <c r="U24" s="1147">
        <f t="shared" si="0"/>
        <v>61007.384800990287</v>
      </c>
      <c r="V24" s="1148">
        <f t="shared" si="0"/>
        <v>62532.569421015047</v>
      </c>
      <c r="W24" s="1616"/>
    </row>
    <row r="25" spans="2:23" ht="15.75" thickBot="1" x14ac:dyDescent="0.3">
      <c r="B25" s="743"/>
      <c r="C25" s="2460" t="s">
        <v>1519</v>
      </c>
      <c r="D25" s="2460"/>
      <c r="E25" s="2460"/>
      <c r="F25" s="2461"/>
      <c r="G25" s="809">
        <v>2.5000000000000001E-2</v>
      </c>
      <c r="H25" s="1149">
        <f>'8B'!F21</f>
        <v>0</v>
      </c>
      <c r="I25" s="1150">
        <f>H25+(H25*$G25)</f>
        <v>0</v>
      </c>
      <c r="J25" s="1150">
        <f t="shared" ref="J25:V25" si="1">I25+(I25*$G25)</f>
        <v>0</v>
      </c>
      <c r="K25" s="1150">
        <f t="shared" si="1"/>
        <v>0</v>
      </c>
      <c r="L25" s="1150">
        <f t="shared" si="1"/>
        <v>0</v>
      </c>
      <c r="M25" s="1150">
        <f t="shared" si="1"/>
        <v>0</v>
      </c>
      <c r="N25" s="1150">
        <f t="shared" si="1"/>
        <v>0</v>
      </c>
      <c r="O25" s="1150">
        <f t="shared" si="1"/>
        <v>0</v>
      </c>
      <c r="P25" s="1150">
        <f t="shared" si="1"/>
        <v>0</v>
      </c>
      <c r="Q25" s="1150">
        <f t="shared" si="1"/>
        <v>0</v>
      </c>
      <c r="R25" s="1150">
        <f t="shared" si="1"/>
        <v>0</v>
      </c>
      <c r="S25" s="1150">
        <f t="shared" si="1"/>
        <v>0</v>
      </c>
      <c r="T25" s="1150">
        <f t="shared" si="1"/>
        <v>0</v>
      </c>
      <c r="U25" s="1150">
        <f t="shared" si="1"/>
        <v>0</v>
      </c>
      <c r="V25" s="1151">
        <f t="shared" si="1"/>
        <v>0</v>
      </c>
      <c r="W25" s="1616"/>
    </row>
    <row r="26" spans="2:23" x14ac:dyDescent="0.25">
      <c r="B26" s="743"/>
      <c r="C26" s="1735" t="s">
        <v>1523</v>
      </c>
      <c r="D26" s="1736"/>
      <c r="E26" s="799"/>
      <c r="F26" s="971"/>
      <c r="G26" s="1617"/>
      <c r="H26" s="1152">
        <f>'8B'!F30</f>
        <v>0</v>
      </c>
      <c r="I26" s="1153">
        <v>0</v>
      </c>
      <c r="J26" s="1153">
        <v>0</v>
      </c>
      <c r="K26" s="1153">
        <v>0</v>
      </c>
      <c r="L26" s="1153">
        <v>0</v>
      </c>
      <c r="M26" s="1153">
        <v>0</v>
      </c>
      <c r="N26" s="1153">
        <v>0</v>
      </c>
      <c r="O26" s="1153">
        <v>0</v>
      </c>
      <c r="P26" s="1153">
        <v>0</v>
      </c>
      <c r="Q26" s="1153">
        <v>0</v>
      </c>
      <c r="R26" s="1153">
        <v>0</v>
      </c>
      <c r="S26" s="1153">
        <v>0</v>
      </c>
      <c r="T26" s="1153">
        <v>0</v>
      </c>
      <c r="U26" s="1153">
        <v>0</v>
      </c>
      <c r="V26" s="1154">
        <v>0</v>
      </c>
      <c r="W26" s="1616"/>
    </row>
    <row r="27" spans="2:23" ht="15.75" thickBot="1" x14ac:dyDescent="0.3">
      <c r="B27" s="743"/>
      <c r="C27" s="267" t="s">
        <v>2065</v>
      </c>
      <c r="D27" s="267"/>
      <c r="E27" s="429"/>
      <c r="F27" s="798"/>
      <c r="G27" s="1618"/>
      <c r="H27" s="805"/>
      <c r="I27" s="1619"/>
      <c r="J27" s="1619"/>
      <c r="K27" s="1619"/>
      <c r="L27" s="1619"/>
      <c r="M27" s="1619"/>
      <c r="N27" s="1619"/>
      <c r="O27" s="1619"/>
      <c r="P27" s="1619"/>
      <c r="Q27" s="1619"/>
      <c r="R27" s="1619"/>
      <c r="S27" s="1619"/>
      <c r="T27" s="1619"/>
      <c r="U27" s="1619"/>
      <c r="V27" s="1620"/>
      <c r="W27" s="1616"/>
    </row>
    <row r="28" spans="2:23" x14ac:dyDescent="0.25">
      <c r="B28" s="743"/>
      <c r="C28" s="2454" t="s">
        <v>2066</v>
      </c>
      <c r="D28" s="2454"/>
      <c r="E28" s="2454"/>
      <c r="F28" s="2455"/>
      <c r="G28" s="806">
        <v>2.5000000000000001E-2</v>
      </c>
      <c r="H28" s="1155">
        <v>5000</v>
      </c>
      <c r="I28" s="1156">
        <f t="shared" ref="I28:V28" si="2">H28+(H28*$G28)</f>
        <v>5125</v>
      </c>
      <c r="J28" s="1156">
        <f t="shared" si="2"/>
        <v>5253.125</v>
      </c>
      <c r="K28" s="1156">
        <f t="shared" si="2"/>
        <v>5384.453125</v>
      </c>
      <c r="L28" s="1156">
        <f t="shared" si="2"/>
        <v>5519.064453125</v>
      </c>
      <c r="M28" s="1156">
        <f>L28+(L28*$G28)</f>
        <v>5657.0410644531248</v>
      </c>
      <c r="N28" s="1156">
        <f t="shared" si="2"/>
        <v>5798.4670910644527</v>
      </c>
      <c r="O28" s="1156">
        <f t="shared" si="2"/>
        <v>5943.4287683410639</v>
      </c>
      <c r="P28" s="1156">
        <f t="shared" si="2"/>
        <v>6092.0144875495907</v>
      </c>
      <c r="Q28" s="1156">
        <f t="shared" si="2"/>
        <v>6244.3148497383308</v>
      </c>
      <c r="R28" s="1156">
        <f t="shared" si="2"/>
        <v>6400.4227209817891</v>
      </c>
      <c r="S28" s="1156">
        <f t="shared" si="2"/>
        <v>6560.4332890063342</v>
      </c>
      <c r="T28" s="1156">
        <f t="shared" si="2"/>
        <v>6724.4441212314923</v>
      </c>
      <c r="U28" s="1156">
        <f t="shared" si="2"/>
        <v>6892.5552242622798</v>
      </c>
      <c r="V28" s="1157">
        <f t="shared" si="2"/>
        <v>7064.869104868837</v>
      </c>
      <c r="W28" s="1616"/>
    </row>
    <row r="29" spans="2:23" ht="15.75" thickBot="1" x14ac:dyDescent="0.3">
      <c r="B29" s="743"/>
      <c r="C29" s="2456"/>
      <c r="D29" s="2456"/>
      <c r="E29" s="2456"/>
      <c r="F29" s="2457"/>
      <c r="G29" s="809">
        <v>0</v>
      </c>
      <c r="H29" s="1158">
        <v>0</v>
      </c>
      <c r="I29" s="1159">
        <f t="shared" ref="I29:V29" si="3">H29+(H29*$G29)</f>
        <v>0</v>
      </c>
      <c r="J29" s="1159">
        <f t="shared" si="3"/>
        <v>0</v>
      </c>
      <c r="K29" s="1159">
        <f t="shared" si="3"/>
        <v>0</v>
      </c>
      <c r="L29" s="1159">
        <f t="shared" si="3"/>
        <v>0</v>
      </c>
      <c r="M29" s="1159">
        <f t="shared" si="3"/>
        <v>0</v>
      </c>
      <c r="N29" s="1159">
        <f t="shared" si="3"/>
        <v>0</v>
      </c>
      <c r="O29" s="1159">
        <f t="shared" si="3"/>
        <v>0</v>
      </c>
      <c r="P29" s="1159">
        <f t="shared" si="3"/>
        <v>0</v>
      </c>
      <c r="Q29" s="1159">
        <f t="shared" si="3"/>
        <v>0</v>
      </c>
      <c r="R29" s="1159">
        <f t="shared" si="3"/>
        <v>0</v>
      </c>
      <c r="S29" s="1159">
        <f t="shared" si="3"/>
        <v>0</v>
      </c>
      <c r="T29" s="1159">
        <f t="shared" si="3"/>
        <v>0</v>
      </c>
      <c r="U29" s="1159">
        <f t="shared" si="3"/>
        <v>0</v>
      </c>
      <c r="V29" s="1160">
        <f t="shared" si="3"/>
        <v>0</v>
      </c>
      <c r="W29" s="1616"/>
    </row>
    <row r="30" spans="2:23" x14ac:dyDescent="0.25">
      <c r="B30" s="743"/>
      <c r="C30" s="267" t="s">
        <v>374</v>
      </c>
      <c r="D30" s="429"/>
      <c r="E30" s="429"/>
      <c r="F30" s="429"/>
      <c r="G30" s="268" t="s">
        <v>375</v>
      </c>
      <c r="H30" s="1161">
        <f>SUM(H23:H29)</f>
        <v>804488</v>
      </c>
      <c r="I30" s="1162">
        <f t="shared" ref="I30:N30" si="4">SUM(I23:I29)</f>
        <v>824600.20000000007</v>
      </c>
      <c r="J30" s="1162">
        <f t="shared" si="4"/>
        <v>845215.20499999996</v>
      </c>
      <c r="K30" s="1162">
        <f t="shared" si="4"/>
        <v>866345.58512499998</v>
      </c>
      <c r="L30" s="1162">
        <f t="shared" si="4"/>
        <v>888004.22475312499</v>
      </c>
      <c r="M30" s="1162">
        <f t="shared" si="4"/>
        <v>910204.33037195308</v>
      </c>
      <c r="N30" s="1162">
        <f t="shared" si="4"/>
        <v>932959.43863125192</v>
      </c>
      <c r="O30" s="1162">
        <f t="shared" ref="O30:V30" si="5">SUM(O23:O29)</f>
        <v>956283.4245970333</v>
      </c>
      <c r="P30" s="1162">
        <f t="shared" si="5"/>
        <v>980190.51021195913</v>
      </c>
      <c r="Q30" s="1162">
        <f t="shared" si="5"/>
        <v>1004695.2729672582</v>
      </c>
      <c r="R30" s="1162">
        <f t="shared" si="5"/>
        <v>1029812.6547914397</v>
      </c>
      <c r="S30" s="1162">
        <f t="shared" si="5"/>
        <v>1055557.9711612256</v>
      </c>
      <c r="T30" s="1162">
        <f t="shared" si="5"/>
        <v>1081946.9204402564</v>
      </c>
      <c r="U30" s="1162">
        <f t="shared" si="5"/>
        <v>1108995.5934512625</v>
      </c>
      <c r="V30" s="1163">
        <f t="shared" si="5"/>
        <v>1136720.483287544</v>
      </c>
      <c r="W30" s="1616"/>
    </row>
    <row r="31" spans="2:23" ht="15.75" thickBot="1" x14ac:dyDescent="0.3">
      <c r="B31" s="743"/>
      <c r="C31" s="270" t="s">
        <v>377</v>
      </c>
      <c r="D31" s="271"/>
      <c r="E31" s="623"/>
      <c r="F31" s="624"/>
      <c r="G31" s="625"/>
      <c r="H31" s="1164">
        <v>0</v>
      </c>
      <c r="I31" s="1165">
        <v>0</v>
      </c>
      <c r="J31" s="1165">
        <v>0</v>
      </c>
      <c r="K31" s="1165">
        <v>0</v>
      </c>
      <c r="L31" s="1165">
        <v>0</v>
      </c>
      <c r="M31" s="1165">
        <v>0</v>
      </c>
      <c r="N31" s="1165">
        <v>0</v>
      </c>
      <c r="O31" s="1165">
        <v>0</v>
      </c>
      <c r="P31" s="1165">
        <v>0</v>
      </c>
      <c r="Q31" s="1165">
        <v>0</v>
      </c>
      <c r="R31" s="1165">
        <v>0</v>
      </c>
      <c r="S31" s="1165">
        <v>0</v>
      </c>
      <c r="T31" s="1165">
        <v>0</v>
      </c>
      <c r="U31" s="1165">
        <v>0</v>
      </c>
      <c r="V31" s="1166">
        <v>0</v>
      </c>
      <c r="W31" s="1616"/>
    </row>
    <row r="32" spans="2:23" ht="15.75" thickTop="1" x14ac:dyDescent="0.25">
      <c r="B32" s="743"/>
      <c r="C32" s="265" t="s">
        <v>378</v>
      </c>
      <c r="D32" s="429"/>
      <c r="E32" s="429"/>
      <c r="F32" s="429"/>
      <c r="G32" s="269" t="s">
        <v>375</v>
      </c>
      <c r="H32" s="1167">
        <f t="shared" ref="H32:V32" si="6">H30+H38+H31</f>
        <v>804488</v>
      </c>
      <c r="I32" s="1168">
        <f t="shared" si="6"/>
        <v>824600.20000000007</v>
      </c>
      <c r="J32" s="1168">
        <f t="shared" si="6"/>
        <v>845215.20499999996</v>
      </c>
      <c r="K32" s="1168">
        <f t="shared" si="6"/>
        <v>866345.58512499998</v>
      </c>
      <c r="L32" s="1168">
        <f t="shared" si="6"/>
        <v>888004.22475312499</v>
      </c>
      <c r="M32" s="1168">
        <f t="shared" si="6"/>
        <v>910204.33037195308</v>
      </c>
      <c r="N32" s="1168">
        <f t="shared" si="6"/>
        <v>932959.43863125192</v>
      </c>
      <c r="O32" s="1168">
        <f t="shared" si="6"/>
        <v>956283.4245970333</v>
      </c>
      <c r="P32" s="1168">
        <f t="shared" si="6"/>
        <v>980190.51021195913</v>
      </c>
      <c r="Q32" s="1168">
        <f t="shared" si="6"/>
        <v>1004695.2729672582</v>
      </c>
      <c r="R32" s="1168">
        <f t="shared" si="6"/>
        <v>1029812.6547914397</v>
      </c>
      <c r="S32" s="1168">
        <f t="shared" si="6"/>
        <v>1055557.9711612256</v>
      </c>
      <c r="T32" s="1168">
        <f t="shared" si="6"/>
        <v>1081946.9204402564</v>
      </c>
      <c r="U32" s="1168">
        <f t="shared" si="6"/>
        <v>1108995.5934512625</v>
      </c>
      <c r="V32" s="1169">
        <f t="shared" si="6"/>
        <v>1136720.483287544</v>
      </c>
      <c r="W32" s="1616"/>
    </row>
    <row r="33" spans="2:23" ht="15.75" thickBot="1" x14ac:dyDescent="0.3">
      <c r="B33" s="743"/>
      <c r="C33" s="265"/>
      <c r="D33" s="429"/>
      <c r="E33" s="429"/>
      <c r="F33" s="384"/>
      <c r="G33" s="272" t="s">
        <v>379</v>
      </c>
      <c r="H33" s="243"/>
      <c r="I33" s="244"/>
      <c r="J33" s="244"/>
      <c r="K33" s="244"/>
      <c r="L33" s="244"/>
      <c r="M33" s="244"/>
      <c r="N33" s="244"/>
      <c r="O33" s="244"/>
      <c r="P33" s="244"/>
      <c r="Q33" s="244"/>
      <c r="R33" s="244"/>
      <c r="S33" s="244"/>
      <c r="T33" s="244"/>
      <c r="U33" s="244"/>
      <c r="V33" s="254"/>
      <c r="W33" s="1616"/>
    </row>
    <row r="34" spans="2:23" x14ac:dyDescent="0.25">
      <c r="B34" s="743"/>
      <c r="C34" s="273" t="s">
        <v>380</v>
      </c>
      <c r="D34" s="620"/>
      <c r="E34" s="620"/>
      <c r="F34" s="1621"/>
      <c r="G34" s="806">
        <v>0.05</v>
      </c>
      <c r="H34" s="1170">
        <f t="shared" ref="H34:V34" si="7">-H30*$G34</f>
        <v>-40224.400000000001</v>
      </c>
      <c r="I34" s="1171">
        <f t="shared" si="7"/>
        <v>-41230.010000000009</v>
      </c>
      <c r="J34" s="1171">
        <f t="shared" si="7"/>
        <v>-42260.760249999999</v>
      </c>
      <c r="K34" s="1171">
        <f t="shared" si="7"/>
        <v>-43317.279256250004</v>
      </c>
      <c r="L34" s="1171">
        <f t="shared" si="7"/>
        <v>-44400.211237656251</v>
      </c>
      <c r="M34" s="1171">
        <f t="shared" si="7"/>
        <v>-45510.216518597656</v>
      </c>
      <c r="N34" s="1171">
        <f t="shared" si="7"/>
        <v>-46647.971931562599</v>
      </c>
      <c r="O34" s="1171">
        <f t="shared" si="7"/>
        <v>-47814.171229851665</v>
      </c>
      <c r="P34" s="1171">
        <f t="shared" si="7"/>
        <v>-49009.52551059796</v>
      </c>
      <c r="Q34" s="1171">
        <f t="shared" si="7"/>
        <v>-50234.763648362918</v>
      </c>
      <c r="R34" s="1171">
        <f t="shared" si="7"/>
        <v>-51490.632739571985</v>
      </c>
      <c r="S34" s="1171">
        <f t="shared" si="7"/>
        <v>-52777.898558061279</v>
      </c>
      <c r="T34" s="1171">
        <f t="shared" si="7"/>
        <v>-54097.346022012818</v>
      </c>
      <c r="U34" s="1171">
        <f t="shared" si="7"/>
        <v>-55449.779672563127</v>
      </c>
      <c r="V34" s="1172">
        <f t="shared" si="7"/>
        <v>-56836.024164377202</v>
      </c>
      <c r="W34" s="1616"/>
    </row>
    <row r="35" spans="2:23" ht="15.75" thickBot="1" x14ac:dyDescent="0.3">
      <c r="B35" s="743"/>
      <c r="C35" s="274" t="s">
        <v>381</v>
      </c>
      <c r="D35" s="623"/>
      <c r="E35" s="623"/>
      <c r="F35" s="1622"/>
      <c r="G35" s="810">
        <v>0.1</v>
      </c>
      <c r="H35" s="1173">
        <f t="shared" ref="H35:V35" si="8">-H31*$G35</f>
        <v>0</v>
      </c>
      <c r="I35" s="1174">
        <f t="shared" si="8"/>
        <v>0</v>
      </c>
      <c r="J35" s="1174">
        <f t="shared" si="8"/>
        <v>0</v>
      </c>
      <c r="K35" s="1174">
        <f t="shared" si="8"/>
        <v>0</v>
      </c>
      <c r="L35" s="1174">
        <f t="shared" si="8"/>
        <v>0</v>
      </c>
      <c r="M35" s="1174">
        <f t="shared" si="8"/>
        <v>0</v>
      </c>
      <c r="N35" s="1174">
        <f t="shared" si="8"/>
        <v>0</v>
      </c>
      <c r="O35" s="1174">
        <f t="shared" si="8"/>
        <v>0</v>
      </c>
      <c r="P35" s="1174">
        <f t="shared" si="8"/>
        <v>0</v>
      </c>
      <c r="Q35" s="1174">
        <f t="shared" si="8"/>
        <v>0</v>
      </c>
      <c r="R35" s="1174">
        <f t="shared" si="8"/>
        <v>0</v>
      </c>
      <c r="S35" s="1174">
        <f t="shared" si="8"/>
        <v>0</v>
      </c>
      <c r="T35" s="1174">
        <f t="shared" si="8"/>
        <v>0</v>
      </c>
      <c r="U35" s="1174">
        <f t="shared" si="8"/>
        <v>0</v>
      </c>
      <c r="V35" s="1175">
        <f t="shared" si="8"/>
        <v>0</v>
      </c>
      <c r="W35" s="1616"/>
    </row>
    <row r="36" spans="2:23" ht="16.5" thickTop="1" thickBot="1" x14ac:dyDescent="0.3">
      <c r="B36" s="743"/>
      <c r="C36" s="275" t="s">
        <v>382</v>
      </c>
      <c r="D36" s="429"/>
      <c r="E36" s="429"/>
      <c r="F36" s="429"/>
      <c r="G36" s="268" t="s">
        <v>375</v>
      </c>
      <c r="H36" s="1176">
        <f>H32+H34+H35</f>
        <v>764263.6</v>
      </c>
      <c r="I36" s="1177">
        <f t="shared" ref="I36:N36" si="9">I32+I34+I35</f>
        <v>783370.19000000006</v>
      </c>
      <c r="J36" s="1177">
        <f t="shared" si="9"/>
        <v>802954.44474999991</v>
      </c>
      <c r="K36" s="1177">
        <f t="shared" si="9"/>
        <v>823028.30586874997</v>
      </c>
      <c r="L36" s="1177">
        <f t="shared" si="9"/>
        <v>843604.01351546869</v>
      </c>
      <c r="M36" s="1177">
        <f t="shared" si="9"/>
        <v>864694.1138533554</v>
      </c>
      <c r="N36" s="1177">
        <f t="shared" si="9"/>
        <v>886311.46669968928</v>
      </c>
      <c r="O36" s="1177">
        <f t="shared" ref="O36:V36" si="10">O32+O34+O35</f>
        <v>908469.25336718163</v>
      </c>
      <c r="P36" s="1177">
        <f t="shared" si="10"/>
        <v>931180.98470136116</v>
      </c>
      <c r="Q36" s="1177">
        <f t="shared" si="10"/>
        <v>954460.50931889529</v>
      </c>
      <c r="R36" s="1177">
        <f t="shared" si="10"/>
        <v>978322.02205186768</v>
      </c>
      <c r="S36" s="1177">
        <f t="shared" si="10"/>
        <v>1002780.0726031642</v>
      </c>
      <c r="T36" s="1177">
        <f t="shared" si="10"/>
        <v>1027849.5744182435</v>
      </c>
      <c r="U36" s="1177">
        <f t="shared" si="10"/>
        <v>1053545.8137786994</v>
      </c>
      <c r="V36" s="1178">
        <f t="shared" si="10"/>
        <v>1079884.4591231667</v>
      </c>
      <c r="W36" s="1616"/>
    </row>
    <row r="37" spans="2:23" ht="7.5" customHeight="1" thickBot="1" x14ac:dyDescent="0.3">
      <c r="B37" s="743"/>
      <c r="C37" s="429"/>
      <c r="D37" s="429"/>
      <c r="E37" s="429"/>
      <c r="F37" s="429"/>
      <c r="G37" s="429"/>
      <c r="H37" s="429"/>
      <c r="I37" s="429"/>
      <c r="J37" s="429"/>
      <c r="K37" s="429"/>
      <c r="L37" s="429"/>
      <c r="M37" s="429"/>
      <c r="N37" s="429"/>
      <c r="O37" s="429"/>
      <c r="P37" s="429"/>
      <c r="Q37" s="429"/>
      <c r="R37" s="429"/>
      <c r="S37" s="429"/>
      <c r="T37" s="429"/>
      <c r="U37" s="429"/>
      <c r="V37" s="429"/>
      <c r="W37" s="1616"/>
    </row>
    <row r="38" spans="2:23" ht="15.75" thickBot="1" x14ac:dyDescent="0.3">
      <c r="B38" s="743"/>
      <c r="C38" s="267" t="s">
        <v>376</v>
      </c>
      <c r="D38" s="269"/>
      <c r="E38" s="429"/>
      <c r="F38" s="622"/>
      <c r="G38" s="429"/>
      <c r="H38" s="1774">
        <f>'8B'!F39</f>
        <v>0</v>
      </c>
      <c r="I38" s="1775">
        <v>0</v>
      </c>
      <c r="J38" s="1775">
        <v>0</v>
      </c>
      <c r="K38" s="1775">
        <v>0</v>
      </c>
      <c r="L38" s="1775">
        <v>0</v>
      </c>
      <c r="M38" s="1775">
        <v>0</v>
      </c>
      <c r="N38" s="1775">
        <v>0</v>
      </c>
      <c r="O38" s="1775">
        <v>0</v>
      </c>
      <c r="P38" s="1775">
        <v>0</v>
      </c>
      <c r="Q38" s="1775">
        <v>0</v>
      </c>
      <c r="R38" s="1775">
        <v>0</v>
      </c>
      <c r="S38" s="1775">
        <v>0</v>
      </c>
      <c r="T38" s="1775">
        <v>0</v>
      </c>
      <c r="U38" s="1775">
        <v>0</v>
      </c>
      <c r="V38" s="1776">
        <v>0</v>
      </c>
      <c r="W38" s="1616"/>
    </row>
    <row r="39" spans="2:23" ht="7.5" customHeight="1" x14ac:dyDescent="0.25">
      <c r="B39" s="743"/>
      <c r="C39" s="267"/>
      <c r="D39" s="269"/>
      <c r="E39" s="429"/>
      <c r="F39" s="429"/>
      <c r="G39" s="429"/>
      <c r="H39" s="1772"/>
      <c r="I39" s="1772"/>
      <c r="J39" s="1772"/>
      <c r="K39" s="1772"/>
      <c r="L39" s="1772"/>
      <c r="M39" s="1772"/>
      <c r="N39" s="1772"/>
      <c r="O39" s="1772"/>
      <c r="P39" s="1772"/>
      <c r="Q39" s="1772"/>
      <c r="R39" s="1772"/>
      <c r="S39" s="1772"/>
      <c r="T39" s="1772"/>
      <c r="U39" s="1772"/>
      <c r="V39" s="1773"/>
      <c r="W39" s="1616"/>
    </row>
    <row r="40" spans="2:23" ht="15.75" thickBot="1" x14ac:dyDescent="0.3">
      <c r="B40" s="260"/>
      <c r="C40" s="800" t="s">
        <v>549</v>
      </c>
      <c r="D40" s="245"/>
      <c r="E40" s="245"/>
      <c r="F40" s="245"/>
      <c r="G40" s="245"/>
      <c r="H40" s="245"/>
      <c r="I40" s="245"/>
      <c r="J40" s="245"/>
      <c r="K40" s="246"/>
      <c r="L40" s="245"/>
      <c r="M40" s="245"/>
      <c r="N40" s="245"/>
      <c r="O40" s="245"/>
      <c r="P40" s="245"/>
      <c r="Q40" s="245"/>
      <c r="R40" s="245"/>
      <c r="S40" s="245"/>
      <c r="T40" s="245"/>
      <c r="U40" s="245"/>
      <c r="V40" s="245"/>
      <c r="W40" s="1616"/>
    </row>
    <row r="41" spans="2:23" ht="15.75" thickBot="1" x14ac:dyDescent="0.3">
      <c r="B41" s="260"/>
      <c r="C41" s="384"/>
      <c r="D41" s="267"/>
      <c r="E41" s="267"/>
      <c r="F41" s="1974" t="s">
        <v>412</v>
      </c>
      <c r="G41" s="268" t="s">
        <v>375</v>
      </c>
      <c r="H41" s="1179">
        <f>H102</f>
        <v>251097.31999999995</v>
      </c>
      <c r="I41" s="1180">
        <f t="shared" ref="I41:V41" si="11">I102</f>
        <v>252722.78300000005</v>
      </c>
      <c r="J41" s="1180">
        <f t="shared" si="11"/>
        <v>254226.06362499995</v>
      </c>
      <c r="K41" s="1180">
        <f t="shared" si="11"/>
        <v>255598.40865237499</v>
      </c>
      <c r="L41" s="1180">
        <f t="shared" si="11"/>
        <v>256830.64657572052</v>
      </c>
      <c r="M41" s="1180">
        <f t="shared" si="11"/>
        <v>257913.17016689607</v>
      </c>
      <c r="N41" s="1180">
        <f t="shared" si="11"/>
        <v>258835.91835778824</v>
      </c>
      <c r="O41" s="1180">
        <f t="shared" si="11"/>
        <v>259588.35741623829</v>
      </c>
      <c r="P41" s="1180">
        <f t="shared" si="11"/>
        <v>260159.46138963208</v>
      </c>
      <c r="Q41" s="1180">
        <f t="shared" si="11"/>
        <v>260537.69178869028</v>
      </c>
      <c r="R41" s="1180">
        <f t="shared" si="11"/>
        <v>260710.976482976</v>
      </c>
      <c r="S41" s="1180">
        <f t="shared" si="11"/>
        <v>260666.68777860375</v>
      </c>
      <c r="T41" s="1180">
        <f t="shared" si="11"/>
        <v>260391.61964754679</v>
      </c>
      <c r="U41" s="1180">
        <f t="shared" si="11"/>
        <v>259871.9640768196</v>
      </c>
      <c r="V41" s="1181">
        <f t="shared" si="11"/>
        <v>259093.28650465747</v>
      </c>
      <c r="W41" s="1616"/>
    </row>
    <row r="42" spans="2:23" x14ac:dyDescent="0.25">
      <c r="B42" s="260"/>
      <c r="C42" s="275"/>
      <c r="D42" s="267"/>
      <c r="E42" s="267"/>
      <c r="F42" s="267"/>
      <c r="G42" s="268"/>
      <c r="H42" s="289"/>
      <c r="I42" s="289"/>
      <c r="J42" s="289"/>
      <c r="K42" s="289"/>
      <c r="L42" s="289"/>
      <c r="M42" s="289"/>
      <c r="N42" s="289"/>
      <c r="O42" s="429"/>
      <c r="P42" s="429"/>
      <c r="Q42" s="429"/>
      <c r="R42" s="429"/>
      <c r="S42" s="429"/>
      <c r="T42" s="429"/>
      <c r="U42" s="429"/>
      <c r="V42" s="429"/>
      <c r="W42" s="1616"/>
    </row>
    <row r="43" spans="2:23" ht="15.75" thickBot="1" x14ac:dyDescent="0.3">
      <c r="B43" s="743"/>
      <c r="C43" s="2443" t="s">
        <v>413</v>
      </c>
      <c r="D43" s="2443"/>
      <c r="E43" s="252"/>
      <c r="F43" s="252"/>
      <c r="G43" s="252"/>
      <c r="H43" s="252"/>
      <c r="I43" s="252"/>
      <c r="J43" s="252"/>
      <c r="K43" s="252"/>
      <c r="L43" s="252"/>
      <c r="M43" s="252"/>
      <c r="N43" s="252"/>
      <c r="O43" s="252"/>
      <c r="P43" s="252"/>
      <c r="Q43" s="252"/>
      <c r="R43" s="252"/>
      <c r="S43" s="252"/>
      <c r="T43" s="252"/>
      <c r="U43" s="252"/>
      <c r="V43" s="252"/>
      <c r="W43" s="1616"/>
    </row>
    <row r="44" spans="2:23" ht="15.75" thickBot="1" x14ac:dyDescent="0.3">
      <c r="B44" s="743"/>
      <c r="C44" s="350" t="s">
        <v>414</v>
      </c>
      <c r="D44" s="429"/>
      <c r="E44" s="429"/>
      <c r="F44" s="2436" t="s">
        <v>415</v>
      </c>
      <c r="G44" s="2437"/>
      <c r="H44" s="241" t="s">
        <v>365</v>
      </c>
      <c r="I44" s="744" t="s">
        <v>366</v>
      </c>
      <c r="J44" s="744" t="s">
        <v>367</v>
      </c>
      <c r="K44" s="744" t="s">
        <v>368</v>
      </c>
      <c r="L44" s="744" t="s">
        <v>369</v>
      </c>
      <c r="M44" s="744" t="s">
        <v>370</v>
      </c>
      <c r="N44" s="744" t="s">
        <v>371</v>
      </c>
      <c r="O44" s="744" t="s">
        <v>419</v>
      </c>
      <c r="P44" s="744" t="s">
        <v>420</v>
      </c>
      <c r="Q44" s="744" t="s">
        <v>421</v>
      </c>
      <c r="R44" s="744" t="s">
        <v>422</v>
      </c>
      <c r="S44" s="744" t="s">
        <v>423</v>
      </c>
      <c r="T44" s="744" t="s">
        <v>424</v>
      </c>
      <c r="U44" s="744" t="s">
        <v>425</v>
      </c>
      <c r="V44" s="749" t="s">
        <v>426</v>
      </c>
      <c r="W44" s="1616"/>
    </row>
    <row r="45" spans="2:23" x14ac:dyDescent="0.25">
      <c r="B45" s="743"/>
      <c r="C45" s="2448" t="s">
        <v>2068</v>
      </c>
      <c r="D45" s="2449"/>
      <c r="E45" s="2450"/>
      <c r="F45" s="2444">
        <v>3683774</v>
      </c>
      <c r="G45" s="2445"/>
      <c r="H45" s="1182">
        <v>217925</v>
      </c>
      <c r="I45" s="1182">
        <v>217925</v>
      </c>
      <c r="J45" s="1182">
        <v>217925</v>
      </c>
      <c r="K45" s="1182">
        <v>217925</v>
      </c>
      <c r="L45" s="1182">
        <v>217925</v>
      </c>
      <c r="M45" s="1182">
        <v>217925</v>
      </c>
      <c r="N45" s="1182">
        <v>217925</v>
      </c>
      <c r="O45" s="1182">
        <v>217925</v>
      </c>
      <c r="P45" s="1182">
        <v>217925</v>
      </c>
      <c r="Q45" s="1182">
        <v>217925</v>
      </c>
      <c r="R45" s="1182">
        <v>217925</v>
      </c>
      <c r="S45" s="1182">
        <v>217925</v>
      </c>
      <c r="T45" s="1182">
        <v>217925</v>
      </c>
      <c r="U45" s="1182">
        <v>217925</v>
      </c>
      <c r="V45" s="1182">
        <v>217925</v>
      </c>
      <c r="W45" s="1616"/>
    </row>
    <row r="46" spans="2:23" x14ac:dyDescent="0.25">
      <c r="B46" s="743"/>
      <c r="C46" s="2451"/>
      <c r="D46" s="2452"/>
      <c r="E46" s="2453"/>
      <c r="F46" s="2446">
        <v>0</v>
      </c>
      <c r="G46" s="2447"/>
      <c r="H46" s="1184">
        <v>0</v>
      </c>
      <c r="I46" s="1185">
        <v>0</v>
      </c>
      <c r="J46" s="1185">
        <v>0</v>
      </c>
      <c r="K46" s="1185">
        <v>0</v>
      </c>
      <c r="L46" s="1185">
        <v>0</v>
      </c>
      <c r="M46" s="1185">
        <v>0</v>
      </c>
      <c r="N46" s="1185">
        <v>0</v>
      </c>
      <c r="O46" s="1185">
        <v>0</v>
      </c>
      <c r="P46" s="1185">
        <v>0</v>
      </c>
      <c r="Q46" s="1185">
        <v>0</v>
      </c>
      <c r="R46" s="1185">
        <v>0</v>
      </c>
      <c r="S46" s="1185">
        <v>0</v>
      </c>
      <c r="T46" s="1185">
        <v>0</v>
      </c>
      <c r="U46" s="1185">
        <v>0</v>
      </c>
      <c r="V46" s="1186">
        <v>0</v>
      </c>
      <c r="W46" s="1616"/>
    </row>
    <row r="47" spans="2:23" ht="15.75" thickBot="1" x14ac:dyDescent="0.3">
      <c r="B47" s="743"/>
      <c r="C47" s="2438"/>
      <c r="D47" s="2439"/>
      <c r="E47" s="2440"/>
      <c r="F47" s="2434">
        <v>0</v>
      </c>
      <c r="G47" s="2435"/>
      <c r="H47" s="1187">
        <v>0</v>
      </c>
      <c r="I47" s="1188">
        <v>0</v>
      </c>
      <c r="J47" s="1188">
        <v>0</v>
      </c>
      <c r="K47" s="1188">
        <v>0</v>
      </c>
      <c r="L47" s="1188">
        <v>0</v>
      </c>
      <c r="M47" s="1188">
        <v>0</v>
      </c>
      <c r="N47" s="1188">
        <v>0</v>
      </c>
      <c r="O47" s="1188">
        <v>0</v>
      </c>
      <c r="P47" s="1188">
        <v>0</v>
      </c>
      <c r="Q47" s="1188">
        <v>0</v>
      </c>
      <c r="R47" s="1188">
        <v>0</v>
      </c>
      <c r="S47" s="1188">
        <v>0</v>
      </c>
      <c r="T47" s="1188">
        <v>0</v>
      </c>
      <c r="U47" s="1188">
        <v>0</v>
      </c>
      <c r="V47" s="1189">
        <v>0</v>
      </c>
      <c r="W47" s="1616"/>
    </row>
    <row r="48" spans="2:23" ht="15.75" thickTop="1" x14ac:dyDescent="0.25">
      <c r="B48" s="743"/>
      <c r="C48" s="627"/>
      <c r="D48" s="627"/>
      <c r="E48" s="627"/>
      <c r="F48" s="628"/>
      <c r="G48" s="629" t="s">
        <v>416</v>
      </c>
      <c r="H48" s="1190">
        <f>SUM(H45:H47)</f>
        <v>217925</v>
      </c>
      <c r="I48" s="1191">
        <f t="shared" ref="I48:N48" si="12">SUM(I45:I47)</f>
        <v>217925</v>
      </c>
      <c r="J48" s="1191">
        <f t="shared" si="12"/>
        <v>217925</v>
      </c>
      <c r="K48" s="1191">
        <f t="shared" si="12"/>
        <v>217925</v>
      </c>
      <c r="L48" s="1191">
        <f t="shared" si="12"/>
        <v>217925</v>
      </c>
      <c r="M48" s="1191">
        <f t="shared" si="12"/>
        <v>217925</v>
      </c>
      <c r="N48" s="1191">
        <f t="shared" si="12"/>
        <v>217925</v>
      </c>
      <c r="O48" s="1191">
        <f>SUM(O45:O47)</f>
        <v>217925</v>
      </c>
      <c r="P48" s="1191">
        <f t="shared" ref="P48:V48" si="13">SUM(P45:P47)</f>
        <v>217925</v>
      </c>
      <c r="Q48" s="1191">
        <f t="shared" si="13"/>
        <v>217925</v>
      </c>
      <c r="R48" s="1191">
        <f t="shared" si="13"/>
        <v>217925</v>
      </c>
      <c r="S48" s="1191">
        <f t="shared" si="13"/>
        <v>217925</v>
      </c>
      <c r="T48" s="1191">
        <f t="shared" si="13"/>
        <v>217925</v>
      </c>
      <c r="U48" s="1191">
        <f t="shared" si="13"/>
        <v>217925</v>
      </c>
      <c r="V48" s="1192">
        <f t="shared" si="13"/>
        <v>217925</v>
      </c>
      <c r="W48" s="1616"/>
    </row>
    <row r="49" spans="2:23" x14ac:dyDescent="0.25">
      <c r="B49" s="743"/>
      <c r="C49" s="627"/>
      <c r="D49" s="627"/>
      <c r="E49" s="1234"/>
      <c r="F49" s="1974"/>
      <c r="G49" s="1974" t="s">
        <v>417</v>
      </c>
      <c r="H49" s="1207">
        <f>IFERROR(H41/H48,"0 ")</f>
        <v>1.152218974417804</v>
      </c>
      <c r="I49" s="1208">
        <f>IFERROR(I41/I48,"0 ")</f>
        <v>1.1596777928186306</v>
      </c>
      <c r="J49" s="1208">
        <f t="shared" ref="J49:V49" si="14">IFERROR(J41/J48,"0 ")</f>
        <v>1.16657594872089</v>
      </c>
      <c r="K49" s="1208">
        <f t="shared" si="14"/>
        <v>1.1728732759085694</v>
      </c>
      <c r="L49" s="1208">
        <f t="shared" si="14"/>
        <v>1.1785276887723781</v>
      </c>
      <c r="M49" s="1208">
        <f t="shared" si="14"/>
        <v>1.183495102291596</v>
      </c>
      <c r="N49" s="1208">
        <f t="shared" si="14"/>
        <v>1.1877293488942904</v>
      </c>
      <c r="O49" s="1208">
        <f t="shared" si="14"/>
        <v>1.1911820920786431</v>
      </c>
      <c r="P49" s="1208">
        <f t="shared" si="14"/>
        <v>1.1938027366737736</v>
      </c>
      <c r="Q49" s="1208">
        <f t="shared" si="14"/>
        <v>1.1955383356140428</v>
      </c>
      <c r="R49" s="1208">
        <f t="shared" si="14"/>
        <v>1.1963334930961385</v>
      </c>
      <c r="S49" s="1208">
        <f t="shared" si="14"/>
        <v>1.1961302639834979</v>
      </c>
      <c r="T49" s="1208">
        <f t="shared" si="14"/>
        <v>1.1948680493176405</v>
      </c>
      <c r="U49" s="1208">
        <f t="shared" si="14"/>
        <v>1.1924834877908437</v>
      </c>
      <c r="V49" s="1209">
        <f t="shared" si="14"/>
        <v>1.1889103430292876</v>
      </c>
      <c r="W49" s="1616"/>
    </row>
    <row r="50" spans="2:23" ht="15.75" thickBot="1" x14ac:dyDescent="0.3">
      <c r="B50" s="743"/>
      <c r="C50" s="627"/>
      <c r="D50" s="627"/>
      <c r="E50" s="2441" t="s">
        <v>656</v>
      </c>
      <c r="F50" s="2441"/>
      <c r="G50" s="2442"/>
      <c r="H50" s="1193">
        <f>H41-H48</f>
        <v>33172.319999999949</v>
      </c>
      <c r="I50" s="1194">
        <f t="shared" ref="I50:N50" si="15">I41-I48</f>
        <v>34797.783000000054</v>
      </c>
      <c r="J50" s="1194">
        <f t="shared" si="15"/>
        <v>36301.063624999952</v>
      </c>
      <c r="K50" s="1194">
        <f>K41-K48</f>
        <v>37673.408652374987</v>
      </c>
      <c r="L50" s="1194">
        <f t="shared" si="15"/>
        <v>38905.646575720515</v>
      </c>
      <c r="M50" s="1194">
        <f t="shared" si="15"/>
        <v>39988.170166896074</v>
      </c>
      <c r="N50" s="1194">
        <f t="shared" si="15"/>
        <v>40910.918357788236</v>
      </c>
      <c r="O50" s="1194">
        <f>O41-O48</f>
        <v>41663.357416238287</v>
      </c>
      <c r="P50" s="1194">
        <f t="shared" ref="P50:V50" si="16">P41-P48</f>
        <v>42234.461389632081</v>
      </c>
      <c r="Q50" s="1194">
        <f t="shared" si="16"/>
        <v>42612.691788690281</v>
      </c>
      <c r="R50" s="1194">
        <f t="shared" si="16"/>
        <v>42785.976482975995</v>
      </c>
      <c r="S50" s="1194">
        <f t="shared" si="16"/>
        <v>42741.687778603751</v>
      </c>
      <c r="T50" s="1194">
        <f t="shared" si="16"/>
        <v>42466.619647546788</v>
      </c>
      <c r="U50" s="1194">
        <f t="shared" si="16"/>
        <v>41946.964076819597</v>
      </c>
      <c r="V50" s="1195">
        <f t="shared" si="16"/>
        <v>41168.286504657473</v>
      </c>
      <c r="W50" s="1616"/>
    </row>
    <row r="51" spans="2:23" ht="15" customHeight="1" thickBot="1" x14ac:dyDescent="0.3">
      <c r="B51" s="743"/>
      <c r="C51" s="627"/>
      <c r="D51" s="627"/>
      <c r="E51" s="627"/>
      <c r="F51" s="628"/>
      <c r="G51" s="628"/>
      <c r="H51" s="630"/>
      <c r="I51" s="630"/>
      <c r="J51" s="630"/>
      <c r="K51" s="630"/>
      <c r="L51" s="630"/>
      <c r="M51" s="630"/>
      <c r="N51" s="630"/>
      <c r="O51" s="429"/>
      <c r="P51" s="429"/>
      <c r="Q51" s="429"/>
      <c r="R51" s="429"/>
      <c r="S51" s="429"/>
      <c r="T51" s="429"/>
      <c r="U51" s="429"/>
      <c r="V51" s="429"/>
      <c r="W51" s="1616"/>
    </row>
    <row r="52" spans="2:23" ht="15.75" thickBot="1" x14ac:dyDescent="0.3">
      <c r="B52" s="743"/>
      <c r="C52" s="350" t="s">
        <v>418</v>
      </c>
      <c r="D52" s="429"/>
      <c r="E52" s="429"/>
      <c r="F52" s="2436" t="s">
        <v>415</v>
      </c>
      <c r="G52" s="2437"/>
      <c r="H52" s="241" t="s">
        <v>365</v>
      </c>
      <c r="I52" s="744" t="s">
        <v>366</v>
      </c>
      <c r="J52" s="744" t="s">
        <v>367</v>
      </c>
      <c r="K52" s="744" t="s">
        <v>368</v>
      </c>
      <c r="L52" s="744" t="s">
        <v>369</v>
      </c>
      <c r="M52" s="744" t="s">
        <v>370</v>
      </c>
      <c r="N52" s="744" t="s">
        <v>371</v>
      </c>
      <c r="O52" s="744" t="s">
        <v>419</v>
      </c>
      <c r="P52" s="744" t="s">
        <v>420</v>
      </c>
      <c r="Q52" s="744" t="s">
        <v>421</v>
      </c>
      <c r="R52" s="744" t="s">
        <v>422</v>
      </c>
      <c r="S52" s="744" t="s">
        <v>423</v>
      </c>
      <c r="T52" s="744" t="s">
        <v>424</v>
      </c>
      <c r="U52" s="744" t="s">
        <v>425</v>
      </c>
      <c r="V52" s="749" t="s">
        <v>426</v>
      </c>
      <c r="W52" s="1616"/>
    </row>
    <row r="53" spans="2:23" x14ac:dyDescent="0.25">
      <c r="B53" s="743"/>
      <c r="C53" s="2448" t="s">
        <v>2067</v>
      </c>
      <c r="D53" s="2449"/>
      <c r="E53" s="2450"/>
      <c r="F53" s="2444">
        <v>9542254</v>
      </c>
      <c r="G53" s="2445"/>
      <c r="H53" s="1182">
        <v>0</v>
      </c>
      <c r="I53" s="1183">
        <v>0</v>
      </c>
      <c r="J53" s="1183">
        <v>0</v>
      </c>
      <c r="K53" s="1183">
        <v>0</v>
      </c>
      <c r="L53" s="1183">
        <v>0</v>
      </c>
      <c r="M53" s="1183">
        <v>0</v>
      </c>
      <c r="N53" s="1183">
        <v>0</v>
      </c>
      <c r="O53" s="1183">
        <v>0</v>
      </c>
      <c r="P53" s="1183">
        <v>0</v>
      </c>
      <c r="Q53" s="1183">
        <v>0</v>
      </c>
      <c r="R53" s="1183">
        <v>0</v>
      </c>
      <c r="S53" s="1183">
        <v>0</v>
      </c>
      <c r="T53" s="1183">
        <v>0</v>
      </c>
      <c r="U53" s="1183">
        <v>0</v>
      </c>
      <c r="V53" s="1196">
        <v>0</v>
      </c>
      <c r="W53" s="1616"/>
    </row>
    <row r="54" spans="2:23" x14ac:dyDescent="0.25">
      <c r="B54" s="743"/>
      <c r="C54" s="2471" t="s">
        <v>2069</v>
      </c>
      <c r="D54" s="2472"/>
      <c r="E54" s="2473"/>
      <c r="F54" s="2446">
        <v>2000000</v>
      </c>
      <c r="G54" s="2447"/>
      <c r="H54" s="1184">
        <v>0</v>
      </c>
      <c r="I54" s="1185">
        <v>0</v>
      </c>
      <c r="J54" s="1185">
        <v>0</v>
      </c>
      <c r="K54" s="1185">
        <v>0</v>
      </c>
      <c r="L54" s="1185">
        <v>0</v>
      </c>
      <c r="M54" s="1185">
        <v>0</v>
      </c>
      <c r="N54" s="1185">
        <v>0</v>
      </c>
      <c r="O54" s="1185">
        <v>0</v>
      </c>
      <c r="P54" s="1185">
        <v>0</v>
      </c>
      <c r="Q54" s="1185">
        <v>0</v>
      </c>
      <c r="R54" s="1185">
        <v>0</v>
      </c>
      <c r="S54" s="1185">
        <v>0</v>
      </c>
      <c r="T54" s="1185">
        <v>0</v>
      </c>
      <c r="U54" s="1185">
        <v>0</v>
      </c>
      <c r="V54" s="1197">
        <v>0</v>
      </c>
      <c r="W54" s="1616"/>
    </row>
    <row r="55" spans="2:23" x14ac:dyDescent="0.25">
      <c r="B55" s="743"/>
      <c r="C55" s="2471" t="s">
        <v>2086</v>
      </c>
      <c r="D55" s="2472"/>
      <c r="E55" s="2473"/>
      <c r="F55" s="2446">
        <v>1165415</v>
      </c>
      <c r="G55" s="2447"/>
      <c r="H55" s="1184">
        <v>0</v>
      </c>
      <c r="I55" s="1185">
        <v>0</v>
      </c>
      <c r="J55" s="1185">
        <v>0</v>
      </c>
      <c r="K55" s="1185">
        <v>0</v>
      </c>
      <c r="L55" s="1185">
        <v>0</v>
      </c>
      <c r="M55" s="1185">
        <v>0</v>
      </c>
      <c r="N55" s="1185">
        <v>0</v>
      </c>
      <c r="O55" s="1185">
        <v>0</v>
      </c>
      <c r="P55" s="1185">
        <v>0</v>
      </c>
      <c r="Q55" s="1185">
        <v>0</v>
      </c>
      <c r="R55" s="1185">
        <v>0</v>
      </c>
      <c r="S55" s="1185">
        <v>0</v>
      </c>
      <c r="T55" s="1185">
        <v>0</v>
      </c>
      <c r="U55" s="1185">
        <v>0</v>
      </c>
      <c r="V55" s="1197">
        <v>0</v>
      </c>
      <c r="W55" s="1616"/>
    </row>
    <row r="56" spans="2:23" ht="15.75" thickBot="1" x14ac:dyDescent="0.3">
      <c r="B56" s="743"/>
      <c r="C56" s="2438"/>
      <c r="D56" s="2439"/>
      <c r="E56" s="2440"/>
      <c r="F56" s="2434">
        <v>0</v>
      </c>
      <c r="G56" s="2435"/>
      <c r="H56" s="1198">
        <v>0</v>
      </c>
      <c r="I56" s="1199">
        <v>0</v>
      </c>
      <c r="J56" s="1199">
        <v>0</v>
      </c>
      <c r="K56" s="1199">
        <v>0</v>
      </c>
      <c r="L56" s="1199">
        <v>0</v>
      </c>
      <c r="M56" s="1199">
        <v>0</v>
      </c>
      <c r="N56" s="1199">
        <v>0</v>
      </c>
      <c r="O56" s="1199">
        <v>0</v>
      </c>
      <c r="P56" s="1199">
        <v>0</v>
      </c>
      <c r="Q56" s="1199">
        <v>0</v>
      </c>
      <c r="R56" s="1199">
        <v>0</v>
      </c>
      <c r="S56" s="1199">
        <v>0</v>
      </c>
      <c r="T56" s="1199">
        <v>0</v>
      </c>
      <c r="U56" s="1199">
        <v>0</v>
      </c>
      <c r="V56" s="1200">
        <v>0</v>
      </c>
      <c r="W56" s="1616"/>
    </row>
    <row r="57" spans="2:23" ht="16.5" thickTop="1" thickBot="1" x14ac:dyDescent="0.3">
      <c r="B57" s="743"/>
      <c r="C57" s="429"/>
      <c r="D57" s="429"/>
      <c r="E57" s="1236"/>
      <c r="F57" s="1236"/>
      <c r="G57" s="1235" t="s">
        <v>653</v>
      </c>
      <c r="H57" s="1201">
        <f>SUM(H53:H56)</f>
        <v>0</v>
      </c>
      <c r="I57" s="1202">
        <f t="shared" ref="I57:N57" si="17">SUM(I53:I56)</f>
        <v>0</v>
      </c>
      <c r="J57" s="1202">
        <f t="shared" si="17"/>
        <v>0</v>
      </c>
      <c r="K57" s="1202">
        <f t="shared" si="17"/>
        <v>0</v>
      </c>
      <c r="L57" s="1202">
        <f t="shared" si="17"/>
        <v>0</v>
      </c>
      <c r="M57" s="1202">
        <f t="shared" si="17"/>
        <v>0</v>
      </c>
      <c r="N57" s="1202">
        <f t="shared" si="17"/>
        <v>0</v>
      </c>
      <c r="O57" s="1202">
        <f>SUM(O53:O56)</f>
        <v>0</v>
      </c>
      <c r="P57" s="1202">
        <f t="shared" ref="P57:V57" si="18">SUM(P53:P56)</f>
        <v>0</v>
      </c>
      <c r="Q57" s="1202">
        <f t="shared" si="18"/>
        <v>0</v>
      </c>
      <c r="R57" s="1202">
        <f t="shared" si="18"/>
        <v>0</v>
      </c>
      <c r="S57" s="1202">
        <f t="shared" si="18"/>
        <v>0</v>
      </c>
      <c r="T57" s="1202">
        <f t="shared" si="18"/>
        <v>0</v>
      </c>
      <c r="U57" s="1202">
        <f t="shared" si="18"/>
        <v>0</v>
      </c>
      <c r="V57" s="1203">
        <f t="shared" si="18"/>
        <v>0</v>
      </c>
      <c r="W57" s="1616"/>
    </row>
    <row r="58" spans="2:23" ht="7.5" customHeight="1" thickBot="1" x14ac:dyDescent="0.3">
      <c r="B58" s="743"/>
      <c r="C58" s="429"/>
      <c r="D58" s="429"/>
      <c r="E58" s="1237"/>
      <c r="F58" s="1237"/>
      <c r="G58" s="1085"/>
      <c r="H58" s="429"/>
      <c r="I58" s="429"/>
      <c r="J58" s="429"/>
      <c r="K58" s="429"/>
      <c r="L58" s="429"/>
      <c r="M58" s="429"/>
      <c r="N58" s="429"/>
      <c r="O58" s="429"/>
      <c r="P58" s="429"/>
      <c r="Q58" s="429"/>
      <c r="R58" s="429"/>
      <c r="S58" s="429"/>
      <c r="T58" s="429"/>
      <c r="U58" s="429"/>
      <c r="V58" s="429"/>
      <c r="W58" s="1616"/>
    </row>
    <row r="59" spans="2:23" x14ac:dyDescent="0.25">
      <c r="B59" s="743"/>
      <c r="C59" s="429"/>
      <c r="D59" s="429"/>
      <c r="E59" s="275"/>
      <c r="F59" s="275"/>
      <c r="G59" s="1975" t="s">
        <v>654</v>
      </c>
      <c r="H59" s="1210">
        <f>IFERROR(H41/(H48+H57),"0 ")</f>
        <v>1.152218974417804</v>
      </c>
      <c r="I59" s="1211">
        <f t="shared" ref="I59:V59" si="19">IFERROR(I41/(I48+I57),"0 ")</f>
        <v>1.1596777928186306</v>
      </c>
      <c r="J59" s="1211">
        <f t="shared" si="19"/>
        <v>1.16657594872089</v>
      </c>
      <c r="K59" s="1211">
        <f t="shared" si="19"/>
        <v>1.1728732759085694</v>
      </c>
      <c r="L59" s="1211">
        <f t="shared" si="19"/>
        <v>1.1785276887723781</v>
      </c>
      <c r="M59" s="1211">
        <f t="shared" si="19"/>
        <v>1.183495102291596</v>
      </c>
      <c r="N59" s="1211">
        <f t="shared" si="19"/>
        <v>1.1877293488942904</v>
      </c>
      <c r="O59" s="1211">
        <f t="shared" si="19"/>
        <v>1.1911820920786431</v>
      </c>
      <c r="P59" s="1211">
        <f t="shared" si="19"/>
        <v>1.1938027366737736</v>
      </c>
      <c r="Q59" s="1211">
        <f t="shared" si="19"/>
        <v>1.1955383356140428</v>
      </c>
      <c r="R59" s="1211">
        <f t="shared" si="19"/>
        <v>1.1963334930961385</v>
      </c>
      <c r="S59" s="1211">
        <f t="shared" si="19"/>
        <v>1.1961302639834979</v>
      </c>
      <c r="T59" s="1211">
        <f t="shared" si="19"/>
        <v>1.1948680493176405</v>
      </c>
      <c r="U59" s="1211">
        <f t="shared" si="19"/>
        <v>1.1924834877908437</v>
      </c>
      <c r="V59" s="1212">
        <f t="shared" si="19"/>
        <v>1.1889103430292876</v>
      </c>
      <c r="W59" s="1616"/>
    </row>
    <row r="60" spans="2:23" ht="15.75" thickBot="1" x14ac:dyDescent="0.3">
      <c r="B60" s="743"/>
      <c r="C60" s="429"/>
      <c r="D60" s="429"/>
      <c r="E60" s="275"/>
      <c r="F60" s="292"/>
      <c r="G60" s="1975" t="s">
        <v>655</v>
      </c>
      <c r="H60" s="1204">
        <f t="shared" ref="H60:O60" si="20">H50-H57</f>
        <v>33172.319999999949</v>
      </c>
      <c r="I60" s="1205">
        <f t="shared" si="20"/>
        <v>34797.783000000054</v>
      </c>
      <c r="J60" s="1205">
        <f t="shared" si="20"/>
        <v>36301.063624999952</v>
      </c>
      <c r="K60" s="1205">
        <f t="shared" si="20"/>
        <v>37673.408652374987</v>
      </c>
      <c r="L60" s="1205">
        <f t="shared" si="20"/>
        <v>38905.646575720515</v>
      </c>
      <c r="M60" s="1205">
        <f t="shared" si="20"/>
        <v>39988.170166896074</v>
      </c>
      <c r="N60" s="1205">
        <f t="shared" si="20"/>
        <v>40910.918357788236</v>
      </c>
      <c r="O60" s="1205">
        <f t="shared" si="20"/>
        <v>41663.357416238287</v>
      </c>
      <c r="P60" s="1205">
        <f t="shared" ref="P60:U60" si="21">P50-P57</f>
        <v>42234.461389632081</v>
      </c>
      <c r="Q60" s="1205">
        <f t="shared" si="21"/>
        <v>42612.691788690281</v>
      </c>
      <c r="R60" s="1205">
        <f t="shared" si="21"/>
        <v>42785.976482975995</v>
      </c>
      <c r="S60" s="1205">
        <f t="shared" si="21"/>
        <v>42741.687778603751</v>
      </c>
      <c r="T60" s="1205">
        <f t="shared" si="21"/>
        <v>42466.619647546788</v>
      </c>
      <c r="U60" s="1205">
        <f t="shared" si="21"/>
        <v>41946.964076819597</v>
      </c>
      <c r="V60" s="1206">
        <f>V50-V57</f>
        <v>41168.286504657473</v>
      </c>
      <c r="W60" s="1616"/>
    </row>
    <row r="61" spans="2:23" ht="9" customHeight="1" thickBot="1" x14ac:dyDescent="0.3">
      <c r="B61" s="755"/>
      <c r="C61" s="756"/>
      <c r="D61" s="757"/>
      <c r="E61" s="756"/>
      <c r="F61" s="756"/>
      <c r="G61" s="756"/>
      <c r="H61" s="756"/>
      <c r="I61" s="756"/>
      <c r="J61" s="756"/>
      <c r="K61" s="756"/>
      <c r="L61" s="756"/>
      <c r="M61" s="756"/>
      <c r="N61" s="756"/>
      <c r="O61" s="740"/>
      <c r="P61" s="1623"/>
      <c r="Q61" s="1624"/>
      <c r="R61" s="1624"/>
      <c r="S61" s="1624"/>
      <c r="T61" s="1624"/>
      <c r="U61" s="1624"/>
      <c r="V61" s="1624"/>
      <c r="W61" s="758"/>
    </row>
    <row r="62" spans="2:23" ht="9" customHeight="1" x14ac:dyDescent="0.25">
      <c r="B62" s="255"/>
      <c r="C62" s="741"/>
      <c r="D62" s="741"/>
      <c r="E62" s="741"/>
      <c r="F62" s="741"/>
      <c r="G62" s="741"/>
      <c r="H62" s="741"/>
      <c r="I62" s="741"/>
      <c r="J62" s="741"/>
      <c r="K62" s="741"/>
      <c r="L62" s="741"/>
      <c r="M62" s="741"/>
      <c r="N62" s="741"/>
      <c r="O62" s="741"/>
      <c r="P62" s="741"/>
      <c r="Q62" s="741"/>
      <c r="R62" s="741"/>
      <c r="S62" s="741"/>
      <c r="T62" s="741"/>
      <c r="U62" s="741"/>
      <c r="V62" s="741"/>
      <c r="W62" s="256"/>
    </row>
    <row r="63" spans="2:23" ht="18.75" x14ac:dyDescent="0.3">
      <c r="B63" s="257"/>
      <c r="C63" s="1963" t="s">
        <v>1849</v>
      </c>
      <c r="D63" s="1963"/>
      <c r="E63" s="1963"/>
      <c r="F63" s="1963"/>
      <c r="G63" s="1963"/>
      <c r="H63" s="1963"/>
      <c r="I63" s="1963"/>
      <c r="J63" s="1963"/>
      <c r="K63" s="1963"/>
      <c r="L63" s="1963"/>
      <c r="M63" s="1963"/>
      <c r="N63" s="711"/>
      <c r="O63" s="711"/>
      <c r="P63" s="711"/>
      <c r="Q63" s="711"/>
      <c r="R63" s="711"/>
      <c r="S63" s="711"/>
      <c r="T63" s="711"/>
      <c r="U63" s="711"/>
      <c r="V63" s="711"/>
      <c r="W63" s="259"/>
    </row>
    <row r="64" spans="2:23" ht="7.5" customHeight="1" x14ac:dyDescent="0.25">
      <c r="B64" s="257"/>
      <c r="C64" s="258"/>
      <c r="D64" s="258"/>
      <c r="E64" s="258"/>
      <c r="F64" s="258"/>
      <c r="G64" s="258"/>
      <c r="H64" s="258"/>
      <c r="I64" s="258"/>
      <c r="J64" s="258"/>
      <c r="K64" s="258"/>
      <c r="L64" s="258"/>
      <c r="M64" s="258"/>
      <c r="N64" s="258"/>
      <c r="O64" s="258"/>
      <c r="P64" s="258"/>
      <c r="Q64" s="258"/>
      <c r="R64" s="258"/>
      <c r="S64" s="258"/>
      <c r="T64" s="258"/>
      <c r="U64" s="258"/>
      <c r="V64" s="258"/>
      <c r="W64" s="259"/>
    </row>
    <row r="65" spans="2:23" ht="15.75" thickBot="1" x14ac:dyDescent="0.3">
      <c r="B65" s="257"/>
      <c r="C65" s="1962" t="str">
        <f>IF('1'!G5="","Enter Project Name on Form 1",(CONCATENATE("Project Name: ",'1'!G5)))</f>
        <v>Project Name: Filipino Community Village</v>
      </c>
      <c r="D65" s="1625"/>
      <c r="E65" s="1625"/>
      <c r="F65" s="1625"/>
      <c r="G65" s="1625"/>
      <c r="H65" s="1625"/>
      <c r="I65" s="1625"/>
      <c r="J65" s="1626"/>
      <c r="K65" s="347"/>
      <c r="L65" s="1238"/>
      <c r="M65" s="1238"/>
      <c r="N65" s="500"/>
      <c r="O65" s="500"/>
      <c r="P65" s="500"/>
      <c r="Q65" s="500"/>
      <c r="R65" s="500"/>
      <c r="S65" s="500"/>
      <c r="T65" s="500"/>
      <c r="U65" s="500"/>
      <c r="V65" s="500"/>
      <c r="W65" s="259"/>
    </row>
    <row r="66" spans="2:23" ht="3.75" customHeight="1" x14ac:dyDescent="0.25">
      <c r="B66" s="257"/>
      <c r="C66" s="500"/>
      <c r="D66" s="500"/>
      <c r="E66" s="500"/>
      <c r="F66" s="500"/>
      <c r="G66" s="500"/>
      <c r="H66" s="429"/>
      <c r="I66" s="429"/>
      <c r="J66" s="429"/>
      <c r="K66" s="429"/>
      <c r="L66" s="500"/>
      <c r="M66" s="500"/>
      <c r="N66" s="500"/>
      <c r="O66" s="500"/>
      <c r="P66" s="500"/>
      <c r="Q66" s="500"/>
      <c r="R66" s="500"/>
      <c r="S66" s="500"/>
      <c r="T66" s="500"/>
      <c r="U66" s="500"/>
      <c r="V66" s="500"/>
      <c r="W66" s="259"/>
    </row>
    <row r="67" spans="2:23" x14ac:dyDescent="0.25">
      <c r="B67" s="260"/>
      <c r="C67" s="500" t="s">
        <v>363</v>
      </c>
      <c r="D67" s="750" t="str">
        <f>IF(D18=0,"",D18)</f>
        <v/>
      </c>
      <c r="E67" s="258"/>
      <c r="F67" s="258"/>
      <c r="G67" s="258"/>
      <c r="H67" s="261"/>
      <c r="I67" s="261"/>
      <c r="J67" s="261"/>
      <c r="K67" s="261"/>
      <c r="L67" s="261"/>
      <c r="M67" s="262"/>
      <c r="N67" s="261"/>
      <c r="O67" s="261"/>
      <c r="P67" s="261"/>
      <c r="Q67" s="261"/>
      <c r="R67" s="261"/>
      <c r="S67" s="261"/>
      <c r="T67" s="261"/>
      <c r="U67" s="261"/>
      <c r="V67" s="261"/>
      <c r="W67" s="263"/>
    </row>
    <row r="68" spans="2:23" ht="7.5" customHeight="1" thickBot="1" x14ac:dyDescent="0.3">
      <c r="B68" s="743"/>
      <c r="C68" s="429"/>
      <c r="D68" s="429"/>
      <c r="E68" s="429"/>
      <c r="F68" s="429"/>
      <c r="G68" s="429"/>
      <c r="H68" s="429"/>
      <c r="I68" s="429"/>
      <c r="J68" s="429"/>
      <c r="K68" s="429"/>
      <c r="L68" s="429"/>
      <c r="M68" s="429"/>
      <c r="N68" s="429"/>
      <c r="O68" s="429"/>
      <c r="P68" s="429"/>
      <c r="Q68" s="429"/>
      <c r="R68" s="429"/>
      <c r="S68" s="429"/>
      <c r="T68" s="429"/>
      <c r="U68" s="429"/>
      <c r="V68" s="429"/>
      <c r="W68" s="751"/>
    </row>
    <row r="69" spans="2:23" ht="36.75" thickBot="1" x14ac:dyDescent="0.3">
      <c r="B69" s="260"/>
      <c r="C69" s="265" t="s">
        <v>383</v>
      </c>
      <c r="D69" s="258"/>
      <c r="E69" s="276"/>
      <c r="F69" s="752" t="s">
        <v>373</v>
      </c>
      <c r="G69" s="247" t="s">
        <v>384</v>
      </c>
      <c r="H69" s="241" t="s">
        <v>365</v>
      </c>
      <c r="I69" s="744" t="s">
        <v>366</v>
      </c>
      <c r="J69" s="744" t="s">
        <v>367</v>
      </c>
      <c r="K69" s="744" t="s">
        <v>368</v>
      </c>
      <c r="L69" s="744" t="s">
        <v>369</v>
      </c>
      <c r="M69" s="744" t="s">
        <v>370</v>
      </c>
      <c r="N69" s="744" t="s">
        <v>371</v>
      </c>
      <c r="O69" s="744" t="s">
        <v>419</v>
      </c>
      <c r="P69" s="744" t="s">
        <v>420</v>
      </c>
      <c r="Q69" s="744" t="s">
        <v>421</v>
      </c>
      <c r="R69" s="744" t="s">
        <v>422</v>
      </c>
      <c r="S69" s="744" t="s">
        <v>423</v>
      </c>
      <c r="T69" s="744" t="s">
        <v>424</v>
      </c>
      <c r="U69" s="744" t="s">
        <v>425</v>
      </c>
      <c r="V69" s="253" t="s">
        <v>426</v>
      </c>
      <c r="W69" s="1616"/>
    </row>
    <row r="70" spans="2:23" x14ac:dyDescent="0.25">
      <c r="B70" s="260"/>
      <c r="C70" s="277" t="s">
        <v>385</v>
      </c>
      <c r="D70" s="278"/>
      <c r="E70" s="801"/>
      <c r="F70" s="806">
        <v>3.5000000000000003E-2</v>
      </c>
      <c r="G70" s="1695">
        <f>IFERROR(H70/'2A'!$L$22,"")</f>
        <v>3168.2467532467531</v>
      </c>
      <c r="H70" s="2100">
        <f>'8C'!L25+21000+36775</f>
        <v>243955</v>
      </c>
      <c r="I70" s="1213">
        <f t="shared" ref="I70:V70" si="22">H70+(H70*$F70)</f>
        <v>252493.42499999999</v>
      </c>
      <c r="J70" s="1213">
        <f t="shared" si="22"/>
        <v>261330.69487499999</v>
      </c>
      <c r="K70" s="1213">
        <f t="shared" si="22"/>
        <v>270477.26919562498</v>
      </c>
      <c r="L70" s="1213">
        <f t="shared" si="22"/>
        <v>279943.97361747187</v>
      </c>
      <c r="M70" s="1213">
        <f t="shared" si="22"/>
        <v>289742.01269408339</v>
      </c>
      <c r="N70" s="1213">
        <f t="shared" si="22"/>
        <v>299882.98313837632</v>
      </c>
      <c r="O70" s="1213">
        <f t="shared" si="22"/>
        <v>310378.88754821947</v>
      </c>
      <c r="P70" s="1213">
        <f t="shared" si="22"/>
        <v>321242.14861240715</v>
      </c>
      <c r="Q70" s="1213">
        <f t="shared" si="22"/>
        <v>332485.62381384138</v>
      </c>
      <c r="R70" s="1213">
        <f t="shared" si="22"/>
        <v>344122.62064732582</v>
      </c>
      <c r="S70" s="1213">
        <f t="shared" si="22"/>
        <v>356166.91236998222</v>
      </c>
      <c r="T70" s="1213">
        <f t="shared" si="22"/>
        <v>368632.7543029316</v>
      </c>
      <c r="U70" s="1213">
        <f t="shared" si="22"/>
        <v>381534.90070353419</v>
      </c>
      <c r="V70" s="1214">
        <f t="shared" si="22"/>
        <v>394888.62222815788</v>
      </c>
      <c r="W70" s="1616"/>
    </row>
    <row r="71" spans="2:23" x14ac:dyDescent="0.25">
      <c r="B71" s="279"/>
      <c r="C71" s="280" t="s">
        <v>386</v>
      </c>
      <c r="D71" s="281"/>
      <c r="E71" s="802"/>
      <c r="F71" s="807">
        <v>3.5000000000000003E-2</v>
      </c>
      <c r="G71" s="1696">
        <f>IFERROR(H71/'2A'!$L$22,"")</f>
        <v>622.97766233766231</v>
      </c>
      <c r="H71" s="2101">
        <f>6%*(H23+H24)</f>
        <v>47969.279999999999</v>
      </c>
      <c r="I71" s="2125">
        <f>6%*(I23+I24)</f>
        <v>49168.512000000002</v>
      </c>
      <c r="J71" s="2125">
        <f t="shared" ref="J71:V71" si="23">6%*(J23+J24)</f>
        <v>50397.724799999996</v>
      </c>
      <c r="K71" s="2125">
        <f t="shared" si="23"/>
        <v>51657.66792</v>
      </c>
      <c r="L71" s="2125">
        <f t="shared" si="23"/>
        <v>52949.109617999995</v>
      </c>
      <c r="M71" s="2125">
        <f t="shared" si="23"/>
        <v>54272.83735845</v>
      </c>
      <c r="N71" s="2125">
        <f t="shared" si="23"/>
        <v>55629.658292411244</v>
      </c>
      <c r="O71" s="2125">
        <f t="shared" si="23"/>
        <v>57020.399749721531</v>
      </c>
      <c r="P71" s="2125">
        <f t="shared" si="23"/>
        <v>58445.909743464574</v>
      </c>
      <c r="Q71" s="2125">
        <f t="shared" si="23"/>
        <v>59907.057487051192</v>
      </c>
      <c r="R71" s="2125">
        <f t="shared" si="23"/>
        <v>61404.733924227468</v>
      </c>
      <c r="S71" s="2125">
        <f t="shared" si="23"/>
        <v>62939.852272333148</v>
      </c>
      <c r="T71" s="2125">
        <f t="shared" si="23"/>
        <v>64513.348579141486</v>
      </c>
      <c r="U71" s="2125">
        <f t="shared" si="23"/>
        <v>66126.182293620019</v>
      </c>
      <c r="V71" s="2125">
        <f t="shared" si="23"/>
        <v>67779.336850960506</v>
      </c>
      <c r="W71" s="1616"/>
    </row>
    <row r="72" spans="2:23" x14ac:dyDescent="0.25">
      <c r="B72" s="260"/>
      <c r="C72" s="280" t="s">
        <v>387</v>
      </c>
      <c r="D72" s="281"/>
      <c r="E72" s="802"/>
      <c r="F72" s="807">
        <v>3.5000000000000003E-2</v>
      </c>
      <c r="G72" s="1696">
        <f>IFERROR(H72/'2A'!$L$22,"")</f>
        <v>240.84415584415584</v>
      </c>
      <c r="H72" s="1215">
        <f>6500+3465+5580+3000</f>
        <v>18545</v>
      </c>
      <c r="I72" s="1216">
        <f t="shared" ref="I72:V72" si="24">H72+(H72*$F72)</f>
        <v>19194.075000000001</v>
      </c>
      <c r="J72" s="1216">
        <f t="shared" si="24"/>
        <v>19865.867624999999</v>
      </c>
      <c r="K72" s="1216">
        <f t="shared" si="24"/>
        <v>20561.172991874999</v>
      </c>
      <c r="L72" s="1216">
        <f t="shared" si="24"/>
        <v>21280.814046590625</v>
      </c>
      <c r="M72" s="1216">
        <f t="shared" si="24"/>
        <v>22025.642538221298</v>
      </c>
      <c r="N72" s="1216">
        <f t="shared" si="24"/>
        <v>22796.540027059043</v>
      </c>
      <c r="O72" s="1216">
        <f t="shared" si="24"/>
        <v>23594.418928006111</v>
      </c>
      <c r="P72" s="1216">
        <f t="shared" si="24"/>
        <v>24420.223590486326</v>
      </c>
      <c r="Q72" s="1216">
        <f t="shared" si="24"/>
        <v>25274.931416153348</v>
      </c>
      <c r="R72" s="1216">
        <f t="shared" si="24"/>
        <v>26159.554015718713</v>
      </c>
      <c r="S72" s="1216">
        <f t="shared" si="24"/>
        <v>27075.138406268867</v>
      </c>
      <c r="T72" s="1216">
        <f t="shared" si="24"/>
        <v>28022.768250488276</v>
      </c>
      <c r="U72" s="1216">
        <f t="shared" si="24"/>
        <v>29003.565139255366</v>
      </c>
      <c r="V72" s="1217">
        <f t="shared" si="24"/>
        <v>30018.689919129305</v>
      </c>
      <c r="W72" s="1616"/>
    </row>
    <row r="73" spans="2:23" x14ac:dyDescent="0.25">
      <c r="B73" s="260"/>
      <c r="C73" s="280" t="s">
        <v>388</v>
      </c>
      <c r="D73" s="282"/>
      <c r="E73" s="802"/>
      <c r="F73" s="807">
        <v>3.5000000000000003E-2</v>
      </c>
      <c r="G73" s="1696">
        <f>IFERROR(H73/'2A'!$L$22,"")</f>
        <v>6.4935064935064934</v>
      </c>
      <c r="H73" s="1215">
        <v>500</v>
      </c>
      <c r="I73" s="1216">
        <f t="shared" ref="I73:V73" si="25">H73+(H73*$F73)</f>
        <v>517.5</v>
      </c>
      <c r="J73" s="1216">
        <f t="shared" si="25"/>
        <v>535.61249999999995</v>
      </c>
      <c r="K73" s="1216">
        <f>J73+(J73*$F73)</f>
        <v>554.35893749999991</v>
      </c>
      <c r="L73" s="1216">
        <f t="shared" si="25"/>
        <v>573.76150031249995</v>
      </c>
      <c r="M73" s="1216">
        <f t="shared" si="25"/>
        <v>593.84315282343744</v>
      </c>
      <c r="N73" s="1216">
        <f t="shared" si="25"/>
        <v>614.62766317225771</v>
      </c>
      <c r="O73" s="1216">
        <f t="shared" si="25"/>
        <v>636.13963138328677</v>
      </c>
      <c r="P73" s="1216">
        <f t="shared" si="25"/>
        <v>658.40451848170176</v>
      </c>
      <c r="Q73" s="1216">
        <f t="shared" si="25"/>
        <v>681.44867662856132</v>
      </c>
      <c r="R73" s="1216">
        <f t="shared" si="25"/>
        <v>705.29938031056099</v>
      </c>
      <c r="S73" s="1216">
        <f t="shared" si="25"/>
        <v>729.98485862143059</v>
      </c>
      <c r="T73" s="1216">
        <f t="shared" si="25"/>
        <v>755.53432867318065</v>
      </c>
      <c r="U73" s="1216">
        <f t="shared" si="25"/>
        <v>781.97803017674198</v>
      </c>
      <c r="V73" s="1217">
        <f t="shared" si="25"/>
        <v>809.34726123292796</v>
      </c>
      <c r="W73" s="1616"/>
    </row>
    <row r="74" spans="2:23" x14ac:dyDescent="0.25">
      <c r="B74" s="260"/>
      <c r="C74" s="280" t="s">
        <v>389</v>
      </c>
      <c r="D74" s="281"/>
      <c r="E74" s="802"/>
      <c r="F74" s="807">
        <v>3.5000000000000003E-2</v>
      </c>
      <c r="G74" s="1696">
        <f>IFERROR(H74/'2A'!$L$22,"")</f>
        <v>324.6753246753247</v>
      </c>
      <c r="H74" s="1215">
        <v>25000</v>
      </c>
      <c r="I74" s="1216">
        <f t="shared" ref="I74:V74" si="26">H74+(H74*$F74)</f>
        <v>25875</v>
      </c>
      <c r="J74" s="1216">
        <f t="shared" si="26"/>
        <v>26780.625</v>
      </c>
      <c r="K74" s="1216">
        <f t="shared" si="26"/>
        <v>27717.946875000001</v>
      </c>
      <c r="L74" s="1216">
        <f t="shared" si="26"/>
        <v>28688.075015625003</v>
      </c>
      <c r="M74" s="1216">
        <f t="shared" si="26"/>
        <v>29692.157641171878</v>
      </c>
      <c r="N74" s="1216">
        <f t="shared" si="26"/>
        <v>30731.383158612894</v>
      </c>
      <c r="O74" s="1216">
        <f t="shared" si="26"/>
        <v>31806.981569164345</v>
      </c>
      <c r="P74" s="1216">
        <f t="shared" si="26"/>
        <v>32920.225924085098</v>
      </c>
      <c r="Q74" s="1216">
        <f t="shared" si="26"/>
        <v>34072.433831428076</v>
      </c>
      <c r="R74" s="1216">
        <f t="shared" si="26"/>
        <v>35264.969015528055</v>
      </c>
      <c r="S74" s="1216">
        <f t="shared" si="26"/>
        <v>36499.242931071538</v>
      </c>
      <c r="T74" s="1216">
        <f t="shared" si="26"/>
        <v>37776.716433659043</v>
      </c>
      <c r="U74" s="1216">
        <f t="shared" si="26"/>
        <v>39098.901508837109</v>
      </c>
      <c r="V74" s="1217">
        <f t="shared" si="26"/>
        <v>40467.363061646407</v>
      </c>
      <c r="W74" s="1616"/>
    </row>
    <row r="75" spans="2:23" x14ac:dyDescent="0.25">
      <c r="B75" s="260"/>
      <c r="C75" s="280" t="s">
        <v>390</v>
      </c>
      <c r="D75" s="281"/>
      <c r="E75" s="802"/>
      <c r="F75" s="807">
        <v>3.5000000000000003E-2</v>
      </c>
      <c r="G75" s="1696">
        <f>IFERROR(H75/'2A'!$L$22,"")</f>
        <v>45.454545454545453</v>
      </c>
      <c r="H75" s="1215">
        <v>3500</v>
      </c>
      <c r="I75" s="1216">
        <f t="shared" ref="I75:V75" si="27">H75+(H75*$F75)</f>
        <v>3622.5</v>
      </c>
      <c r="J75" s="1216">
        <f t="shared" si="27"/>
        <v>3749.2874999999999</v>
      </c>
      <c r="K75" s="1216">
        <f t="shared" si="27"/>
        <v>3880.5125625000001</v>
      </c>
      <c r="L75" s="1216">
        <f t="shared" si="27"/>
        <v>4016.3305021874999</v>
      </c>
      <c r="M75" s="1216">
        <f t="shared" si="27"/>
        <v>4156.9020697640626</v>
      </c>
      <c r="N75" s="1216">
        <f t="shared" si="27"/>
        <v>4302.393642205805</v>
      </c>
      <c r="O75" s="1216">
        <f t="shared" si="27"/>
        <v>4452.9774196830085</v>
      </c>
      <c r="P75" s="1216">
        <f t="shared" si="27"/>
        <v>4608.8316293719136</v>
      </c>
      <c r="Q75" s="1216">
        <f t="shared" si="27"/>
        <v>4770.1407363999306</v>
      </c>
      <c r="R75" s="1216">
        <f t="shared" si="27"/>
        <v>4937.0956621739278</v>
      </c>
      <c r="S75" s="1216">
        <f t="shared" si="27"/>
        <v>5109.8940103500154</v>
      </c>
      <c r="T75" s="1216">
        <f t="shared" si="27"/>
        <v>5288.7403007122657</v>
      </c>
      <c r="U75" s="1216">
        <f t="shared" si="27"/>
        <v>5473.8462112371953</v>
      </c>
      <c r="V75" s="1217">
        <f t="shared" si="27"/>
        <v>5665.4308286304968</v>
      </c>
      <c r="W75" s="1616"/>
    </row>
    <row r="76" spans="2:23" x14ac:dyDescent="0.25">
      <c r="B76" s="260"/>
      <c r="C76" s="280" t="s">
        <v>391</v>
      </c>
      <c r="D76" s="281"/>
      <c r="E76" s="802"/>
      <c r="F76" s="807">
        <v>3.5000000000000003E-2</v>
      </c>
      <c r="G76" s="1696">
        <f>IFERROR(H76/'2A'!$L$22,"")</f>
        <v>25.974025974025974</v>
      </c>
      <c r="H76" s="1215">
        <v>2000</v>
      </c>
      <c r="I76" s="1216">
        <f t="shared" ref="I76:V76" si="28">H76+(H76*$F76)</f>
        <v>2070</v>
      </c>
      <c r="J76" s="1216">
        <f t="shared" si="28"/>
        <v>2142.4499999999998</v>
      </c>
      <c r="K76" s="1216">
        <f t="shared" si="28"/>
        <v>2217.4357499999996</v>
      </c>
      <c r="L76" s="1216">
        <f t="shared" si="28"/>
        <v>2295.0460012499998</v>
      </c>
      <c r="M76" s="1216">
        <f t="shared" si="28"/>
        <v>2375.3726112937497</v>
      </c>
      <c r="N76" s="1216">
        <f t="shared" si="28"/>
        <v>2458.5106526890308</v>
      </c>
      <c r="O76" s="1216">
        <f t="shared" si="28"/>
        <v>2544.5585255331471</v>
      </c>
      <c r="P76" s="1216">
        <f t="shared" si="28"/>
        <v>2633.618073926807</v>
      </c>
      <c r="Q76" s="1216">
        <f t="shared" si="28"/>
        <v>2725.7947065142453</v>
      </c>
      <c r="R76" s="1216">
        <f t="shared" si="28"/>
        <v>2821.197521242244</v>
      </c>
      <c r="S76" s="1216">
        <f t="shared" si="28"/>
        <v>2919.9394344857224</v>
      </c>
      <c r="T76" s="1216">
        <f t="shared" si="28"/>
        <v>3022.1373146927226</v>
      </c>
      <c r="U76" s="1216">
        <f t="shared" si="28"/>
        <v>3127.9121207069679</v>
      </c>
      <c r="V76" s="1217">
        <f t="shared" si="28"/>
        <v>3237.3890449317119</v>
      </c>
      <c r="W76" s="1616"/>
    </row>
    <row r="77" spans="2:23" x14ac:dyDescent="0.25">
      <c r="B77" s="260"/>
      <c r="C77" s="280" t="s">
        <v>392</v>
      </c>
      <c r="D77" s="282"/>
      <c r="E77" s="802"/>
      <c r="F77" s="807">
        <v>3.5000000000000003E-2</v>
      </c>
      <c r="G77" s="1696">
        <f>IFERROR(H77/'2A'!$L$22,"")</f>
        <v>0</v>
      </c>
      <c r="H77" s="1215">
        <v>0</v>
      </c>
      <c r="I77" s="1216">
        <f t="shared" ref="I77:V77" si="29">H77+(H77*$F77)</f>
        <v>0</v>
      </c>
      <c r="J77" s="1216">
        <f t="shared" si="29"/>
        <v>0</v>
      </c>
      <c r="K77" s="1216">
        <f t="shared" si="29"/>
        <v>0</v>
      </c>
      <c r="L77" s="1216">
        <f t="shared" si="29"/>
        <v>0</v>
      </c>
      <c r="M77" s="1216">
        <f t="shared" si="29"/>
        <v>0</v>
      </c>
      <c r="N77" s="1216">
        <f t="shared" si="29"/>
        <v>0</v>
      </c>
      <c r="O77" s="1216">
        <f t="shared" si="29"/>
        <v>0</v>
      </c>
      <c r="P77" s="1216">
        <f t="shared" si="29"/>
        <v>0</v>
      </c>
      <c r="Q77" s="1216">
        <f t="shared" si="29"/>
        <v>0</v>
      </c>
      <c r="R77" s="1216">
        <f t="shared" si="29"/>
        <v>0</v>
      </c>
      <c r="S77" s="1216">
        <f t="shared" si="29"/>
        <v>0</v>
      </c>
      <c r="T77" s="1216">
        <f t="shared" si="29"/>
        <v>0</v>
      </c>
      <c r="U77" s="1216">
        <f t="shared" si="29"/>
        <v>0</v>
      </c>
      <c r="V77" s="1217">
        <f t="shared" si="29"/>
        <v>0</v>
      </c>
      <c r="W77" s="1616"/>
    </row>
    <row r="78" spans="2:23" x14ac:dyDescent="0.25">
      <c r="B78" s="260"/>
      <c r="C78" s="280" t="s">
        <v>393</v>
      </c>
      <c r="D78" s="281"/>
      <c r="E78" s="802"/>
      <c r="F78" s="807">
        <v>3.5000000000000003E-2</v>
      </c>
      <c r="G78" s="1696">
        <f>IFERROR(H78/'2A'!$L$22,"")</f>
        <v>272.72727272727275</v>
      </c>
      <c r="H78" s="1215">
        <f>12000+9000</f>
        <v>21000</v>
      </c>
      <c r="I78" s="1216">
        <f t="shared" ref="I78:V78" si="30">H78+(H78*$F78)</f>
        <v>21735</v>
      </c>
      <c r="J78" s="1216">
        <f t="shared" si="30"/>
        <v>22495.724999999999</v>
      </c>
      <c r="K78" s="1216">
        <f t="shared" si="30"/>
        <v>23283.075375</v>
      </c>
      <c r="L78" s="1216">
        <f t="shared" si="30"/>
        <v>24097.983013125002</v>
      </c>
      <c r="M78" s="1216">
        <f t="shared" si="30"/>
        <v>24941.412418584376</v>
      </c>
      <c r="N78" s="1216">
        <f t="shared" si="30"/>
        <v>25814.36185323483</v>
      </c>
      <c r="O78" s="1216">
        <f t="shared" si="30"/>
        <v>26717.864518098049</v>
      </c>
      <c r="P78" s="1216">
        <f t="shared" si="30"/>
        <v>27652.989776231479</v>
      </c>
      <c r="Q78" s="1216">
        <f t="shared" si="30"/>
        <v>28620.844418399582</v>
      </c>
      <c r="R78" s="1216">
        <f t="shared" si="30"/>
        <v>29622.573973043567</v>
      </c>
      <c r="S78" s="1216">
        <f t="shared" si="30"/>
        <v>30659.364062100092</v>
      </c>
      <c r="T78" s="1216">
        <f t="shared" si="30"/>
        <v>31732.441804273596</v>
      </c>
      <c r="U78" s="1216">
        <f t="shared" si="30"/>
        <v>32843.07726742317</v>
      </c>
      <c r="V78" s="1217">
        <f t="shared" si="30"/>
        <v>33992.584971782984</v>
      </c>
      <c r="W78" s="1616"/>
    </row>
    <row r="79" spans="2:23" x14ac:dyDescent="0.25">
      <c r="B79" s="260"/>
      <c r="C79" s="280" t="s">
        <v>394</v>
      </c>
      <c r="D79" s="282"/>
      <c r="E79" s="802"/>
      <c r="F79" s="807">
        <v>3.5000000000000003E-2</v>
      </c>
      <c r="G79" s="1696">
        <f>IFERROR(H79/'2A'!$L$22,"")</f>
        <v>0</v>
      </c>
      <c r="H79" s="1215">
        <v>0</v>
      </c>
      <c r="I79" s="1216">
        <f t="shared" ref="I79:V79" si="31">H79+(H79*$F79)</f>
        <v>0</v>
      </c>
      <c r="J79" s="1216">
        <f t="shared" si="31"/>
        <v>0</v>
      </c>
      <c r="K79" s="1216">
        <f t="shared" si="31"/>
        <v>0</v>
      </c>
      <c r="L79" s="1216">
        <f t="shared" si="31"/>
        <v>0</v>
      </c>
      <c r="M79" s="1216">
        <f t="shared" si="31"/>
        <v>0</v>
      </c>
      <c r="N79" s="1216">
        <f t="shared" si="31"/>
        <v>0</v>
      </c>
      <c r="O79" s="1216">
        <f t="shared" si="31"/>
        <v>0</v>
      </c>
      <c r="P79" s="1216">
        <f t="shared" si="31"/>
        <v>0</v>
      </c>
      <c r="Q79" s="1216">
        <f t="shared" si="31"/>
        <v>0</v>
      </c>
      <c r="R79" s="1216">
        <f t="shared" si="31"/>
        <v>0</v>
      </c>
      <c r="S79" s="1216">
        <f t="shared" si="31"/>
        <v>0</v>
      </c>
      <c r="T79" s="1216">
        <f t="shared" si="31"/>
        <v>0</v>
      </c>
      <c r="U79" s="1216">
        <f t="shared" si="31"/>
        <v>0</v>
      </c>
      <c r="V79" s="1217">
        <f t="shared" si="31"/>
        <v>0</v>
      </c>
      <c r="W79" s="1616"/>
    </row>
    <row r="80" spans="2:23" x14ac:dyDescent="0.25">
      <c r="B80" s="260"/>
      <c r="C80" s="280" t="s">
        <v>395</v>
      </c>
      <c r="D80" s="281"/>
      <c r="E80" s="802"/>
      <c r="F80" s="807">
        <v>3.5000000000000003E-2</v>
      </c>
      <c r="G80" s="1696">
        <f>IFERROR(H80/'2A'!$L$22,"")</f>
        <v>389.61038961038963</v>
      </c>
      <c r="H80" s="1215">
        <v>30000</v>
      </c>
      <c r="I80" s="1216">
        <f t="shared" ref="I80:V80" si="32">H80+(H80*$F80)</f>
        <v>31050</v>
      </c>
      <c r="J80" s="1216">
        <f t="shared" si="32"/>
        <v>32136.75</v>
      </c>
      <c r="K80" s="1216">
        <f t="shared" si="32"/>
        <v>33261.536249999997</v>
      </c>
      <c r="L80" s="1216">
        <f t="shared" si="32"/>
        <v>34425.69001875</v>
      </c>
      <c r="M80" s="1216">
        <f t="shared" si="32"/>
        <v>35630.589169406252</v>
      </c>
      <c r="N80" s="1216">
        <f t="shared" si="32"/>
        <v>36877.65979033547</v>
      </c>
      <c r="O80" s="1216">
        <f t="shared" si="32"/>
        <v>38168.377882997214</v>
      </c>
      <c r="P80" s="1216">
        <f t="shared" si="32"/>
        <v>39504.271108902118</v>
      </c>
      <c r="Q80" s="1216">
        <f t="shared" si="32"/>
        <v>40886.920597713695</v>
      </c>
      <c r="R80" s="1216">
        <f t="shared" si="32"/>
        <v>42317.962818633678</v>
      </c>
      <c r="S80" s="1216">
        <f t="shared" si="32"/>
        <v>43799.091517285859</v>
      </c>
      <c r="T80" s="1216">
        <f t="shared" si="32"/>
        <v>45332.059720390862</v>
      </c>
      <c r="U80" s="1216">
        <f t="shared" si="32"/>
        <v>46918.681810604539</v>
      </c>
      <c r="V80" s="1217">
        <f t="shared" si="32"/>
        <v>48560.8356739757</v>
      </c>
      <c r="W80" s="1616"/>
    </row>
    <row r="81" spans="2:23" x14ac:dyDescent="0.25">
      <c r="B81" s="260"/>
      <c r="C81" s="280" t="s">
        <v>396</v>
      </c>
      <c r="D81" s="282"/>
      <c r="E81" s="802"/>
      <c r="F81" s="807">
        <v>3.5000000000000003E-2</v>
      </c>
      <c r="G81" s="1696">
        <f>IFERROR(H81/'2A'!$L$22,"")</f>
        <v>0</v>
      </c>
      <c r="H81" s="1215">
        <v>0</v>
      </c>
      <c r="I81" s="1216">
        <f t="shared" ref="I81:V81" si="33">H81+(H81*$F81)</f>
        <v>0</v>
      </c>
      <c r="J81" s="1216">
        <f t="shared" si="33"/>
        <v>0</v>
      </c>
      <c r="K81" s="1216">
        <f t="shared" si="33"/>
        <v>0</v>
      </c>
      <c r="L81" s="1216">
        <f t="shared" si="33"/>
        <v>0</v>
      </c>
      <c r="M81" s="1216">
        <f t="shared" si="33"/>
        <v>0</v>
      </c>
      <c r="N81" s="1216">
        <f t="shared" si="33"/>
        <v>0</v>
      </c>
      <c r="O81" s="1216">
        <f t="shared" si="33"/>
        <v>0</v>
      </c>
      <c r="P81" s="1216">
        <f t="shared" si="33"/>
        <v>0</v>
      </c>
      <c r="Q81" s="1216">
        <f t="shared" si="33"/>
        <v>0</v>
      </c>
      <c r="R81" s="1216">
        <f t="shared" si="33"/>
        <v>0</v>
      </c>
      <c r="S81" s="1216">
        <f t="shared" si="33"/>
        <v>0</v>
      </c>
      <c r="T81" s="1216">
        <f t="shared" si="33"/>
        <v>0</v>
      </c>
      <c r="U81" s="1216">
        <f t="shared" si="33"/>
        <v>0</v>
      </c>
      <c r="V81" s="1217">
        <f t="shared" si="33"/>
        <v>0</v>
      </c>
      <c r="W81" s="1616"/>
    </row>
    <row r="82" spans="2:23" x14ac:dyDescent="0.25">
      <c r="B82" s="260"/>
      <c r="C82" s="280" t="s">
        <v>397</v>
      </c>
      <c r="D82" s="282"/>
      <c r="E82" s="802"/>
      <c r="F82" s="807">
        <v>3.5000000000000003E-2</v>
      </c>
      <c r="G82" s="1696">
        <f>IFERROR(H82/'2A'!$L$22,"")</f>
        <v>0</v>
      </c>
      <c r="H82" s="1215">
        <v>0</v>
      </c>
      <c r="I82" s="1216">
        <f t="shared" ref="I82:V82" si="34">H82+(H82*$F82)</f>
        <v>0</v>
      </c>
      <c r="J82" s="1216">
        <f t="shared" si="34"/>
        <v>0</v>
      </c>
      <c r="K82" s="1216">
        <f t="shared" si="34"/>
        <v>0</v>
      </c>
      <c r="L82" s="1216">
        <f t="shared" si="34"/>
        <v>0</v>
      </c>
      <c r="M82" s="1216">
        <f t="shared" si="34"/>
        <v>0</v>
      </c>
      <c r="N82" s="1216">
        <f t="shared" si="34"/>
        <v>0</v>
      </c>
      <c r="O82" s="1216">
        <f t="shared" si="34"/>
        <v>0</v>
      </c>
      <c r="P82" s="1216">
        <f t="shared" si="34"/>
        <v>0</v>
      </c>
      <c r="Q82" s="1216">
        <f t="shared" si="34"/>
        <v>0</v>
      </c>
      <c r="R82" s="1216">
        <f t="shared" si="34"/>
        <v>0</v>
      </c>
      <c r="S82" s="1216">
        <f t="shared" si="34"/>
        <v>0</v>
      </c>
      <c r="T82" s="1216">
        <f t="shared" si="34"/>
        <v>0</v>
      </c>
      <c r="U82" s="1216">
        <f t="shared" si="34"/>
        <v>0</v>
      </c>
      <c r="V82" s="1217">
        <f t="shared" si="34"/>
        <v>0</v>
      </c>
      <c r="W82" s="1616"/>
    </row>
    <row r="83" spans="2:23" x14ac:dyDescent="0.25">
      <c r="B83" s="260"/>
      <c r="C83" s="280" t="s">
        <v>398</v>
      </c>
      <c r="D83" s="282"/>
      <c r="E83" s="802"/>
      <c r="F83" s="807">
        <v>3.5000000000000003E-2</v>
      </c>
      <c r="G83" s="1696">
        <f>IFERROR(H83/'2A'!$L$22,"")</f>
        <v>0</v>
      </c>
      <c r="H83" s="1215">
        <v>0</v>
      </c>
      <c r="I83" s="1216">
        <f t="shared" ref="I83:V83" si="35">H83+(H83*$F83)</f>
        <v>0</v>
      </c>
      <c r="J83" s="1216">
        <f t="shared" si="35"/>
        <v>0</v>
      </c>
      <c r="K83" s="1216">
        <f t="shared" si="35"/>
        <v>0</v>
      </c>
      <c r="L83" s="1216">
        <f t="shared" si="35"/>
        <v>0</v>
      </c>
      <c r="M83" s="1216">
        <f t="shared" si="35"/>
        <v>0</v>
      </c>
      <c r="N83" s="1216">
        <f t="shared" si="35"/>
        <v>0</v>
      </c>
      <c r="O83" s="1216">
        <f t="shared" si="35"/>
        <v>0</v>
      </c>
      <c r="P83" s="1216">
        <f t="shared" si="35"/>
        <v>0</v>
      </c>
      <c r="Q83" s="1216">
        <f t="shared" si="35"/>
        <v>0</v>
      </c>
      <c r="R83" s="1216">
        <f t="shared" si="35"/>
        <v>0</v>
      </c>
      <c r="S83" s="1216">
        <f t="shared" si="35"/>
        <v>0</v>
      </c>
      <c r="T83" s="1216">
        <f t="shared" si="35"/>
        <v>0</v>
      </c>
      <c r="U83" s="1216">
        <f t="shared" si="35"/>
        <v>0</v>
      </c>
      <c r="V83" s="1217">
        <f t="shared" si="35"/>
        <v>0</v>
      </c>
      <c r="W83" s="1616"/>
    </row>
    <row r="84" spans="2:23" x14ac:dyDescent="0.25">
      <c r="B84" s="260"/>
      <c r="C84" s="280" t="s">
        <v>399</v>
      </c>
      <c r="D84" s="282"/>
      <c r="E84" s="802"/>
      <c r="F84" s="807">
        <v>3.5000000000000003E-2</v>
      </c>
      <c r="G84" s="1696">
        <f>IFERROR(H84/'2A'!$L$22,"")</f>
        <v>0</v>
      </c>
      <c r="H84" s="1215">
        <v>0</v>
      </c>
      <c r="I84" s="1216">
        <f t="shared" ref="I84:V84" si="36">H84+(H84*$F84)</f>
        <v>0</v>
      </c>
      <c r="J84" s="1216">
        <f t="shared" si="36"/>
        <v>0</v>
      </c>
      <c r="K84" s="1216">
        <f t="shared" si="36"/>
        <v>0</v>
      </c>
      <c r="L84" s="1216">
        <f t="shared" si="36"/>
        <v>0</v>
      </c>
      <c r="M84" s="1216">
        <f t="shared" si="36"/>
        <v>0</v>
      </c>
      <c r="N84" s="1216">
        <f t="shared" si="36"/>
        <v>0</v>
      </c>
      <c r="O84" s="1216">
        <f t="shared" si="36"/>
        <v>0</v>
      </c>
      <c r="P84" s="1216">
        <f t="shared" si="36"/>
        <v>0</v>
      </c>
      <c r="Q84" s="1216">
        <f t="shared" si="36"/>
        <v>0</v>
      </c>
      <c r="R84" s="1216">
        <f t="shared" si="36"/>
        <v>0</v>
      </c>
      <c r="S84" s="1216">
        <f t="shared" si="36"/>
        <v>0</v>
      </c>
      <c r="T84" s="1216">
        <f t="shared" si="36"/>
        <v>0</v>
      </c>
      <c r="U84" s="1216">
        <f t="shared" si="36"/>
        <v>0</v>
      </c>
      <c r="V84" s="1217">
        <f t="shared" si="36"/>
        <v>0</v>
      </c>
      <c r="W84" s="1616"/>
    </row>
    <row r="85" spans="2:23" x14ac:dyDescent="0.25">
      <c r="B85" s="260"/>
      <c r="C85" s="280" t="s">
        <v>400</v>
      </c>
      <c r="D85" s="281"/>
      <c r="E85" s="802"/>
      <c r="F85" s="807">
        <v>3.5000000000000003E-2</v>
      </c>
      <c r="G85" s="1696">
        <f>IFERROR(H85/'2A'!$L$22,"")</f>
        <v>493.50649350649348</v>
      </c>
      <c r="H85" s="1215">
        <v>38000</v>
      </c>
      <c r="I85" s="1216">
        <f t="shared" ref="I85:V85" si="37">H85+(H85*$F85)</f>
        <v>39330</v>
      </c>
      <c r="J85" s="1216">
        <f t="shared" si="37"/>
        <v>40706.550000000003</v>
      </c>
      <c r="K85" s="1216">
        <f t="shared" si="37"/>
        <v>42131.279250000007</v>
      </c>
      <c r="L85" s="1216">
        <f t="shared" si="37"/>
        <v>43605.87402375001</v>
      </c>
      <c r="M85" s="1216">
        <f t="shared" si="37"/>
        <v>45132.079614581264</v>
      </c>
      <c r="N85" s="1216">
        <f t="shared" si="37"/>
        <v>46711.702401091607</v>
      </c>
      <c r="O85" s="1216">
        <f t="shared" si="37"/>
        <v>48346.611985129814</v>
      </c>
      <c r="P85" s="1216">
        <f t="shared" si="37"/>
        <v>50038.743404609355</v>
      </c>
      <c r="Q85" s="1216">
        <f t="shared" si="37"/>
        <v>51790.099423770684</v>
      </c>
      <c r="R85" s="1216">
        <f t="shared" si="37"/>
        <v>53602.752903602661</v>
      </c>
      <c r="S85" s="1216">
        <f t="shared" si="37"/>
        <v>55478.849255228757</v>
      </c>
      <c r="T85" s="1216">
        <f t="shared" si="37"/>
        <v>57420.608979161763</v>
      </c>
      <c r="U85" s="1216">
        <f t="shared" si="37"/>
        <v>59430.330293432424</v>
      </c>
      <c r="V85" s="1217">
        <f t="shared" si="37"/>
        <v>61510.39185370256</v>
      </c>
      <c r="W85" s="1616"/>
    </row>
    <row r="86" spans="2:23" x14ac:dyDescent="0.25">
      <c r="B86" s="260"/>
      <c r="C86" s="280" t="s">
        <v>401</v>
      </c>
      <c r="D86" s="281"/>
      <c r="E86" s="802"/>
      <c r="F86" s="807">
        <v>3.5000000000000003E-2</v>
      </c>
      <c r="G86" s="1696">
        <f>IFERROR(H86/'2A'!$L$22,"")</f>
        <v>200.51948051948051</v>
      </c>
      <c r="H86" s="1215">
        <v>15440</v>
      </c>
      <c r="I86" s="1216">
        <f t="shared" ref="I86:V86" si="38">H86+(H86*$F86)</f>
        <v>15980.4</v>
      </c>
      <c r="J86" s="1216">
        <f t="shared" si="38"/>
        <v>16539.714</v>
      </c>
      <c r="K86" s="1216">
        <f t="shared" si="38"/>
        <v>17118.60399</v>
      </c>
      <c r="L86" s="1216">
        <f t="shared" si="38"/>
        <v>17717.755129649999</v>
      </c>
      <c r="M86" s="1216">
        <f t="shared" si="38"/>
        <v>18337.876559187749</v>
      </c>
      <c r="N86" s="1216">
        <f t="shared" si="38"/>
        <v>18979.702238759321</v>
      </c>
      <c r="O86" s="1216">
        <f t="shared" si="38"/>
        <v>19643.991817115897</v>
      </c>
      <c r="P86" s="1216">
        <f t="shared" si="38"/>
        <v>20331.531530714954</v>
      </c>
      <c r="Q86" s="1216">
        <f t="shared" si="38"/>
        <v>21043.135134289976</v>
      </c>
      <c r="R86" s="1216">
        <f t="shared" si="38"/>
        <v>21779.644863990125</v>
      </c>
      <c r="S86" s="1216">
        <f t="shared" si="38"/>
        <v>22541.93243422978</v>
      </c>
      <c r="T86" s="1216">
        <f t="shared" si="38"/>
        <v>23330.900069427822</v>
      </c>
      <c r="U86" s="1216">
        <f t="shared" si="38"/>
        <v>24147.481571857796</v>
      </c>
      <c r="V86" s="1217">
        <f t="shared" si="38"/>
        <v>24992.643426872819</v>
      </c>
      <c r="W86" s="1616"/>
    </row>
    <row r="87" spans="2:23" x14ac:dyDescent="0.25">
      <c r="B87" s="283"/>
      <c r="C87" s="280" t="s">
        <v>402</v>
      </c>
      <c r="D87" s="281"/>
      <c r="E87" s="802"/>
      <c r="F87" s="807">
        <v>3.5000000000000003E-2</v>
      </c>
      <c r="G87" s="1696">
        <f>IFERROR(H87/'2A'!$L$22,"")</f>
        <v>335.15584415584414</v>
      </c>
      <c r="H87" s="1215">
        <v>25807</v>
      </c>
      <c r="I87" s="1216">
        <f t="shared" ref="I87:V87" si="39">H87+(H87*$F87)</f>
        <v>26710.244999999999</v>
      </c>
      <c r="J87" s="1216">
        <f t="shared" si="39"/>
        <v>27645.103574999997</v>
      </c>
      <c r="K87" s="1216">
        <f t="shared" si="39"/>
        <v>28612.682200124997</v>
      </c>
      <c r="L87" s="1216">
        <f t="shared" si="39"/>
        <v>29614.126077129371</v>
      </c>
      <c r="M87" s="1216">
        <f t="shared" si="39"/>
        <v>30650.6204898289</v>
      </c>
      <c r="N87" s="1216">
        <f t="shared" si="39"/>
        <v>31723.392206972912</v>
      </c>
      <c r="O87" s="1216">
        <f t="shared" si="39"/>
        <v>32833.710934216964</v>
      </c>
      <c r="P87" s="1216">
        <f t="shared" si="39"/>
        <v>33982.890816914558</v>
      </c>
      <c r="Q87" s="1216">
        <f t="shared" si="39"/>
        <v>35172.291995506566</v>
      </c>
      <c r="R87" s="1216">
        <f t="shared" si="39"/>
        <v>36403.322215349297</v>
      </c>
      <c r="S87" s="1216">
        <f t="shared" si="39"/>
        <v>37677.438492886526</v>
      </c>
      <c r="T87" s="1216">
        <f t="shared" si="39"/>
        <v>38996.148840137554</v>
      </c>
      <c r="U87" s="1216">
        <f t="shared" si="39"/>
        <v>40361.014049542369</v>
      </c>
      <c r="V87" s="1217">
        <f t="shared" si="39"/>
        <v>41773.649541276354</v>
      </c>
      <c r="W87" s="1616"/>
    </row>
    <row r="88" spans="2:23" x14ac:dyDescent="0.25">
      <c r="B88" s="260"/>
      <c r="C88" s="280" t="s">
        <v>403</v>
      </c>
      <c r="D88" s="282"/>
      <c r="E88" s="802"/>
      <c r="F88" s="807">
        <v>3.5000000000000003E-2</v>
      </c>
      <c r="G88" s="1696">
        <f>IFERROR(H88/'2A'!$L$22,"")</f>
        <v>188.3116883116883</v>
      </c>
      <c r="H88" s="1215">
        <v>14500</v>
      </c>
      <c r="I88" s="1216">
        <f t="shared" ref="I88:V88" si="40">H88+(H88*$F88)</f>
        <v>15007.5</v>
      </c>
      <c r="J88" s="1216">
        <f t="shared" si="40"/>
        <v>15532.762500000001</v>
      </c>
      <c r="K88" s="1216">
        <f t="shared" si="40"/>
        <v>16076.409187500001</v>
      </c>
      <c r="L88" s="1216">
        <f t="shared" si="40"/>
        <v>16639.083509062501</v>
      </c>
      <c r="M88" s="1216">
        <f t="shared" si="40"/>
        <v>17221.451431879686</v>
      </c>
      <c r="N88" s="1216">
        <f t="shared" si="40"/>
        <v>17824.202231995474</v>
      </c>
      <c r="O88" s="1216">
        <f t="shared" si="40"/>
        <v>18448.049310115315</v>
      </c>
      <c r="P88" s="1216">
        <f t="shared" si="40"/>
        <v>19093.731035969351</v>
      </c>
      <c r="Q88" s="1216">
        <f t="shared" si="40"/>
        <v>19762.011622228278</v>
      </c>
      <c r="R88" s="1216">
        <f t="shared" si="40"/>
        <v>20453.682029006268</v>
      </c>
      <c r="S88" s="1216">
        <f t="shared" si="40"/>
        <v>21169.560900021486</v>
      </c>
      <c r="T88" s="1216">
        <f t="shared" si="40"/>
        <v>21910.49553152224</v>
      </c>
      <c r="U88" s="1216">
        <f t="shared" si="40"/>
        <v>22677.362875125516</v>
      </c>
      <c r="V88" s="1217">
        <f t="shared" si="40"/>
        <v>23471.070575754911</v>
      </c>
      <c r="W88" s="1616"/>
    </row>
    <row r="89" spans="2:23" x14ac:dyDescent="0.25">
      <c r="B89" s="260"/>
      <c r="C89" s="280" t="s">
        <v>404</v>
      </c>
      <c r="D89" s="282"/>
      <c r="E89" s="802"/>
      <c r="F89" s="807">
        <v>3.5000000000000003E-2</v>
      </c>
      <c r="G89" s="1696">
        <f>IFERROR(H89/'2A'!$L$22,"")</f>
        <v>0</v>
      </c>
      <c r="H89" s="1215">
        <v>0</v>
      </c>
      <c r="I89" s="1216">
        <f t="shared" ref="I89:V89" si="41">H89+(H89*$F89)</f>
        <v>0</v>
      </c>
      <c r="J89" s="1216">
        <f t="shared" si="41"/>
        <v>0</v>
      </c>
      <c r="K89" s="1216">
        <f t="shared" si="41"/>
        <v>0</v>
      </c>
      <c r="L89" s="1216">
        <f t="shared" si="41"/>
        <v>0</v>
      </c>
      <c r="M89" s="1216">
        <f t="shared" si="41"/>
        <v>0</v>
      </c>
      <c r="N89" s="1216">
        <f t="shared" si="41"/>
        <v>0</v>
      </c>
      <c r="O89" s="1216">
        <f t="shared" si="41"/>
        <v>0</v>
      </c>
      <c r="P89" s="1216">
        <f t="shared" si="41"/>
        <v>0</v>
      </c>
      <c r="Q89" s="1216">
        <f t="shared" si="41"/>
        <v>0</v>
      </c>
      <c r="R89" s="1216">
        <f t="shared" si="41"/>
        <v>0</v>
      </c>
      <c r="S89" s="1216">
        <f t="shared" si="41"/>
        <v>0</v>
      </c>
      <c r="T89" s="1216">
        <f t="shared" si="41"/>
        <v>0</v>
      </c>
      <c r="U89" s="1216">
        <f t="shared" si="41"/>
        <v>0</v>
      </c>
      <c r="V89" s="1217">
        <f t="shared" si="41"/>
        <v>0</v>
      </c>
      <c r="W89" s="1616"/>
    </row>
    <row r="90" spans="2:23" ht="15.75" thickBot="1" x14ac:dyDescent="0.3">
      <c r="B90" s="260"/>
      <c r="C90" s="284"/>
      <c r="D90" s="285"/>
      <c r="E90" s="802"/>
      <c r="F90" s="808">
        <v>3.5000000000000003E-2</v>
      </c>
      <c r="G90" s="1697">
        <f>IFERROR(H90/'2A'!$L$22,"")</f>
        <v>0</v>
      </c>
      <c r="H90" s="1218"/>
      <c r="I90" s="1219">
        <f t="shared" ref="I90:V90" si="42">H90+(H90*$F90)</f>
        <v>0</v>
      </c>
      <c r="J90" s="1219">
        <f t="shared" si="42"/>
        <v>0</v>
      </c>
      <c r="K90" s="1219">
        <f t="shared" si="42"/>
        <v>0</v>
      </c>
      <c r="L90" s="1219">
        <f t="shared" si="42"/>
        <v>0</v>
      </c>
      <c r="M90" s="1219">
        <f t="shared" si="42"/>
        <v>0</v>
      </c>
      <c r="N90" s="1219">
        <f t="shared" si="42"/>
        <v>0</v>
      </c>
      <c r="O90" s="1219">
        <f t="shared" si="42"/>
        <v>0</v>
      </c>
      <c r="P90" s="1219">
        <f t="shared" si="42"/>
        <v>0</v>
      </c>
      <c r="Q90" s="1219">
        <f t="shared" si="42"/>
        <v>0</v>
      </c>
      <c r="R90" s="1219">
        <f t="shared" si="42"/>
        <v>0</v>
      </c>
      <c r="S90" s="1219">
        <f t="shared" si="42"/>
        <v>0</v>
      </c>
      <c r="T90" s="1219">
        <f t="shared" si="42"/>
        <v>0</v>
      </c>
      <c r="U90" s="1219">
        <f t="shared" si="42"/>
        <v>0</v>
      </c>
      <c r="V90" s="1220">
        <f t="shared" si="42"/>
        <v>0</v>
      </c>
      <c r="W90" s="1616"/>
    </row>
    <row r="91" spans="2:23" ht="15.75" thickBot="1" x14ac:dyDescent="0.3">
      <c r="B91" s="260"/>
      <c r="C91" s="251" t="s">
        <v>405</v>
      </c>
      <c r="D91" s="267"/>
      <c r="E91" s="268"/>
      <c r="F91" s="268"/>
      <c r="G91" s="1698">
        <f>IFERROR(H91/'2A'!$L$22,"")</f>
        <v>6314.4971428571434</v>
      </c>
      <c r="H91" s="1161">
        <f>SUM(H70:H90)</f>
        <v>486216.28</v>
      </c>
      <c r="I91" s="1162">
        <f t="shared" ref="I91:N91" si="43">SUM(I70:I90)</f>
        <v>502754.15700000001</v>
      </c>
      <c r="J91" s="1162">
        <f t="shared" si="43"/>
        <v>519858.86737499997</v>
      </c>
      <c r="K91" s="1162">
        <f t="shared" si="43"/>
        <v>537549.95048512495</v>
      </c>
      <c r="L91" s="1162">
        <f t="shared" si="43"/>
        <v>555847.62207290437</v>
      </c>
      <c r="M91" s="1162">
        <f t="shared" si="43"/>
        <v>574772.79774927604</v>
      </c>
      <c r="N91" s="1162">
        <f t="shared" si="43"/>
        <v>594347.11729691632</v>
      </c>
      <c r="O91" s="1162">
        <f t="shared" ref="O91:V91" si="44">SUM(O70:O90)</f>
        <v>614592.96981938416</v>
      </c>
      <c r="P91" s="1162">
        <f t="shared" si="44"/>
        <v>635533.51976556529</v>
      </c>
      <c r="Q91" s="1162">
        <f t="shared" si="44"/>
        <v>657192.73385992553</v>
      </c>
      <c r="R91" s="1162">
        <f t="shared" si="44"/>
        <v>679595.40897015249</v>
      </c>
      <c r="S91" s="1162">
        <f t="shared" si="44"/>
        <v>702767.20094486536</v>
      </c>
      <c r="T91" s="1162">
        <f t="shared" si="44"/>
        <v>726734.65445521229</v>
      </c>
      <c r="U91" s="1162">
        <f t="shared" si="44"/>
        <v>751525.23387535335</v>
      </c>
      <c r="V91" s="1163">
        <f t="shared" si="44"/>
        <v>777167.35523805441</v>
      </c>
      <c r="W91" s="1616"/>
    </row>
    <row r="92" spans="2:23" ht="15.75" thickBot="1" x14ac:dyDescent="0.3">
      <c r="B92" s="260"/>
      <c r="C92" s="251"/>
      <c r="D92" s="267"/>
      <c r="E92" s="276"/>
      <c r="F92" s="752" t="s">
        <v>373</v>
      </c>
      <c r="G92" s="258"/>
      <c r="H92" s="248"/>
      <c r="I92" s="249"/>
      <c r="J92" s="249"/>
      <c r="K92" s="249"/>
      <c r="L92" s="249"/>
      <c r="M92" s="249"/>
      <c r="N92" s="249"/>
      <c r="O92" s="249"/>
      <c r="P92" s="249"/>
      <c r="Q92" s="249"/>
      <c r="R92" s="249"/>
      <c r="S92" s="249"/>
      <c r="T92" s="249"/>
      <c r="U92" s="249"/>
      <c r="V92" s="250"/>
      <c r="W92" s="1616"/>
    </row>
    <row r="93" spans="2:23" x14ac:dyDescent="0.25">
      <c r="B93" s="279"/>
      <c r="C93" s="286" t="s">
        <v>406</v>
      </c>
      <c r="D93" s="287"/>
      <c r="E93" s="803"/>
      <c r="F93" s="806">
        <v>3.5000000000000003E-2</v>
      </c>
      <c r="G93" s="1695">
        <f>IFERROR(H93/'2A'!$L$22,"")</f>
        <v>350</v>
      </c>
      <c r="H93" s="1221">
        <v>26950</v>
      </c>
      <c r="I93" s="1222">
        <f t="shared" ref="I93:V93" si="45">H93+(H93*$F93)</f>
        <v>27893.25</v>
      </c>
      <c r="J93" s="1222">
        <f t="shared" si="45"/>
        <v>28869.513749999998</v>
      </c>
      <c r="K93" s="1222">
        <f t="shared" si="45"/>
        <v>29879.946731249998</v>
      </c>
      <c r="L93" s="1222">
        <f t="shared" si="45"/>
        <v>30925.74486684375</v>
      </c>
      <c r="M93" s="1222">
        <f t="shared" si="45"/>
        <v>32008.145937183283</v>
      </c>
      <c r="N93" s="1222">
        <f t="shared" si="45"/>
        <v>33128.431044984696</v>
      </c>
      <c r="O93" s="1222">
        <f t="shared" si="45"/>
        <v>34287.926131559158</v>
      </c>
      <c r="P93" s="1222">
        <f t="shared" si="45"/>
        <v>35488.003546163731</v>
      </c>
      <c r="Q93" s="1222">
        <f t="shared" si="45"/>
        <v>36730.083670279462</v>
      </c>
      <c r="R93" s="1222">
        <f t="shared" si="45"/>
        <v>38015.636598739242</v>
      </c>
      <c r="S93" s="1222">
        <f t="shared" si="45"/>
        <v>39346.183879695112</v>
      </c>
      <c r="T93" s="1222">
        <f t="shared" si="45"/>
        <v>40723.300315484441</v>
      </c>
      <c r="U93" s="1222">
        <f t="shared" si="45"/>
        <v>42148.615826526395</v>
      </c>
      <c r="V93" s="1223">
        <f t="shared" si="45"/>
        <v>43623.817380454821</v>
      </c>
      <c r="W93" s="1616"/>
    </row>
    <row r="94" spans="2:23" ht="15.75" thickBot="1" x14ac:dyDescent="0.3">
      <c r="B94" s="279"/>
      <c r="C94" s="288" t="s">
        <v>407</v>
      </c>
      <c r="D94" s="285"/>
      <c r="E94" s="802"/>
      <c r="F94" s="808">
        <v>3.5000000000000003E-2</v>
      </c>
      <c r="G94" s="1697">
        <f>IFERROR(H94/'2A'!$L$22,"")</f>
        <v>0</v>
      </c>
      <c r="H94" s="1224">
        <v>0</v>
      </c>
      <c r="I94" s="1219">
        <f t="shared" ref="I94:V94" si="46">H94+(H94*$F94)</f>
        <v>0</v>
      </c>
      <c r="J94" s="1219">
        <f t="shared" si="46"/>
        <v>0</v>
      </c>
      <c r="K94" s="1219">
        <f t="shared" si="46"/>
        <v>0</v>
      </c>
      <c r="L94" s="1219">
        <f t="shared" si="46"/>
        <v>0</v>
      </c>
      <c r="M94" s="1219">
        <f t="shared" si="46"/>
        <v>0</v>
      </c>
      <c r="N94" s="1219">
        <f t="shared" si="46"/>
        <v>0</v>
      </c>
      <c r="O94" s="1219">
        <f t="shared" si="46"/>
        <v>0</v>
      </c>
      <c r="P94" s="1219">
        <f t="shared" si="46"/>
        <v>0</v>
      </c>
      <c r="Q94" s="1219">
        <f t="shared" si="46"/>
        <v>0</v>
      </c>
      <c r="R94" s="1219">
        <f t="shared" si="46"/>
        <v>0</v>
      </c>
      <c r="S94" s="1219">
        <f t="shared" si="46"/>
        <v>0</v>
      </c>
      <c r="T94" s="1219">
        <f t="shared" si="46"/>
        <v>0</v>
      </c>
      <c r="U94" s="1219">
        <f t="shared" si="46"/>
        <v>0</v>
      </c>
      <c r="V94" s="1220">
        <f t="shared" si="46"/>
        <v>0</v>
      </c>
      <c r="W94" s="1616"/>
    </row>
    <row r="95" spans="2:23" x14ac:dyDescent="0.25">
      <c r="B95" s="279"/>
      <c r="C95" s="251" t="s">
        <v>408</v>
      </c>
      <c r="D95" s="267"/>
      <c r="E95" s="267"/>
      <c r="F95" s="267"/>
      <c r="G95" s="289" t="str">
        <f>IFERROR(H95/#REF!,"")</f>
        <v/>
      </c>
      <c r="H95" s="1161">
        <f>SUM(H93:H94)</f>
        <v>26950</v>
      </c>
      <c r="I95" s="1162">
        <f t="shared" ref="I95:N95" si="47">SUM(I93:I94)</f>
        <v>27893.25</v>
      </c>
      <c r="J95" s="1162">
        <f t="shared" si="47"/>
        <v>28869.513749999998</v>
      </c>
      <c r="K95" s="1162">
        <f t="shared" si="47"/>
        <v>29879.946731249998</v>
      </c>
      <c r="L95" s="1162">
        <f t="shared" si="47"/>
        <v>30925.74486684375</v>
      </c>
      <c r="M95" s="1162">
        <f t="shared" si="47"/>
        <v>32008.145937183283</v>
      </c>
      <c r="N95" s="1162">
        <f t="shared" si="47"/>
        <v>33128.431044984696</v>
      </c>
      <c r="O95" s="1162">
        <f t="shared" ref="O95:V95" si="48">SUM(O93:O94)</f>
        <v>34287.926131559158</v>
      </c>
      <c r="P95" s="1162">
        <f t="shared" si="48"/>
        <v>35488.003546163731</v>
      </c>
      <c r="Q95" s="1162">
        <f t="shared" si="48"/>
        <v>36730.083670279462</v>
      </c>
      <c r="R95" s="1162">
        <f t="shared" si="48"/>
        <v>38015.636598739242</v>
      </c>
      <c r="S95" s="1162">
        <f t="shared" si="48"/>
        <v>39346.183879695112</v>
      </c>
      <c r="T95" s="1162">
        <f t="shared" si="48"/>
        <v>40723.300315484441</v>
      </c>
      <c r="U95" s="1162">
        <f t="shared" si="48"/>
        <v>42148.615826526395</v>
      </c>
      <c r="V95" s="1163">
        <f t="shared" si="48"/>
        <v>43623.817380454821</v>
      </c>
      <c r="W95" s="1616"/>
    </row>
    <row r="96" spans="2:23" ht="7.5" customHeight="1" thickBot="1" x14ac:dyDescent="0.3">
      <c r="B96" s="279"/>
      <c r="C96" s="251"/>
      <c r="D96" s="267"/>
      <c r="E96" s="267"/>
      <c r="F96" s="267"/>
      <c r="G96" s="289"/>
      <c r="H96" s="248"/>
      <c r="I96" s="249"/>
      <c r="J96" s="249"/>
      <c r="K96" s="249"/>
      <c r="L96" s="249"/>
      <c r="M96" s="249"/>
      <c r="N96" s="249"/>
      <c r="O96" s="249"/>
      <c r="P96" s="249"/>
      <c r="Q96" s="249"/>
      <c r="R96" s="249"/>
      <c r="S96" s="249"/>
      <c r="T96" s="249"/>
      <c r="U96" s="249"/>
      <c r="V96" s="250"/>
      <c r="W96" s="1616"/>
    </row>
    <row r="97" spans="2:23" ht="15.75" thickBot="1" x14ac:dyDescent="0.3">
      <c r="B97" s="260"/>
      <c r="C97" s="251" t="s">
        <v>409</v>
      </c>
      <c r="D97" s="267"/>
      <c r="E97" s="804"/>
      <c r="F97" s="712">
        <v>3.5000000000000003E-2</v>
      </c>
      <c r="G97" s="1699">
        <f>IFERROR(H97/'2A'!$L$22,"")</f>
        <v>0</v>
      </c>
      <c r="H97" s="1225">
        <f>'8C'!L41+'8C'!L54</f>
        <v>0</v>
      </c>
      <c r="I97" s="1226">
        <f t="shared" ref="I97:V97" si="49">H97+(H97*$F97)</f>
        <v>0</v>
      </c>
      <c r="J97" s="1226">
        <f t="shared" si="49"/>
        <v>0</v>
      </c>
      <c r="K97" s="1226">
        <f t="shared" si="49"/>
        <v>0</v>
      </c>
      <c r="L97" s="1226">
        <f t="shared" si="49"/>
        <v>0</v>
      </c>
      <c r="M97" s="1226">
        <f t="shared" si="49"/>
        <v>0</v>
      </c>
      <c r="N97" s="1226">
        <f t="shared" si="49"/>
        <v>0</v>
      </c>
      <c r="O97" s="1226">
        <f t="shared" si="49"/>
        <v>0</v>
      </c>
      <c r="P97" s="1226">
        <f t="shared" si="49"/>
        <v>0</v>
      </c>
      <c r="Q97" s="1226">
        <f t="shared" si="49"/>
        <v>0</v>
      </c>
      <c r="R97" s="1226">
        <f t="shared" si="49"/>
        <v>0</v>
      </c>
      <c r="S97" s="1226">
        <f t="shared" si="49"/>
        <v>0</v>
      </c>
      <c r="T97" s="1226">
        <f t="shared" si="49"/>
        <v>0</v>
      </c>
      <c r="U97" s="1226">
        <f t="shared" si="49"/>
        <v>0</v>
      </c>
      <c r="V97" s="1227">
        <f t="shared" si="49"/>
        <v>0</v>
      </c>
      <c r="W97" s="1616"/>
    </row>
    <row r="98" spans="2:23" ht="7.5" customHeight="1" thickBot="1" x14ac:dyDescent="0.3">
      <c r="B98" s="260"/>
      <c r="C98" s="251"/>
      <c r="D98" s="267"/>
      <c r="E98" s="267"/>
      <c r="F98" s="267"/>
      <c r="G98" s="289"/>
      <c r="H98" s="248"/>
      <c r="I98" s="249"/>
      <c r="J98" s="249"/>
      <c r="K98" s="249"/>
      <c r="L98" s="249"/>
      <c r="M98" s="249"/>
      <c r="N98" s="249"/>
      <c r="O98" s="249"/>
      <c r="P98" s="249"/>
      <c r="Q98" s="249"/>
      <c r="R98" s="249"/>
      <c r="S98" s="249"/>
      <c r="T98" s="249"/>
      <c r="U98" s="249"/>
      <c r="V98" s="250"/>
      <c r="W98" s="1616"/>
    </row>
    <row r="99" spans="2:23" ht="15.75" thickBot="1" x14ac:dyDescent="0.3">
      <c r="B99" s="260"/>
      <c r="C99" s="290" t="s">
        <v>410</v>
      </c>
      <c r="D99" s="270"/>
      <c r="E99" s="626"/>
      <c r="F99" s="713">
        <v>0</v>
      </c>
      <c r="G99" s="270"/>
      <c r="H99" s="1228">
        <v>0</v>
      </c>
      <c r="I99" s="1229">
        <f t="shared" ref="I99:V99" si="50">H99+(H99*$F99)</f>
        <v>0</v>
      </c>
      <c r="J99" s="1229">
        <f t="shared" si="50"/>
        <v>0</v>
      </c>
      <c r="K99" s="1229">
        <f t="shared" si="50"/>
        <v>0</v>
      </c>
      <c r="L99" s="1229">
        <f t="shared" si="50"/>
        <v>0</v>
      </c>
      <c r="M99" s="1229">
        <f t="shared" si="50"/>
        <v>0</v>
      </c>
      <c r="N99" s="1229">
        <f t="shared" si="50"/>
        <v>0</v>
      </c>
      <c r="O99" s="1229">
        <f t="shared" si="50"/>
        <v>0</v>
      </c>
      <c r="P99" s="1229">
        <f t="shared" si="50"/>
        <v>0</v>
      </c>
      <c r="Q99" s="1229">
        <f t="shared" si="50"/>
        <v>0</v>
      </c>
      <c r="R99" s="1229">
        <f t="shared" si="50"/>
        <v>0</v>
      </c>
      <c r="S99" s="1229">
        <f t="shared" si="50"/>
        <v>0</v>
      </c>
      <c r="T99" s="1229">
        <f t="shared" si="50"/>
        <v>0</v>
      </c>
      <c r="U99" s="1229">
        <f t="shared" si="50"/>
        <v>0</v>
      </c>
      <c r="V99" s="1230">
        <f t="shared" si="50"/>
        <v>0</v>
      </c>
      <c r="W99" s="1616"/>
    </row>
    <row r="100" spans="2:23" ht="16.5" thickTop="1" thickBot="1" x14ac:dyDescent="0.3">
      <c r="B100" s="260"/>
      <c r="C100" s="275" t="s">
        <v>411</v>
      </c>
      <c r="D100" s="267"/>
      <c r="E100" s="267"/>
      <c r="F100" s="267"/>
      <c r="G100" s="268" t="s">
        <v>375</v>
      </c>
      <c r="H100" s="1231">
        <f>H91+H95+H97+H99</f>
        <v>513166.28</v>
      </c>
      <c r="I100" s="1232">
        <f t="shared" ref="I100:N100" si="51">I91+I95+I97+I99</f>
        <v>530647.40700000001</v>
      </c>
      <c r="J100" s="1232">
        <f t="shared" si="51"/>
        <v>548728.38112499996</v>
      </c>
      <c r="K100" s="1232">
        <f t="shared" si="51"/>
        <v>567429.89721637499</v>
      </c>
      <c r="L100" s="1232">
        <f t="shared" si="51"/>
        <v>586773.36693974817</v>
      </c>
      <c r="M100" s="1232">
        <f t="shared" si="51"/>
        <v>606780.94368645933</v>
      </c>
      <c r="N100" s="1232">
        <f t="shared" si="51"/>
        <v>627475.54834190104</v>
      </c>
      <c r="O100" s="1232">
        <f t="shared" ref="O100:V100" si="52">O91+O95+O97+O99</f>
        <v>648880.89595094335</v>
      </c>
      <c r="P100" s="1232">
        <f t="shared" si="52"/>
        <v>671021.52331172908</v>
      </c>
      <c r="Q100" s="1232">
        <f t="shared" si="52"/>
        <v>693922.81753020501</v>
      </c>
      <c r="R100" s="1232">
        <f t="shared" si="52"/>
        <v>717611.04556889168</v>
      </c>
      <c r="S100" s="1232">
        <f t="shared" si="52"/>
        <v>742113.38482456049</v>
      </c>
      <c r="T100" s="1232">
        <f t="shared" si="52"/>
        <v>767457.9547706967</v>
      </c>
      <c r="U100" s="1232">
        <f t="shared" si="52"/>
        <v>793673.84970187978</v>
      </c>
      <c r="V100" s="1233">
        <f t="shared" si="52"/>
        <v>820791.17261850927</v>
      </c>
      <c r="W100" s="1616"/>
    </row>
    <row r="101" spans="2:23" ht="7.5" customHeight="1" thickBot="1" x14ac:dyDescent="0.3">
      <c r="B101" s="260"/>
      <c r="C101" s="267"/>
      <c r="D101" s="267"/>
      <c r="E101" s="267"/>
      <c r="F101" s="267"/>
      <c r="G101" s="267"/>
      <c r="H101" s="753"/>
      <c r="I101" s="753"/>
      <c r="J101" s="753"/>
      <c r="K101" s="753"/>
      <c r="L101" s="753"/>
      <c r="M101" s="753"/>
      <c r="N101" s="753"/>
      <c r="O101" s="753"/>
      <c r="P101" s="753"/>
      <c r="Q101" s="753"/>
      <c r="R101" s="753"/>
      <c r="S101" s="753"/>
      <c r="T101" s="753"/>
      <c r="U101" s="753"/>
      <c r="V101" s="753"/>
      <c r="W101" s="1616"/>
    </row>
    <row r="102" spans="2:23" ht="15.75" thickBot="1" x14ac:dyDescent="0.3">
      <c r="B102" s="260"/>
      <c r="C102" s="384"/>
      <c r="D102" s="267"/>
      <c r="E102" s="267"/>
      <c r="F102" s="1974" t="s">
        <v>412</v>
      </c>
      <c r="G102" s="268" t="s">
        <v>375</v>
      </c>
      <c r="H102" s="1179">
        <f>(H36+H38)-H100</f>
        <v>251097.31999999995</v>
      </c>
      <c r="I102" s="1180">
        <f t="shared" ref="I102:V102" si="53">(I36+I38)-I100</f>
        <v>252722.78300000005</v>
      </c>
      <c r="J102" s="1180">
        <f t="shared" si="53"/>
        <v>254226.06362499995</v>
      </c>
      <c r="K102" s="1180">
        <f t="shared" si="53"/>
        <v>255598.40865237499</v>
      </c>
      <c r="L102" s="1180">
        <f t="shared" si="53"/>
        <v>256830.64657572052</v>
      </c>
      <c r="M102" s="1180">
        <f t="shared" si="53"/>
        <v>257913.17016689607</v>
      </c>
      <c r="N102" s="1180">
        <f t="shared" si="53"/>
        <v>258835.91835778824</v>
      </c>
      <c r="O102" s="1180">
        <f t="shared" si="53"/>
        <v>259588.35741623829</v>
      </c>
      <c r="P102" s="1180">
        <f t="shared" si="53"/>
        <v>260159.46138963208</v>
      </c>
      <c r="Q102" s="1180">
        <f t="shared" si="53"/>
        <v>260537.69178869028</v>
      </c>
      <c r="R102" s="1180">
        <f t="shared" si="53"/>
        <v>260710.976482976</v>
      </c>
      <c r="S102" s="1180">
        <f t="shared" si="53"/>
        <v>260666.68777860375</v>
      </c>
      <c r="T102" s="1180">
        <f t="shared" si="53"/>
        <v>260391.61964754679</v>
      </c>
      <c r="U102" s="1180">
        <f t="shared" si="53"/>
        <v>259871.9640768196</v>
      </c>
      <c r="V102" s="1181">
        <f t="shared" si="53"/>
        <v>259093.28650465747</v>
      </c>
      <c r="W102" s="1616"/>
    </row>
    <row r="103" spans="2:23" s="402" customFormat="1" ht="7.5" customHeight="1" x14ac:dyDescent="0.25">
      <c r="B103" s="1627"/>
      <c r="C103" s="1105"/>
      <c r="D103" s="1105"/>
      <c r="E103" s="1105"/>
      <c r="F103" s="1105"/>
      <c r="G103" s="1105"/>
      <c r="H103" s="1105"/>
      <c r="I103" s="1105"/>
      <c r="J103" s="1105"/>
      <c r="K103" s="1105"/>
      <c r="L103" s="1105"/>
      <c r="M103" s="1105"/>
      <c r="N103" s="1105"/>
      <c r="O103" s="1105"/>
      <c r="P103" s="1105"/>
      <c r="Q103" s="1105"/>
      <c r="R103" s="1105"/>
      <c r="S103" s="1105"/>
      <c r="T103" s="1105"/>
      <c r="U103" s="1105"/>
      <c r="V103" s="1105"/>
      <c r="W103" s="1628"/>
    </row>
    <row r="104" spans="2:23" s="402" customFormat="1" x14ac:dyDescent="0.25">
      <c r="B104" s="1627"/>
      <c r="C104" s="1105"/>
      <c r="D104" s="1105"/>
      <c r="E104" s="1105"/>
      <c r="F104" s="1105"/>
      <c r="G104" s="1105"/>
      <c r="H104" s="1105"/>
      <c r="I104" s="1105"/>
      <c r="J104" s="1105"/>
      <c r="K104" s="1105"/>
      <c r="L104" s="1105"/>
      <c r="M104" s="1105"/>
      <c r="N104" s="1105"/>
      <c r="O104" s="1105"/>
      <c r="P104" s="1105"/>
      <c r="Q104" s="1105"/>
      <c r="R104" s="1105"/>
      <c r="S104" s="1105"/>
      <c r="T104" s="1105"/>
      <c r="U104" s="1105"/>
      <c r="V104" s="1105"/>
      <c r="W104" s="1628"/>
    </row>
    <row r="105" spans="2:23" s="402" customFormat="1" ht="15.75" thickBot="1" x14ac:dyDescent="0.3">
      <c r="B105" s="1627"/>
      <c r="C105" s="1105" t="s">
        <v>550</v>
      </c>
      <c r="D105" s="1105"/>
      <c r="E105" s="1105"/>
      <c r="F105" s="1105"/>
      <c r="G105" s="1105"/>
      <c r="H105" s="1105"/>
      <c r="I105" s="1105"/>
      <c r="J105" s="1105"/>
      <c r="K105" s="1105"/>
      <c r="L105" s="1105"/>
      <c r="M105" s="1105"/>
      <c r="N105" s="1105"/>
      <c r="O105" s="1105"/>
      <c r="P105" s="1105"/>
      <c r="Q105" s="1105"/>
      <c r="R105" s="1105"/>
      <c r="S105" s="1105"/>
      <c r="T105" s="1105"/>
      <c r="U105" s="1105"/>
      <c r="V105" s="1105"/>
      <c r="W105" s="1628"/>
    </row>
    <row r="106" spans="2:23" s="402" customFormat="1" x14ac:dyDescent="0.25">
      <c r="B106" s="1627"/>
      <c r="C106" s="2462" t="s">
        <v>2070</v>
      </c>
      <c r="D106" s="2463"/>
      <c r="E106" s="2463"/>
      <c r="F106" s="2463"/>
      <c r="G106" s="2463"/>
      <c r="H106" s="2463"/>
      <c r="I106" s="2463"/>
      <c r="J106" s="2463"/>
      <c r="K106" s="2463"/>
      <c r="L106" s="2463"/>
      <c r="M106" s="2463"/>
      <c r="N106" s="2463"/>
      <c r="O106" s="2463"/>
      <c r="P106" s="2463"/>
      <c r="Q106" s="2463"/>
      <c r="R106" s="2463"/>
      <c r="S106" s="2463"/>
      <c r="T106" s="2463"/>
      <c r="U106" s="2463"/>
      <c r="V106" s="2464"/>
      <c r="W106" s="1628"/>
    </row>
    <row r="107" spans="2:23" s="402" customFormat="1" x14ac:dyDescent="0.25">
      <c r="B107" s="1627"/>
      <c r="C107" s="2465"/>
      <c r="D107" s="2466"/>
      <c r="E107" s="2466"/>
      <c r="F107" s="2466"/>
      <c r="G107" s="2466"/>
      <c r="H107" s="2466"/>
      <c r="I107" s="2466"/>
      <c r="J107" s="2466"/>
      <c r="K107" s="2466"/>
      <c r="L107" s="2466"/>
      <c r="M107" s="2466"/>
      <c r="N107" s="2466"/>
      <c r="O107" s="2466"/>
      <c r="P107" s="2466"/>
      <c r="Q107" s="2466"/>
      <c r="R107" s="2466"/>
      <c r="S107" s="2466"/>
      <c r="T107" s="2466"/>
      <c r="U107" s="2466"/>
      <c r="V107" s="2467"/>
      <c r="W107" s="1628"/>
    </row>
    <row r="108" spans="2:23" s="402" customFormat="1" x14ac:dyDescent="0.25">
      <c r="B108" s="1627"/>
      <c r="C108" s="2465"/>
      <c r="D108" s="2466"/>
      <c r="E108" s="2466"/>
      <c r="F108" s="2466"/>
      <c r="G108" s="2466"/>
      <c r="H108" s="2466"/>
      <c r="I108" s="2466"/>
      <c r="J108" s="2466"/>
      <c r="K108" s="2466"/>
      <c r="L108" s="2466"/>
      <c r="M108" s="2466"/>
      <c r="N108" s="2466"/>
      <c r="O108" s="2466"/>
      <c r="P108" s="2466"/>
      <c r="Q108" s="2466"/>
      <c r="R108" s="2466"/>
      <c r="S108" s="2466"/>
      <c r="T108" s="2466"/>
      <c r="U108" s="2466"/>
      <c r="V108" s="2467"/>
      <c r="W108" s="1628"/>
    </row>
    <row r="109" spans="2:23" s="402" customFormat="1" x14ac:dyDescent="0.25">
      <c r="B109" s="1627"/>
      <c r="C109" s="2465"/>
      <c r="D109" s="2466"/>
      <c r="E109" s="2466"/>
      <c r="F109" s="2466"/>
      <c r="G109" s="2466"/>
      <c r="H109" s="2466"/>
      <c r="I109" s="2466"/>
      <c r="J109" s="2466"/>
      <c r="K109" s="2466"/>
      <c r="L109" s="2466"/>
      <c r="M109" s="2466"/>
      <c r="N109" s="2466"/>
      <c r="O109" s="2466"/>
      <c r="P109" s="2466"/>
      <c r="Q109" s="2466"/>
      <c r="R109" s="2466"/>
      <c r="S109" s="2466"/>
      <c r="T109" s="2466"/>
      <c r="U109" s="2466"/>
      <c r="V109" s="2467"/>
      <c r="W109" s="1628"/>
    </row>
    <row r="110" spans="2:23" s="402" customFormat="1" ht="15.75" thickBot="1" x14ac:dyDescent="0.3">
      <c r="B110" s="1627"/>
      <c r="C110" s="2468"/>
      <c r="D110" s="2469"/>
      <c r="E110" s="2469"/>
      <c r="F110" s="2469"/>
      <c r="G110" s="2469"/>
      <c r="H110" s="2469"/>
      <c r="I110" s="2469"/>
      <c r="J110" s="2469"/>
      <c r="K110" s="2469"/>
      <c r="L110" s="2469"/>
      <c r="M110" s="2469"/>
      <c r="N110" s="2469"/>
      <c r="O110" s="2469"/>
      <c r="P110" s="2469"/>
      <c r="Q110" s="2469"/>
      <c r="R110" s="2469"/>
      <c r="S110" s="2469"/>
      <c r="T110" s="2469"/>
      <c r="U110" s="2469"/>
      <c r="V110" s="2470"/>
      <c r="W110" s="1628"/>
    </row>
    <row r="111" spans="2:23" s="402" customFormat="1" ht="15.75" thickBot="1" x14ac:dyDescent="0.3">
      <c r="B111" s="1629"/>
      <c r="C111" s="1630"/>
      <c r="D111" s="1630"/>
      <c r="E111" s="1630"/>
      <c r="F111" s="1630"/>
      <c r="G111" s="1630"/>
      <c r="H111" s="1630"/>
      <c r="I111" s="1630"/>
      <c r="J111" s="1630"/>
      <c r="K111" s="1630"/>
      <c r="L111" s="1630"/>
      <c r="M111" s="1630"/>
      <c r="N111" s="1630"/>
      <c r="O111" s="1630"/>
      <c r="P111" s="1630"/>
      <c r="Q111" s="1630"/>
      <c r="R111" s="1630"/>
      <c r="S111" s="1630"/>
      <c r="T111" s="1630"/>
      <c r="U111" s="1630"/>
      <c r="V111" s="1630"/>
      <c r="W111" s="1631"/>
    </row>
    <row r="112" spans="2:23" s="402" customFormat="1" ht="7.5" customHeight="1" x14ac:dyDescent="0.25"/>
    <row r="113" s="402" customFormat="1" x14ac:dyDescent="0.25"/>
    <row r="114" s="402" customFormat="1" x14ac:dyDescent="0.25"/>
    <row r="115" s="402" customFormat="1" x14ac:dyDescent="0.25"/>
    <row r="116" s="402" customFormat="1" ht="7.5" customHeight="1" x14ac:dyDescent="0.25"/>
    <row r="117" s="402" customFormat="1" x14ac:dyDescent="0.25"/>
    <row r="118" s="402" customFormat="1" ht="7.5" customHeight="1" x14ac:dyDescent="0.25"/>
    <row r="119" s="402" customFormat="1" x14ac:dyDescent="0.25"/>
    <row r="120" s="402" customFormat="1" x14ac:dyDescent="0.25"/>
    <row r="121" s="402" customFormat="1" ht="7.5" customHeight="1" x14ac:dyDescent="0.25"/>
    <row r="122" s="402" customFormat="1" x14ac:dyDescent="0.25"/>
    <row r="123" s="402" customFormat="1" x14ac:dyDescent="0.25"/>
    <row r="124" s="402" customFormat="1" x14ac:dyDescent="0.25"/>
    <row r="125" s="402" customFormat="1" x14ac:dyDescent="0.25"/>
    <row r="126" s="402" customFormat="1" x14ac:dyDescent="0.25"/>
    <row r="127" s="402" customFormat="1" x14ac:dyDescent="0.25"/>
    <row r="128" s="402" customFormat="1" x14ac:dyDescent="0.25"/>
    <row r="129" s="402" customFormat="1" x14ac:dyDescent="0.25"/>
    <row r="130" s="402" customFormat="1" x14ac:dyDescent="0.25"/>
    <row r="131" s="402" customFormat="1" x14ac:dyDescent="0.25"/>
    <row r="132" s="402" customFormat="1" x14ac:dyDescent="0.25"/>
    <row r="133" s="402" customFormat="1" x14ac:dyDescent="0.25"/>
    <row r="134" s="402" customFormat="1" x14ac:dyDescent="0.25"/>
    <row r="135" s="402" customFormat="1" x14ac:dyDescent="0.25"/>
    <row r="136" s="402" customFormat="1" x14ac:dyDescent="0.25"/>
    <row r="137" s="402" customFormat="1" x14ac:dyDescent="0.25"/>
    <row r="138" s="402" customFormat="1" x14ac:dyDescent="0.25"/>
    <row r="139" s="402" customFormat="1" ht="7.5" customHeight="1" x14ac:dyDescent="0.25"/>
    <row r="140" s="402" customFormat="1" x14ac:dyDescent="0.25"/>
    <row r="141" s="402" customFormat="1" x14ac:dyDescent="0.25"/>
    <row r="142" s="402" customFormat="1" ht="9" customHeight="1" x14ac:dyDescent="0.25"/>
  </sheetData>
  <sheetProtection formatCells="0" formatColumns="0" formatRows="0"/>
  <mergeCells count="25">
    <mergeCell ref="C106:V110"/>
    <mergeCell ref="F53:G53"/>
    <mergeCell ref="F54:G54"/>
    <mergeCell ref="F56:G56"/>
    <mergeCell ref="F55:G55"/>
    <mergeCell ref="C53:E53"/>
    <mergeCell ref="C54:E54"/>
    <mergeCell ref="C55:E55"/>
    <mergeCell ref="C56:E56"/>
    <mergeCell ref="C14:V14"/>
    <mergeCell ref="F46:G46"/>
    <mergeCell ref="C45:E45"/>
    <mergeCell ref="C46:E46"/>
    <mergeCell ref="C16:M16"/>
    <mergeCell ref="C28:F28"/>
    <mergeCell ref="C29:F29"/>
    <mergeCell ref="C24:F24"/>
    <mergeCell ref="C25:F25"/>
    <mergeCell ref="F47:G47"/>
    <mergeCell ref="F52:G52"/>
    <mergeCell ref="C47:E47"/>
    <mergeCell ref="E50:G50"/>
    <mergeCell ref="C43:D43"/>
    <mergeCell ref="F44:G44"/>
    <mergeCell ref="F45:G45"/>
  </mergeCells>
  <conditionalFormatting sqref="H50:V50">
    <cfRule type="cellIs" dxfId="16" priority="8" operator="lessThan">
      <formula>0</formula>
    </cfRule>
  </conditionalFormatting>
  <conditionalFormatting sqref="H36:V36 H41:V41 H50:V50 H60:V60 H102:V102">
    <cfRule type="cellIs" dxfId="15" priority="7" operator="lessThan">
      <formula>0</formula>
    </cfRule>
  </conditionalFormatting>
  <conditionalFormatting sqref="G23:G24">
    <cfRule type="cellIs" dxfId="14" priority="6" operator="notEqual">
      <formula>0.025</formula>
    </cfRule>
  </conditionalFormatting>
  <conditionalFormatting sqref="G34">
    <cfRule type="cellIs" dxfId="13" priority="5" operator="notEqual">
      <formula>0.05</formula>
    </cfRule>
  </conditionalFormatting>
  <conditionalFormatting sqref="G35">
    <cfRule type="cellIs" dxfId="12" priority="4" operator="notEqual">
      <formula>0.1</formula>
    </cfRule>
  </conditionalFormatting>
  <conditionalFormatting sqref="F70:F90">
    <cfRule type="cellIs" dxfId="11" priority="3" operator="notEqual">
      <formula>0.035</formula>
    </cfRule>
  </conditionalFormatting>
  <conditionalFormatting sqref="F93:F94">
    <cfRule type="cellIs" dxfId="10" priority="2" operator="notEqual">
      <formula>0.035</formula>
    </cfRule>
  </conditionalFormatting>
  <conditionalFormatting sqref="F97">
    <cfRule type="cellIs" dxfId="9" priority="1" operator="notEqual">
      <formula>0.035</formula>
    </cfRule>
  </conditionalFormatting>
  <pageMargins left="0.25" right="0.25" top="0.75" bottom="0.75" header="0.3" footer="0.3"/>
  <pageSetup paperSize="5" scale="72" fitToHeight="2" orientation="landscape" r:id="rId1"/>
  <headerFooter>
    <oddFooter>&amp;LForm 8D
Operating Pro Forma&amp;CCFA Forms&amp;REdition: 2016
Version: 1.0</oddFooter>
  </headerFooter>
  <rowBreaks count="1" manualBreakCount="1">
    <brk id="61" min="1" max="2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topLeftCell="A21" zoomScaleNormal="100" workbookViewId="0">
      <selection activeCell="I25" sqref="I25"/>
    </sheetView>
  </sheetViews>
  <sheetFormatPr defaultRowHeight="15" x14ac:dyDescent="0.25"/>
  <cols>
    <col min="1" max="2" width="1.7109375" style="406" customWidth="1"/>
    <col min="3" max="3" width="14.28515625" style="406" customWidth="1"/>
    <col min="4" max="4" width="10" style="406" customWidth="1"/>
    <col min="5" max="5" width="74.28515625" style="406" customWidth="1"/>
    <col min="6" max="6" width="1.7109375" style="406" customWidth="1"/>
    <col min="7" max="16384" width="9.140625" style="406"/>
  </cols>
  <sheetData>
    <row r="6" spans="2:6" ht="15.75" thickBot="1" x14ac:dyDescent="0.3"/>
    <row r="7" spans="2:6" ht="9" customHeight="1" x14ac:dyDescent="0.25">
      <c r="B7" s="633"/>
      <c r="C7" s="634"/>
      <c r="D7" s="634"/>
      <c r="E7" s="635"/>
      <c r="F7" s="636"/>
    </row>
    <row r="8" spans="2:6" ht="18.75" x14ac:dyDescent="0.3">
      <c r="B8" s="637"/>
      <c r="C8" s="2270" t="s">
        <v>1529</v>
      </c>
      <c r="D8" s="2270"/>
      <c r="E8" s="2270"/>
      <c r="F8" s="638"/>
    </row>
    <row r="9" spans="2:6" x14ac:dyDescent="0.25">
      <c r="B9" s="637"/>
      <c r="C9" s="1957"/>
      <c r="D9" s="1957"/>
      <c r="E9" s="234"/>
      <c r="F9" s="638"/>
    </row>
    <row r="10" spans="2:6" ht="15.75" thickBot="1" x14ac:dyDescent="0.3">
      <c r="B10" s="637"/>
      <c r="C10" s="2350" t="str">
        <f>IF('1'!G5="","Enter Project Name on Form 1",(CONCATENATE("Project Name: ",'1'!G5)))</f>
        <v>Project Name: Filipino Community Village</v>
      </c>
      <c r="D10" s="2350"/>
      <c r="E10" s="2350"/>
      <c r="F10" s="638"/>
    </row>
    <row r="11" spans="2:6" ht="22.5" customHeight="1" x14ac:dyDescent="0.25">
      <c r="B11" s="637"/>
      <c r="C11" s="292"/>
      <c r="D11" s="292"/>
      <c r="E11" s="429"/>
      <c r="F11" s="638"/>
    </row>
    <row r="12" spans="2:6" x14ac:dyDescent="0.25">
      <c r="B12" s="637"/>
      <c r="C12" s="639" t="s">
        <v>428</v>
      </c>
      <c r="D12" s="639"/>
      <c r="E12" s="234"/>
      <c r="F12" s="638"/>
    </row>
    <row r="13" spans="2:6" ht="15.75" thickBot="1" x14ac:dyDescent="0.3">
      <c r="B13" s="637"/>
      <c r="C13" s="130" t="s">
        <v>429</v>
      </c>
      <c r="D13" s="130"/>
      <c r="E13" s="640"/>
      <c r="F13" s="638"/>
    </row>
    <row r="14" spans="2:6" x14ac:dyDescent="0.25">
      <c r="B14" s="637"/>
      <c r="C14" s="2478" t="s">
        <v>2122</v>
      </c>
      <c r="D14" s="2479"/>
      <c r="E14" s="2480"/>
      <c r="F14" s="638"/>
    </row>
    <row r="15" spans="2:6" x14ac:dyDescent="0.25">
      <c r="B15" s="637"/>
      <c r="C15" s="2481"/>
      <c r="D15" s="2482"/>
      <c r="E15" s="2483"/>
      <c r="F15" s="638"/>
    </row>
    <row r="16" spans="2:6" x14ac:dyDescent="0.25">
      <c r="B16" s="637"/>
      <c r="C16" s="2481"/>
      <c r="D16" s="2482"/>
      <c r="E16" s="2483"/>
      <c r="F16" s="638"/>
    </row>
    <row r="17" spans="1:11" ht="15.75" thickBot="1" x14ac:dyDescent="0.3">
      <c r="B17" s="637"/>
      <c r="C17" s="2484"/>
      <c r="D17" s="2485"/>
      <c r="E17" s="2486"/>
      <c r="F17" s="638"/>
    </row>
    <row r="18" spans="1:11" x14ac:dyDescent="0.25">
      <c r="B18" s="637"/>
      <c r="C18" s="134"/>
      <c r="D18" s="134"/>
      <c r="E18" s="640"/>
      <c r="F18" s="638"/>
    </row>
    <row r="19" spans="1:11" x14ac:dyDescent="0.25">
      <c r="A19" s="403"/>
      <c r="B19" s="637"/>
      <c r="C19" s="639" t="s">
        <v>430</v>
      </c>
      <c r="D19" s="639"/>
      <c r="E19" s="350"/>
      <c r="F19" s="641"/>
      <c r="G19" s="403"/>
      <c r="H19" s="403"/>
      <c r="I19" s="403"/>
      <c r="J19" s="403"/>
      <c r="K19" s="403"/>
    </row>
    <row r="20" spans="1:11" ht="7.5" customHeight="1" x14ac:dyDescent="0.25">
      <c r="A20" s="403"/>
      <c r="B20" s="637"/>
      <c r="C20" s="642"/>
      <c r="D20" s="642"/>
      <c r="E20" s="350"/>
      <c r="F20" s="641"/>
      <c r="G20" s="403"/>
      <c r="H20" s="403"/>
      <c r="I20" s="403"/>
      <c r="J20" s="403"/>
      <c r="K20" s="403"/>
    </row>
    <row r="21" spans="1:11" ht="15.75" thickBot="1" x14ac:dyDescent="0.3">
      <c r="A21" s="403"/>
      <c r="B21" s="637"/>
      <c r="C21" s="265" t="s">
        <v>383</v>
      </c>
      <c r="D21" s="265"/>
      <c r="E21" s="577"/>
      <c r="F21" s="641"/>
      <c r="G21" s="403"/>
      <c r="H21" s="403"/>
      <c r="I21" s="403"/>
      <c r="J21" s="403"/>
      <c r="K21" s="403"/>
    </row>
    <row r="22" spans="1:11" x14ac:dyDescent="0.25">
      <c r="A22" s="403"/>
      <c r="B22" s="637"/>
      <c r="C22" s="291" t="s">
        <v>385</v>
      </c>
      <c r="D22" s="291"/>
      <c r="E22" s="972" t="s">
        <v>2135</v>
      </c>
      <c r="F22" s="641"/>
      <c r="G22" s="403"/>
      <c r="H22" s="403"/>
      <c r="I22" s="403"/>
      <c r="J22" s="403"/>
      <c r="K22" s="403"/>
    </row>
    <row r="23" spans="1:11" x14ac:dyDescent="0.25">
      <c r="A23" s="403"/>
      <c r="B23" s="637"/>
      <c r="C23" s="291" t="s">
        <v>386</v>
      </c>
      <c r="D23" s="291"/>
      <c r="E23" s="973" t="s">
        <v>2123</v>
      </c>
      <c r="F23" s="641"/>
      <c r="G23" s="403"/>
      <c r="H23" s="403"/>
      <c r="I23" s="403"/>
      <c r="J23" s="403"/>
      <c r="K23" s="403"/>
    </row>
    <row r="24" spans="1:11" x14ac:dyDescent="0.25">
      <c r="A24" s="403"/>
      <c r="B24" s="637"/>
      <c r="C24" s="291" t="s">
        <v>387</v>
      </c>
      <c r="D24" s="291"/>
      <c r="E24" s="973" t="s">
        <v>2124</v>
      </c>
      <c r="F24" s="641"/>
      <c r="G24" s="403"/>
      <c r="H24" s="403"/>
      <c r="I24" s="403"/>
      <c r="J24" s="403"/>
      <c r="K24" s="403"/>
    </row>
    <row r="25" spans="1:11" x14ac:dyDescent="0.25">
      <c r="A25" s="403"/>
      <c r="B25" s="637"/>
      <c r="C25" s="291" t="s">
        <v>388</v>
      </c>
      <c r="D25" s="291"/>
      <c r="E25" s="973" t="s">
        <v>2124</v>
      </c>
      <c r="F25" s="641"/>
      <c r="G25" s="403"/>
      <c r="H25" s="403"/>
      <c r="I25" s="403"/>
      <c r="J25" s="403"/>
      <c r="K25" s="403"/>
    </row>
    <row r="26" spans="1:11" x14ac:dyDescent="0.25">
      <c r="A26" s="403"/>
      <c r="B26" s="637"/>
      <c r="C26" s="291" t="s">
        <v>389</v>
      </c>
      <c r="D26" s="291"/>
      <c r="E26" s="973" t="s">
        <v>2125</v>
      </c>
      <c r="F26" s="641"/>
      <c r="G26" s="403"/>
      <c r="H26" s="403"/>
      <c r="I26" s="403"/>
      <c r="J26" s="403"/>
      <c r="K26" s="403"/>
    </row>
    <row r="27" spans="1:11" x14ac:dyDescent="0.25">
      <c r="A27" s="403"/>
      <c r="B27" s="637"/>
      <c r="C27" s="291" t="s">
        <v>390</v>
      </c>
      <c r="D27" s="291"/>
      <c r="E27" s="973" t="s">
        <v>2126</v>
      </c>
      <c r="F27" s="641"/>
      <c r="G27" s="403"/>
      <c r="H27" s="403"/>
      <c r="I27" s="403"/>
      <c r="J27" s="403"/>
      <c r="K27" s="403"/>
    </row>
    <row r="28" spans="1:11" x14ac:dyDescent="0.25">
      <c r="A28" s="403"/>
      <c r="B28" s="637"/>
      <c r="C28" s="291" t="s">
        <v>391</v>
      </c>
      <c r="D28" s="291"/>
      <c r="E28" s="973" t="s">
        <v>2127</v>
      </c>
      <c r="F28" s="641"/>
      <c r="G28" s="403"/>
      <c r="H28" s="403"/>
      <c r="I28" s="403"/>
      <c r="J28" s="403"/>
      <c r="K28" s="403"/>
    </row>
    <row r="29" spans="1:11" x14ac:dyDescent="0.25">
      <c r="A29" s="403"/>
      <c r="B29" s="637"/>
      <c r="C29" s="291" t="s">
        <v>392</v>
      </c>
      <c r="D29" s="291"/>
      <c r="E29" s="973" t="str">
        <f>IF('8D'!H77&lt;&gt;0,"Cost listed on Form 8E. Please provide detail here. (Overwrite this text with your answer)","")</f>
        <v/>
      </c>
      <c r="F29" s="641"/>
      <c r="G29" s="403"/>
      <c r="H29" s="403"/>
      <c r="I29" s="403"/>
      <c r="J29" s="403"/>
      <c r="K29" s="403"/>
    </row>
    <row r="30" spans="1:11" x14ac:dyDescent="0.25">
      <c r="A30" s="403"/>
      <c r="B30" s="637"/>
      <c r="C30" s="291" t="s">
        <v>393</v>
      </c>
      <c r="D30" s="291"/>
      <c r="E30" s="973" t="s">
        <v>2128</v>
      </c>
      <c r="F30" s="641"/>
      <c r="G30" s="403"/>
      <c r="H30" s="403"/>
      <c r="I30" s="403"/>
      <c r="J30" s="403"/>
      <c r="K30" s="403"/>
    </row>
    <row r="31" spans="1:11" x14ac:dyDescent="0.25">
      <c r="A31" s="403"/>
      <c r="B31" s="637"/>
      <c r="C31" s="291" t="s">
        <v>394</v>
      </c>
      <c r="D31" s="291"/>
      <c r="E31" s="973" t="str">
        <f>IF('8D'!H79&lt;&gt;0,"Cost listed on Form 8E. Please provide detail here. (Overwrite this text with your answer)","")</f>
        <v/>
      </c>
      <c r="F31" s="641"/>
      <c r="G31" s="403"/>
      <c r="H31" s="403"/>
      <c r="I31" s="403"/>
      <c r="J31" s="403"/>
      <c r="K31" s="403"/>
    </row>
    <row r="32" spans="1:11" x14ac:dyDescent="0.25">
      <c r="A32" s="403"/>
      <c r="B32" s="637"/>
      <c r="C32" s="291" t="s">
        <v>395</v>
      </c>
      <c r="D32" s="291"/>
      <c r="E32" s="973" t="s">
        <v>2129</v>
      </c>
      <c r="F32" s="641"/>
      <c r="G32" s="403"/>
      <c r="H32" s="403"/>
      <c r="I32" s="403"/>
      <c r="J32" s="403"/>
      <c r="K32" s="403"/>
    </row>
    <row r="33" spans="1:11" x14ac:dyDescent="0.25">
      <c r="A33" s="403"/>
      <c r="B33" s="637"/>
      <c r="C33" s="291" t="s">
        <v>396</v>
      </c>
      <c r="D33" s="291"/>
      <c r="E33" s="973" t="s">
        <v>2130</v>
      </c>
      <c r="F33" s="641"/>
      <c r="G33" s="403"/>
      <c r="H33" s="403"/>
      <c r="I33" s="403"/>
      <c r="J33" s="403"/>
      <c r="K33" s="403"/>
    </row>
    <row r="34" spans="1:11" x14ac:dyDescent="0.25">
      <c r="A34" s="403"/>
      <c r="B34" s="637"/>
      <c r="C34" s="291" t="s">
        <v>397</v>
      </c>
      <c r="D34" s="291"/>
      <c r="E34" s="973" t="s">
        <v>2130</v>
      </c>
      <c r="F34" s="641"/>
      <c r="G34" s="403"/>
      <c r="H34" s="403"/>
      <c r="I34" s="403"/>
      <c r="J34" s="403"/>
      <c r="K34" s="403"/>
    </row>
    <row r="35" spans="1:11" x14ac:dyDescent="0.25">
      <c r="A35" s="403"/>
      <c r="B35" s="637"/>
      <c r="C35" s="291" t="s">
        <v>398</v>
      </c>
      <c r="D35" s="291"/>
      <c r="E35" s="973" t="s">
        <v>2130</v>
      </c>
      <c r="F35" s="641"/>
      <c r="G35" s="403"/>
      <c r="H35" s="403"/>
      <c r="I35" s="403"/>
      <c r="J35" s="403"/>
      <c r="K35" s="403"/>
    </row>
    <row r="36" spans="1:11" x14ac:dyDescent="0.25">
      <c r="A36" s="403"/>
      <c r="B36" s="637"/>
      <c r="C36" s="291" t="s">
        <v>399</v>
      </c>
      <c r="D36" s="291"/>
      <c r="E36" s="973" t="s">
        <v>2130</v>
      </c>
      <c r="F36" s="641"/>
      <c r="G36" s="403"/>
      <c r="H36" s="403"/>
      <c r="I36" s="403"/>
      <c r="J36" s="403"/>
      <c r="K36" s="403"/>
    </row>
    <row r="37" spans="1:11" x14ac:dyDescent="0.25">
      <c r="A37" s="403"/>
      <c r="B37" s="637"/>
      <c r="C37" s="291" t="s">
        <v>400</v>
      </c>
      <c r="D37" s="291"/>
      <c r="E37" s="973" t="s">
        <v>2131</v>
      </c>
      <c r="F37" s="641"/>
      <c r="G37" s="403"/>
      <c r="H37" s="403"/>
      <c r="I37" s="403"/>
      <c r="J37" s="403"/>
      <c r="K37" s="403"/>
    </row>
    <row r="38" spans="1:11" x14ac:dyDescent="0.25">
      <c r="A38" s="403"/>
      <c r="B38" s="637"/>
      <c r="C38" s="291" t="s">
        <v>401</v>
      </c>
      <c r="D38" s="291"/>
      <c r="E38" s="973" t="s">
        <v>2131</v>
      </c>
      <c r="F38" s="641"/>
      <c r="G38" s="403"/>
      <c r="H38" s="403"/>
      <c r="I38" s="403"/>
      <c r="J38" s="403"/>
      <c r="K38" s="403"/>
    </row>
    <row r="39" spans="1:11" x14ac:dyDescent="0.25">
      <c r="A39" s="403"/>
      <c r="B39" s="637"/>
      <c r="C39" s="291" t="s">
        <v>402</v>
      </c>
      <c r="D39" s="291"/>
      <c r="E39" s="973" t="s">
        <v>2131</v>
      </c>
      <c r="F39" s="641"/>
      <c r="G39" s="403"/>
      <c r="H39" s="403"/>
      <c r="I39" s="403"/>
      <c r="J39" s="403"/>
      <c r="K39" s="403"/>
    </row>
    <row r="40" spans="1:11" x14ac:dyDescent="0.25">
      <c r="A40" s="403"/>
      <c r="B40" s="637"/>
      <c r="C40" s="291" t="s">
        <v>403</v>
      </c>
      <c r="D40" s="291"/>
      <c r="E40" s="973" t="s">
        <v>2131</v>
      </c>
      <c r="F40" s="641"/>
      <c r="G40" s="403"/>
      <c r="H40" s="403"/>
      <c r="I40" s="403"/>
      <c r="J40" s="403"/>
      <c r="K40" s="403"/>
    </row>
    <row r="41" spans="1:11" x14ac:dyDescent="0.25">
      <c r="A41" s="403"/>
      <c r="B41" s="637"/>
      <c r="C41" s="291" t="s">
        <v>404</v>
      </c>
      <c r="D41" s="291"/>
      <c r="E41" s="973" t="str">
        <f>IF('8D'!H89&lt;&gt;0,"Cost listed on Form 8E. Please provide detail here. (Overwrite this text with your answer)","")</f>
        <v/>
      </c>
      <c r="F41" s="641"/>
      <c r="G41" s="403"/>
      <c r="H41" s="403"/>
      <c r="I41" s="403"/>
      <c r="J41" s="403"/>
      <c r="K41" s="403"/>
    </row>
    <row r="42" spans="1:11" ht="30" customHeight="1" x14ac:dyDescent="0.25">
      <c r="A42" s="403"/>
      <c r="B42" s="637"/>
      <c r="C42" s="2474" t="s">
        <v>512</v>
      </c>
      <c r="D42" s="2475"/>
      <c r="E42" s="2476" t="s">
        <v>2132</v>
      </c>
      <c r="F42" s="641"/>
      <c r="G42" s="403"/>
      <c r="H42" s="403"/>
      <c r="I42" s="403"/>
      <c r="J42" s="403"/>
      <c r="K42" s="403"/>
    </row>
    <row r="43" spans="1:11" ht="15.75" thickBot="1" x14ac:dyDescent="0.3">
      <c r="A43" s="403"/>
      <c r="B43" s="637"/>
      <c r="C43" s="295"/>
      <c r="D43" s="296"/>
      <c r="E43" s="2477" t="str">
        <f>IF('8D'!H92&lt;&gt;0,"Cost listed on Form 8E. Please provide detail here. (Overwrite this text with your answer)","")</f>
        <v/>
      </c>
      <c r="F43" s="641"/>
      <c r="G43" s="403"/>
      <c r="H43" s="403"/>
      <c r="I43" s="403"/>
      <c r="J43" s="403"/>
      <c r="K43" s="403"/>
    </row>
    <row r="44" spans="1:11" ht="15.75" thickBot="1" x14ac:dyDescent="0.3">
      <c r="A44" s="403"/>
      <c r="B44" s="637"/>
      <c r="C44" s="265" t="s">
        <v>431</v>
      </c>
      <c r="D44" s="265"/>
      <c r="E44" s="297"/>
      <c r="F44" s="641"/>
      <c r="G44" s="403"/>
      <c r="H44" s="403"/>
      <c r="I44" s="403"/>
      <c r="J44" s="403"/>
      <c r="K44" s="403"/>
    </row>
    <row r="45" spans="1:11" x14ac:dyDescent="0.25">
      <c r="A45" s="403"/>
      <c r="B45" s="637"/>
      <c r="C45" s="294" t="s">
        <v>406</v>
      </c>
      <c r="D45" s="294"/>
      <c r="E45" s="972" t="s">
        <v>2133</v>
      </c>
      <c r="F45" s="641"/>
      <c r="G45" s="403"/>
      <c r="H45" s="403"/>
      <c r="I45" s="403"/>
      <c r="J45" s="403"/>
      <c r="K45" s="403"/>
    </row>
    <row r="46" spans="1:11" ht="15.75" thickBot="1" x14ac:dyDescent="0.3">
      <c r="A46" s="403"/>
      <c r="B46" s="637"/>
      <c r="C46" s="294" t="s">
        <v>407</v>
      </c>
      <c r="D46" s="294"/>
      <c r="E46" s="974" t="s">
        <v>2134</v>
      </c>
      <c r="F46" s="641"/>
      <c r="G46" s="403"/>
      <c r="H46" s="403"/>
      <c r="I46" s="403"/>
      <c r="J46" s="403"/>
      <c r="K46" s="403"/>
    </row>
    <row r="47" spans="1:11" ht="15.75" thickBot="1" x14ac:dyDescent="0.3">
      <c r="A47" s="403"/>
      <c r="B47" s="643"/>
      <c r="C47" s="644"/>
      <c r="D47" s="644"/>
      <c r="E47" s="645"/>
      <c r="F47" s="646"/>
      <c r="G47" s="403"/>
      <c r="H47" s="403"/>
      <c r="I47" s="403"/>
      <c r="J47" s="403"/>
      <c r="K47" s="403"/>
    </row>
    <row r="48" spans="1:11" x14ac:dyDescent="0.25">
      <c r="A48" s="403"/>
      <c r="B48" s="403"/>
      <c r="C48" s="403"/>
      <c r="D48" s="403"/>
      <c r="E48" s="403"/>
      <c r="F48" s="403"/>
      <c r="G48" s="403"/>
      <c r="H48" s="403"/>
      <c r="I48" s="403"/>
      <c r="J48" s="403"/>
      <c r="K48" s="403"/>
    </row>
    <row r="49" spans="1:11" x14ac:dyDescent="0.25">
      <c r="A49" s="403"/>
      <c r="B49" s="403"/>
      <c r="C49" s="403"/>
      <c r="D49" s="403"/>
      <c r="E49" s="403"/>
      <c r="F49" s="403"/>
      <c r="G49" s="403"/>
      <c r="H49" s="403"/>
      <c r="I49" s="403"/>
      <c r="J49" s="403"/>
      <c r="K49" s="403"/>
    </row>
    <row r="50" spans="1:11" x14ac:dyDescent="0.25">
      <c r="A50" s="403"/>
      <c r="B50" s="403"/>
      <c r="C50" s="403"/>
      <c r="D50" s="403"/>
      <c r="E50" s="403"/>
      <c r="F50" s="403"/>
      <c r="G50" s="403"/>
      <c r="H50" s="403"/>
      <c r="I50" s="403"/>
      <c r="J50" s="403"/>
      <c r="K50" s="403"/>
    </row>
  </sheetData>
  <sheetProtection algorithmName="SHA-512" hashValue="FYCuoiEcRLLvrcHgQnnYENTemYtTI3WQiaFfkJ8aSgbuZKO0RIJV9qH22f2NZEinhKSK6YEkS/b6l2YBWyvUBA==" saltValue="RJl7XGLrS1+qc3wMxgFYDQ==" spinCount="100000" sheet="1" formatCells="0" formatColumns="0" formatRows="0"/>
  <mergeCells count="5">
    <mergeCell ref="C42:D42"/>
    <mergeCell ref="E42:E43"/>
    <mergeCell ref="C14:E17"/>
    <mergeCell ref="C8:E8"/>
    <mergeCell ref="C10:E10"/>
  </mergeCells>
  <conditionalFormatting sqref="E22:E46">
    <cfRule type="containsText" dxfId="8" priority="1" operator="containsText" text="Cost listed on Form 8E. Please provide detail here. (Overwrite this text with your answer)">
      <formula>NOT(ISERROR(SEARCH("Cost listed on Form 8E. Please provide detail here. (Overwrite this text with your answer)",E22)))</formula>
    </cfRule>
  </conditionalFormatting>
  <pageMargins left="0.7" right="0.7" top="0.75" bottom="0.75" header="0.3" footer="0.3"/>
  <pageSetup scale="88" orientation="portrait" r:id="rId1"/>
  <headerFooter>
    <oddFooter>&amp;LForm 8E
Operating Pro Forma Details&amp;CCFA Forms&amp;REdition: 2016
Version: 1.0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tabSelected="1" zoomScaleNormal="100" workbookViewId="0">
      <selection activeCell="M15" sqref="M15"/>
    </sheetView>
  </sheetViews>
  <sheetFormatPr defaultRowHeight="15" x14ac:dyDescent="0.25"/>
  <cols>
    <col min="1" max="2" width="1.7109375" style="406" customWidth="1"/>
    <col min="3" max="4" width="22.85546875" style="406" customWidth="1"/>
    <col min="5" max="6" width="5.7109375" style="406" customWidth="1"/>
    <col min="7" max="7" width="9.140625" style="406"/>
    <col min="8" max="8" width="22.85546875" style="406" customWidth="1"/>
    <col min="9" max="9" width="1.7109375" style="406" customWidth="1"/>
    <col min="10" max="16384" width="9.140625" style="406"/>
  </cols>
  <sheetData>
    <row r="1" spans="2:9" s="403" customFormat="1" ht="15.75" thickBot="1" x14ac:dyDescent="0.3"/>
    <row r="2" spans="2:9" s="403" customFormat="1" ht="9" customHeight="1" x14ac:dyDescent="0.25">
      <c r="B2" s="647"/>
      <c r="C2" s="648"/>
      <c r="D2" s="648"/>
      <c r="E2" s="648"/>
      <c r="F2" s="648"/>
      <c r="G2" s="648"/>
      <c r="H2" s="648"/>
      <c r="I2" s="649"/>
    </row>
    <row r="3" spans="2:9" s="403" customFormat="1" ht="18.75" x14ac:dyDescent="0.3">
      <c r="B3" s="650"/>
      <c r="C3" s="2270" t="s">
        <v>432</v>
      </c>
      <c r="D3" s="2270"/>
      <c r="E3" s="2270"/>
      <c r="F3" s="2270"/>
      <c r="G3" s="2270"/>
      <c r="H3" s="2270"/>
      <c r="I3" s="651"/>
    </row>
    <row r="4" spans="2:9" s="403" customFormat="1" ht="15" customHeight="1" x14ac:dyDescent="0.25">
      <c r="B4" s="650"/>
      <c r="C4" s="500"/>
      <c r="D4" s="429"/>
      <c r="E4" s="429"/>
      <c r="F4" s="429"/>
      <c r="G4" s="429"/>
      <c r="H4" s="429"/>
      <c r="I4" s="651"/>
    </row>
    <row r="5" spans="2:9" s="403" customFormat="1" ht="15.75" thickBot="1" x14ac:dyDescent="0.3">
      <c r="B5" s="652"/>
      <c r="C5" s="2506" t="str">
        <f>IF('1'!G5="","Enter Project Name on Form 1",(CONCATENATE("Project Name: ",'1'!G5)))</f>
        <v>Project Name: Filipino Community Village</v>
      </c>
      <c r="D5" s="2506"/>
      <c r="E5" s="2506"/>
      <c r="F5" s="2506"/>
      <c r="G5" s="2506"/>
      <c r="H5" s="1984"/>
      <c r="I5" s="653"/>
    </row>
    <row r="6" spans="2:9" s="403" customFormat="1" ht="15" customHeight="1" thickBot="1" x14ac:dyDescent="0.3">
      <c r="B6" s="650"/>
      <c r="C6" s="429"/>
      <c r="D6" s="429"/>
      <c r="E6" s="429"/>
      <c r="F6" s="429"/>
      <c r="G6" s="429"/>
      <c r="H6" s="429"/>
      <c r="I6" s="651"/>
    </row>
    <row r="7" spans="2:9" s="403" customFormat="1" x14ac:dyDescent="0.25">
      <c r="B7" s="650"/>
      <c r="C7" s="2491" t="s">
        <v>433</v>
      </c>
      <c r="D7" s="2492"/>
      <c r="E7" s="2492"/>
      <c r="F7" s="2492"/>
      <c r="G7" s="2492"/>
      <c r="H7" s="2493"/>
      <c r="I7" s="651"/>
    </row>
    <row r="8" spans="2:9" s="403" customFormat="1" x14ac:dyDescent="0.25">
      <c r="B8" s="650"/>
      <c r="C8" s="342" t="s">
        <v>434</v>
      </c>
      <c r="D8" s="2496" t="str">
        <f>IF('1'!G8="","Enter Organization Name on Form 1A",'1'!G8)</f>
        <v>Beacon Communities, Inc. (dba HumanGood)</v>
      </c>
      <c r="E8" s="2496"/>
      <c r="F8" s="2496"/>
      <c r="G8" s="2496"/>
      <c r="H8" s="2507"/>
      <c r="I8" s="651"/>
    </row>
    <row r="9" spans="2:9" s="403" customFormat="1" x14ac:dyDescent="0.25">
      <c r="B9" s="650"/>
      <c r="C9" s="342" t="s">
        <v>435</v>
      </c>
      <c r="D9" s="2487" t="s">
        <v>1891</v>
      </c>
      <c r="E9" s="2487"/>
      <c r="F9" s="2487"/>
      <c r="G9" s="2487"/>
      <c r="H9" s="2488"/>
      <c r="I9" s="651"/>
    </row>
    <row r="10" spans="2:9" s="403" customFormat="1" x14ac:dyDescent="0.25">
      <c r="B10" s="650"/>
      <c r="C10" s="342" t="s">
        <v>13</v>
      </c>
      <c r="D10" s="1981" t="s">
        <v>1892</v>
      </c>
      <c r="E10" s="429" t="s">
        <v>436</v>
      </c>
      <c r="F10" s="1977" t="s">
        <v>1893</v>
      </c>
      <c r="G10" s="429" t="s">
        <v>437</v>
      </c>
      <c r="H10" s="1982">
        <v>94588</v>
      </c>
      <c r="I10" s="651"/>
    </row>
    <row r="11" spans="2:9" s="403" customFormat="1" x14ac:dyDescent="0.25">
      <c r="B11" s="650"/>
      <c r="C11" s="342" t="s">
        <v>438</v>
      </c>
      <c r="D11" s="2489" t="s">
        <v>2064</v>
      </c>
      <c r="E11" s="2489"/>
      <c r="F11" s="2489"/>
      <c r="G11" s="2489"/>
      <c r="H11" s="2490"/>
      <c r="I11" s="651"/>
    </row>
    <row r="12" spans="2:9" s="403" customFormat="1" x14ac:dyDescent="0.25">
      <c r="B12" s="650"/>
      <c r="C12" s="351" t="s">
        <v>439</v>
      </c>
      <c r="D12" s="2494"/>
      <c r="E12" s="2494"/>
      <c r="F12" s="2494"/>
      <c r="G12" s="2494"/>
      <c r="H12" s="2495"/>
      <c r="I12" s="651"/>
    </row>
    <row r="13" spans="2:9" x14ac:dyDescent="0.25">
      <c r="B13" s="654"/>
      <c r="C13" s="298"/>
      <c r="D13" s="299"/>
      <c r="E13" s="300"/>
      <c r="F13" s="300"/>
      <c r="G13" s="300"/>
      <c r="H13" s="301"/>
      <c r="I13" s="655"/>
    </row>
    <row r="14" spans="2:9" s="403" customFormat="1" ht="26.25" x14ac:dyDescent="0.25">
      <c r="B14" s="650"/>
      <c r="C14" s="341" t="s">
        <v>440</v>
      </c>
      <c r="D14" s="2489" t="s">
        <v>1894</v>
      </c>
      <c r="E14" s="2489"/>
      <c r="F14" s="2489"/>
      <c r="G14" s="2489"/>
      <c r="H14" s="2490"/>
      <c r="I14" s="651"/>
    </row>
    <row r="15" spans="2:9" s="403" customFormat="1" x14ac:dyDescent="0.25">
      <c r="B15" s="650"/>
      <c r="C15" s="342" t="s">
        <v>4</v>
      </c>
      <c r="D15" s="2159" t="s">
        <v>1897</v>
      </c>
      <c r="E15" s="2159"/>
      <c r="F15" s="2159"/>
      <c r="G15" s="217" t="s">
        <v>441</v>
      </c>
      <c r="H15" s="1982"/>
      <c r="I15" s="651"/>
    </row>
    <row r="16" spans="2:9" s="403" customFormat="1" x14ac:dyDescent="0.25">
      <c r="B16" s="650"/>
      <c r="C16" s="342" t="s">
        <v>5</v>
      </c>
      <c r="D16" s="2489" t="s">
        <v>1898</v>
      </c>
      <c r="E16" s="2489"/>
      <c r="F16" s="2489"/>
      <c r="G16" s="2489"/>
      <c r="H16" s="2490"/>
      <c r="I16" s="651"/>
    </row>
    <row r="17" spans="2:9" s="403" customFormat="1" x14ac:dyDescent="0.25">
      <c r="B17" s="650"/>
      <c r="C17" s="343" t="s">
        <v>442</v>
      </c>
      <c r="D17" s="2501" t="str">
        <f>IF('1'!G10="","Enter Contact Name on Form 1A",'1'!G10)</f>
        <v>Brian Lloyd</v>
      </c>
      <c r="E17" s="2501"/>
      <c r="F17" s="2501"/>
      <c r="G17" s="2501"/>
      <c r="H17" s="2502"/>
      <c r="I17" s="651"/>
    </row>
    <row r="18" spans="2:9" s="403" customFormat="1" x14ac:dyDescent="0.25">
      <c r="B18" s="650"/>
      <c r="C18" s="342" t="s">
        <v>4</v>
      </c>
      <c r="D18" s="2505" t="str">
        <f>IF('1'!G12="","Enter Phone Number on Form 1A",'1'!G12)</f>
        <v>206.204.1966</v>
      </c>
      <c r="E18" s="2505"/>
      <c r="F18" s="2505"/>
      <c r="G18" s="217" t="s">
        <v>441</v>
      </c>
      <c r="H18" s="1982"/>
      <c r="I18" s="651"/>
    </row>
    <row r="19" spans="2:9" s="403" customFormat="1" x14ac:dyDescent="0.25">
      <c r="B19" s="650"/>
      <c r="C19" s="342" t="s">
        <v>5</v>
      </c>
      <c r="D19" s="2503" t="str">
        <f>IF('1'!J12="","Enter Email on Form 1A",'1'!J12)</f>
        <v>brianl@beacondevgroup.com</v>
      </c>
      <c r="E19" s="2503"/>
      <c r="F19" s="2503"/>
      <c r="G19" s="2503"/>
      <c r="H19" s="2504"/>
      <c r="I19" s="651"/>
    </row>
    <row r="20" spans="2:9" s="403" customFormat="1" ht="15.75" thickBot="1" x14ac:dyDescent="0.3">
      <c r="B20" s="650"/>
      <c r="C20" s="344"/>
      <c r="D20" s="347"/>
      <c r="E20" s="347"/>
      <c r="F20" s="347"/>
      <c r="G20" s="347"/>
      <c r="H20" s="348"/>
      <c r="I20" s="651"/>
    </row>
    <row r="21" spans="2:9" s="403" customFormat="1" ht="7.5" customHeight="1" thickBot="1" x14ac:dyDescent="0.3">
      <c r="B21" s="650"/>
      <c r="C21" s="429"/>
      <c r="D21" s="429"/>
      <c r="E21" s="429"/>
      <c r="F21" s="429"/>
      <c r="G21" s="429"/>
      <c r="H21" s="429"/>
      <c r="I21" s="651"/>
    </row>
    <row r="22" spans="2:9" s="403" customFormat="1" x14ac:dyDescent="0.25">
      <c r="B22" s="650"/>
      <c r="C22" s="2491" t="s">
        <v>443</v>
      </c>
      <c r="D22" s="2492"/>
      <c r="E22" s="2492"/>
      <c r="F22" s="2492"/>
      <c r="G22" s="2492"/>
      <c r="H22" s="2493"/>
      <c r="I22" s="651"/>
    </row>
    <row r="23" spans="2:9" s="403" customFormat="1" x14ac:dyDescent="0.25">
      <c r="B23" s="650"/>
      <c r="C23" s="342" t="s">
        <v>434</v>
      </c>
      <c r="D23" s="2503" t="str">
        <f>IF('1'!G15="","Enter Firm Name on Form 1A, if applicable",'1'!G15)</f>
        <v>Beacon Development Group</v>
      </c>
      <c r="E23" s="2503"/>
      <c r="F23" s="2503"/>
      <c r="G23" s="2503"/>
      <c r="H23" s="2504"/>
      <c r="I23" s="651"/>
    </row>
    <row r="24" spans="2:9" s="403" customFormat="1" x14ac:dyDescent="0.25">
      <c r="B24" s="650"/>
      <c r="C24" s="343" t="s">
        <v>442</v>
      </c>
      <c r="D24" s="2501" t="str">
        <f>IF('1'!G17="","Enter Contact Name on Form 1A",'1'!G17)</f>
        <v>Chris Moxon</v>
      </c>
      <c r="E24" s="2501"/>
      <c r="F24" s="2501"/>
      <c r="G24" s="2501"/>
      <c r="H24" s="2502"/>
      <c r="I24" s="651"/>
    </row>
    <row r="25" spans="2:9" s="403" customFormat="1" x14ac:dyDescent="0.25">
      <c r="B25" s="650"/>
      <c r="C25" s="342" t="s">
        <v>435</v>
      </c>
      <c r="D25" s="2487" t="s">
        <v>1895</v>
      </c>
      <c r="E25" s="2487"/>
      <c r="F25" s="2487"/>
      <c r="G25" s="2487"/>
      <c r="H25" s="2488"/>
      <c r="I25" s="651"/>
    </row>
    <row r="26" spans="2:9" s="403" customFormat="1" x14ac:dyDescent="0.25">
      <c r="B26" s="650"/>
      <c r="C26" s="342" t="s">
        <v>13</v>
      </c>
      <c r="D26" s="1981" t="s">
        <v>1862</v>
      </c>
      <c r="E26" s="429" t="s">
        <v>436</v>
      </c>
      <c r="F26" s="1977" t="s">
        <v>1896</v>
      </c>
      <c r="G26" s="429" t="s">
        <v>437</v>
      </c>
      <c r="H26" s="345">
        <v>98144</v>
      </c>
      <c r="I26" s="651"/>
    </row>
    <row r="27" spans="2:9" s="403" customFormat="1" x14ac:dyDescent="0.25">
      <c r="B27" s="650"/>
      <c r="C27" s="342" t="s">
        <v>4</v>
      </c>
      <c r="D27" s="2503" t="str">
        <f>IF('1'!G19="","Enter Phone Number on Form 1A",'1'!G19)</f>
        <v>206.204.1963</v>
      </c>
      <c r="E27" s="2503"/>
      <c r="F27" s="217" t="s">
        <v>441</v>
      </c>
      <c r="G27" s="2159"/>
      <c r="H27" s="2500"/>
      <c r="I27" s="651"/>
    </row>
    <row r="28" spans="2:9" s="403" customFormat="1" x14ac:dyDescent="0.25">
      <c r="B28" s="650"/>
      <c r="C28" s="342" t="s">
        <v>5</v>
      </c>
      <c r="D28" s="2503" t="str">
        <f>IF('1'!J19="","Enter Email on Form 1A",'1'!J19)</f>
        <v>chrism@beacondevgroup.com</v>
      </c>
      <c r="E28" s="2503"/>
      <c r="F28" s="2503"/>
      <c r="G28" s="2503"/>
      <c r="H28" s="2504"/>
      <c r="I28" s="651"/>
    </row>
    <row r="29" spans="2:9" s="403" customFormat="1" ht="15.75" thickBot="1" x14ac:dyDescent="0.3">
      <c r="B29" s="650"/>
      <c r="C29" s="344"/>
      <c r="D29" s="347"/>
      <c r="E29" s="347"/>
      <c r="F29" s="347"/>
      <c r="G29" s="347"/>
      <c r="H29" s="348"/>
      <c r="I29" s="651"/>
    </row>
    <row r="30" spans="2:9" s="403" customFormat="1" ht="7.5" customHeight="1" thickBot="1" x14ac:dyDescent="0.3">
      <c r="B30" s="650"/>
      <c r="C30" s="346"/>
      <c r="D30" s="429"/>
      <c r="E30" s="429"/>
      <c r="F30" s="429"/>
      <c r="G30" s="429"/>
      <c r="H30" s="429"/>
      <c r="I30" s="651"/>
    </row>
    <row r="31" spans="2:9" s="403" customFormat="1" x14ac:dyDescent="0.25">
      <c r="B31" s="650"/>
      <c r="C31" s="2491" t="s">
        <v>180</v>
      </c>
      <c r="D31" s="2492"/>
      <c r="E31" s="2492"/>
      <c r="F31" s="2492"/>
      <c r="G31" s="2492"/>
      <c r="H31" s="2493"/>
      <c r="I31" s="651"/>
    </row>
    <row r="32" spans="2:9" s="403" customFormat="1" x14ac:dyDescent="0.25">
      <c r="B32" s="650"/>
      <c r="C32" s="342" t="s">
        <v>434</v>
      </c>
      <c r="D32" s="2489" t="s">
        <v>1899</v>
      </c>
      <c r="E32" s="2489"/>
      <c r="F32" s="2489"/>
      <c r="G32" s="2489"/>
      <c r="H32" s="2490"/>
      <c r="I32" s="651"/>
    </row>
    <row r="33" spans="2:9" s="403" customFormat="1" x14ac:dyDescent="0.25">
      <c r="B33" s="650"/>
      <c r="C33" s="343" t="s">
        <v>442</v>
      </c>
      <c r="D33" s="2487" t="s">
        <v>1900</v>
      </c>
      <c r="E33" s="2487"/>
      <c r="F33" s="2487"/>
      <c r="G33" s="2487"/>
      <c r="H33" s="2488"/>
      <c r="I33" s="651"/>
    </row>
    <row r="34" spans="2:9" s="403" customFormat="1" x14ac:dyDescent="0.25">
      <c r="B34" s="650"/>
      <c r="C34" s="342" t="s">
        <v>4</v>
      </c>
      <c r="D34" s="1980" t="s">
        <v>1901</v>
      </c>
      <c r="E34" s="429" t="s">
        <v>5</v>
      </c>
      <c r="F34" s="2489" t="s">
        <v>1902</v>
      </c>
      <c r="G34" s="2489"/>
      <c r="H34" s="2490"/>
      <c r="I34" s="651"/>
    </row>
    <row r="35" spans="2:9" s="403" customFormat="1" ht="15.75" thickBot="1" x14ac:dyDescent="0.3">
      <c r="B35" s="650"/>
      <c r="C35" s="344"/>
      <c r="D35" s="347"/>
      <c r="E35" s="347"/>
      <c r="F35" s="347"/>
      <c r="G35" s="347"/>
      <c r="H35" s="348"/>
      <c r="I35" s="651"/>
    </row>
    <row r="36" spans="2:9" s="403" customFormat="1" ht="7.5" customHeight="1" thickBot="1" x14ac:dyDescent="0.3">
      <c r="B36" s="650"/>
      <c r="C36" s="429"/>
      <c r="D36" s="429"/>
      <c r="E36" s="429"/>
      <c r="F36" s="429"/>
      <c r="G36" s="429"/>
      <c r="H36" s="429"/>
      <c r="I36" s="651"/>
    </row>
    <row r="37" spans="2:9" s="403" customFormat="1" x14ac:dyDescent="0.25">
      <c r="B37" s="650"/>
      <c r="C37" s="2491" t="s">
        <v>444</v>
      </c>
      <c r="D37" s="2492"/>
      <c r="E37" s="2492"/>
      <c r="F37" s="2492"/>
      <c r="G37" s="2492"/>
      <c r="H37" s="2493"/>
      <c r="I37" s="651"/>
    </row>
    <row r="38" spans="2:9" s="403" customFormat="1" x14ac:dyDescent="0.25">
      <c r="B38" s="650"/>
      <c r="C38" s="342" t="s">
        <v>434</v>
      </c>
      <c r="D38" s="2489" t="s">
        <v>1903</v>
      </c>
      <c r="E38" s="2489"/>
      <c r="F38" s="2489"/>
      <c r="G38" s="2489"/>
      <c r="H38" s="2490"/>
      <c r="I38" s="651"/>
    </row>
    <row r="39" spans="2:9" s="403" customFormat="1" x14ac:dyDescent="0.25">
      <c r="B39" s="650"/>
      <c r="C39" s="343" t="s">
        <v>442</v>
      </c>
      <c r="D39" s="2487" t="s">
        <v>1904</v>
      </c>
      <c r="E39" s="2487"/>
      <c r="F39" s="2487"/>
      <c r="G39" s="2487"/>
      <c r="H39" s="2488"/>
      <c r="I39" s="651"/>
    </row>
    <row r="40" spans="2:9" s="403" customFormat="1" x14ac:dyDescent="0.25">
      <c r="B40" s="650"/>
      <c r="C40" s="342" t="s">
        <v>4</v>
      </c>
      <c r="D40" s="1980" t="s">
        <v>1905</v>
      </c>
      <c r="E40" s="429" t="s">
        <v>5</v>
      </c>
      <c r="F40" s="2489"/>
      <c r="G40" s="2489"/>
      <c r="H40" s="2490"/>
      <c r="I40" s="651"/>
    </row>
    <row r="41" spans="2:9" s="403" customFormat="1" ht="15.75" thickBot="1" x14ac:dyDescent="0.3">
      <c r="B41" s="650"/>
      <c r="C41" s="344"/>
      <c r="D41" s="347"/>
      <c r="E41" s="347"/>
      <c r="F41" s="347"/>
      <c r="G41" s="347"/>
      <c r="H41" s="348"/>
      <c r="I41" s="651"/>
    </row>
    <row r="42" spans="2:9" s="403" customFormat="1" ht="9" customHeight="1" thickBot="1" x14ac:dyDescent="0.3">
      <c r="B42" s="650"/>
      <c r="C42" s="349"/>
      <c r="D42" s="349"/>
      <c r="E42" s="349"/>
      <c r="F42" s="349"/>
      <c r="G42" s="349"/>
      <c r="H42" s="349"/>
      <c r="I42" s="651"/>
    </row>
    <row r="43" spans="2:9" s="403" customFormat="1" x14ac:dyDescent="0.25">
      <c r="B43" s="650"/>
      <c r="C43" s="2491" t="s">
        <v>445</v>
      </c>
      <c r="D43" s="2499"/>
      <c r="E43" s="2499"/>
      <c r="F43" s="2499"/>
      <c r="G43" s="2499"/>
      <c r="H43" s="2493"/>
      <c r="I43" s="651"/>
    </row>
    <row r="44" spans="2:9" s="403" customFormat="1" x14ac:dyDescent="0.25">
      <c r="B44" s="650"/>
      <c r="C44" s="342" t="s">
        <v>434</v>
      </c>
      <c r="D44" s="2489" t="s">
        <v>1906</v>
      </c>
      <c r="E44" s="2489"/>
      <c r="F44" s="2489"/>
      <c r="G44" s="2489"/>
      <c r="H44" s="2490"/>
      <c r="I44" s="651"/>
    </row>
    <row r="45" spans="2:9" s="403" customFormat="1" x14ac:dyDescent="0.25">
      <c r="B45" s="650"/>
      <c r="C45" s="343" t="s">
        <v>442</v>
      </c>
      <c r="D45" s="2497" t="s">
        <v>1907</v>
      </c>
      <c r="E45" s="2497"/>
      <c r="F45" s="2497"/>
      <c r="G45" s="2497"/>
      <c r="H45" s="2498"/>
      <c r="I45" s="651"/>
    </row>
    <row r="46" spans="2:9" s="403" customFormat="1" x14ac:dyDescent="0.25">
      <c r="B46" s="650"/>
      <c r="C46" s="342" t="s">
        <v>4</v>
      </c>
      <c r="D46" s="1983" t="s">
        <v>1908</v>
      </c>
      <c r="E46" s="429" t="s">
        <v>5</v>
      </c>
      <c r="F46" s="2489" t="s">
        <v>1909</v>
      </c>
      <c r="G46" s="2489"/>
      <c r="H46" s="2490"/>
      <c r="I46" s="651"/>
    </row>
    <row r="47" spans="2:9" s="403" customFormat="1" ht="15.75" thickBot="1" x14ac:dyDescent="0.3">
      <c r="B47" s="650"/>
      <c r="C47" s="344"/>
      <c r="D47" s="363"/>
      <c r="E47" s="363"/>
      <c r="F47" s="363"/>
      <c r="G47" s="363"/>
      <c r="H47" s="364"/>
      <c r="I47" s="651"/>
    </row>
    <row r="48" spans="2:9" s="403" customFormat="1" ht="7.5" customHeight="1" thickBot="1" x14ac:dyDescent="0.3">
      <c r="B48" s="631"/>
      <c r="C48" s="349"/>
      <c r="D48" s="349"/>
      <c r="E48" s="349"/>
      <c r="F48" s="349"/>
      <c r="G48" s="349"/>
      <c r="H48" s="349"/>
      <c r="I48" s="632"/>
    </row>
    <row r="49" spans="2:9" s="403" customFormat="1" ht="9" customHeight="1" x14ac:dyDescent="0.25">
      <c r="B49" s="647"/>
      <c r="C49" s="648"/>
      <c r="D49" s="648"/>
      <c r="E49" s="648"/>
      <c r="F49" s="648"/>
      <c r="G49" s="648"/>
      <c r="H49" s="648"/>
      <c r="I49" s="649"/>
    </row>
    <row r="50" spans="2:9" s="403" customFormat="1" ht="18.75" x14ac:dyDescent="0.3">
      <c r="B50" s="650"/>
      <c r="C50" s="2270" t="s">
        <v>538</v>
      </c>
      <c r="D50" s="2270"/>
      <c r="E50" s="2270"/>
      <c r="F50" s="2270"/>
      <c r="G50" s="2270"/>
      <c r="H50" s="2270"/>
      <c r="I50" s="651"/>
    </row>
    <row r="51" spans="2:9" s="403" customFormat="1" ht="15" customHeight="1" x14ac:dyDescent="0.25">
      <c r="B51" s="650"/>
      <c r="C51" s="500"/>
      <c r="D51" s="429"/>
      <c r="E51" s="429"/>
      <c r="F51" s="429"/>
      <c r="G51" s="429"/>
      <c r="H51" s="429"/>
      <c r="I51" s="651"/>
    </row>
    <row r="52" spans="2:9" s="403" customFormat="1" x14ac:dyDescent="0.25">
      <c r="B52" s="652"/>
      <c r="C52" s="384" t="s">
        <v>0</v>
      </c>
      <c r="D52" s="2496" t="str">
        <f>IF('1'!G5="","Enter Project Name on Form 1A",'1'!G5)</f>
        <v>Filipino Community Village</v>
      </c>
      <c r="E52" s="2496"/>
      <c r="F52" s="2496"/>
      <c r="G52" s="2496"/>
      <c r="H52" s="2496"/>
      <c r="I52" s="653"/>
    </row>
    <row r="53" spans="2:9" s="403" customFormat="1" ht="15" customHeight="1" thickBot="1" x14ac:dyDescent="0.3">
      <c r="B53" s="650"/>
      <c r="C53" s="429"/>
      <c r="D53" s="429"/>
      <c r="E53" s="429"/>
      <c r="F53" s="429"/>
      <c r="G53" s="429"/>
      <c r="H53" s="429"/>
      <c r="I53" s="651"/>
    </row>
    <row r="54" spans="2:9" s="403" customFormat="1" x14ac:dyDescent="0.25">
      <c r="B54" s="650"/>
      <c r="C54" s="2491" t="s">
        <v>446</v>
      </c>
      <c r="D54" s="2492"/>
      <c r="E54" s="2492"/>
      <c r="F54" s="2492"/>
      <c r="G54" s="2492"/>
      <c r="H54" s="2493"/>
      <c r="I54" s="651"/>
    </row>
    <row r="55" spans="2:9" s="403" customFormat="1" x14ac:dyDescent="0.25">
      <c r="B55" s="650"/>
      <c r="C55" s="342" t="s">
        <v>434</v>
      </c>
      <c r="D55" s="2489" t="s">
        <v>1864</v>
      </c>
      <c r="E55" s="2489"/>
      <c r="F55" s="2489"/>
      <c r="G55" s="2489"/>
      <c r="H55" s="2490"/>
      <c r="I55" s="651"/>
    </row>
    <row r="56" spans="2:9" s="403" customFormat="1" x14ac:dyDescent="0.25">
      <c r="B56" s="650"/>
      <c r="C56" s="343" t="s">
        <v>442</v>
      </c>
      <c r="D56" s="2487" t="s">
        <v>1910</v>
      </c>
      <c r="E56" s="2487"/>
      <c r="F56" s="2487"/>
      <c r="G56" s="2487"/>
      <c r="H56" s="2488"/>
      <c r="I56" s="651"/>
    </row>
    <row r="57" spans="2:9" s="403" customFormat="1" x14ac:dyDescent="0.25">
      <c r="B57" s="650"/>
      <c r="C57" s="342" t="s">
        <v>435</v>
      </c>
      <c r="D57" s="2487" t="s">
        <v>1891</v>
      </c>
      <c r="E57" s="2487"/>
      <c r="F57" s="2487"/>
      <c r="G57" s="2487"/>
      <c r="H57" s="2488"/>
      <c r="I57" s="651"/>
    </row>
    <row r="58" spans="2:9" s="403" customFormat="1" x14ac:dyDescent="0.25">
      <c r="B58" s="650"/>
      <c r="C58" s="342" t="s">
        <v>13</v>
      </c>
      <c r="D58" s="1981" t="s">
        <v>1892</v>
      </c>
      <c r="E58" s="429" t="s">
        <v>436</v>
      </c>
      <c r="F58" s="1977" t="s">
        <v>1893</v>
      </c>
      <c r="G58" s="429" t="s">
        <v>437</v>
      </c>
      <c r="H58" s="1982">
        <v>94588</v>
      </c>
      <c r="I58" s="651"/>
    </row>
    <row r="59" spans="2:9" s="403" customFormat="1" x14ac:dyDescent="0.25">
      <c r="B59" s="650"/>
      <c r="C59" s="342" t="s">
        <v>4</v>
      </c>
      <c r="D59" s="1980" t="s">
        <v>1911</v>
      </c>
      <c r="E59" s="429" t="s">
        <v>5</v>
      </c>
      <c r="F59" s="2489" t="s">
        <v>1912</v>
      </c>
      <c r="G59" s="2489"/>
      <c r="H59" s="2490"/>
      <c r="I59" s="651"/>
    </row>
    <row r="60" spans="2:9" s="403" customFormat="1" ht="15.75" thickBot="1" x14ac:dyDescent="0.3">
      <c r="B60" s="652"/>
      <c r="C60" s="344"/>
      <c r="D60" s="347"/>
      <c r="E60" s="347"/>
      <c r="F60" s="347"/>
      <c r="G60" s="347"/>
      <c r="H60" s="348"/>
      <c r="I60" s="653"/>
    </row>
    <row r="61" spans="2:9" s="403" customFormat="1" ht="7.5" customHeight="1" thickBot="1" x14ac:dyDescent="0.3">
      <c r="B61" s="650"/>
      <c r="C61" s="350"/>
      <c r="D61" s="1978"/>
      <c r="E61" s="1978"/>
      <c r="F61" s="1978"/>
      <c r="G61" s="1978"/>
      <c r="H61" s="350"/>
      <c r="I61" s="651"/>
    </row>
    <row r="62" spans="2:9" s="403" customFormat="1" x14ac:dyDescent="0.25">
      <c r="B62" s="650"/>
      <c r="C62" s="2491" t="s">
        <v>447</v>
      </c>
      <c r="D62" s="2492"/>
      <c r="E62" s="2492"/>
      <c r="F62" s="2492"/>
      <c r="G62" s="2492"/>
      <c r="H62" s="2493"/>
      <c r="I62" s="651"/>
    </row>
    <row r="63" spans="2:9" s="403" customFormat="1" x14ac:dyDescent="0.25">
      <c r="B63" s="650"/>
      <c r="C63" s="342" t="s">
        <v>434</v>
      </c>
      <c r="D63" s="2489" t="s">
        <v>1913</v>
      </c>
      <c r="E63" s="2489"/>
      <c r="F63" s="2489"/>
      <c r="G63" s="2489"/>
      <c r="H63" s="2490"/>
      <c r="I63" s="651"/>
    </row>
    <row r="64" spans="2:9" s="403" customFormat="1" x14ac:dyDescent="0.25">
      <c r="B64" s="650"/>
      <c r="C64" s="343" t="s">
        <v>442</v>
      </c>
      <c r="D64" s="2487"/>
      <c r="E64" s="2487"/>
      <c r="F64" s="2487"/>
      <c r="G64" s="2487"/>
      <c r="H64" s="2488"/>
      <c r="I64" s="651"/>
    </row>
    <row r="65" spans="2:9" s="403" customFormat="1" x14ac:dyDescent="0.25">
      <c r="B65" s="650"/>
      <c r="C65" s="342" t="s">
        <v>4</v>
      </c>
      <c r="D65" s="1980"/>
      <c r="E65" s="429" t="s">
        <v>5</v>
      </c>
      <c r="F65" s="2489"/>
      <c r="G65" s="2489"/>
      <c r="H65" s="2490"/>
      <c r="I65" s="651"/>
    </row>
    <row r="66" spans="2:9" s="403" customFormat="1" ht="15.75" thickBot="1" x14ac:dyDescent="0.3">
      <c r="B66" s="650"/>
      <c r="C66" s="344"/>
      <c r="D66" s="347"/>
      <c r="E66" s="347"/>
      <c r="F66" s="347"/>
      <c r="G66" s="347"/>
      <c r="H66" s="348"/>
      <c r="I66" s="651"/>
    </row>
    <row r="67" spans="2:9" s="403" customFormat="1" ht="7.5" customHeight="1" thickBot="1" x14ac:dyDescent="0.3">
      <c r="B67" s="650"/>
      <c r="C67" s="429"/>
      <c r="D67" s="429"/>
      <c r="E67" s="429"/>
      <c r="F67" s="429"/>
      <c r="G67" s="429"/>
      <c r="H67" s="429"/>
      <c r="I67" s="651"/>
    </row>
    <row r="68" spans="2:9" s="403" customFormat="1" x14ac:dyDescent="0.25">
      <c r="B68" s="650"/>
      <c r="C68" s="2491" t="s">
        <v>448</v>
      </c>
      <c r="D68" s="2492"/>
      <c r="E68" s="2492"/>
      <c r="F68" s="2492"/>
      <c r="G68" s="2492"/>
      <c r="H68" s="2493"/>
      <c r="I68" s="651"/>
    </row>
    <row r="69" spans="2:9" s="403" customFormat="1" x14ac:dyDescent="0.25">
      <c r="B69" s="650"/>
      <c r="C69" s="342" t="s">
        <v>434</v>
      </c>
      <c r="D69" s="2489" t="s">
        <v>1899</v>
      </c>
      <c r="E69" s="2489"/>
      <c r="F69" s="2489"/>
      <c r="G69" s="2489"/>
      <c r="H69" s="2490"/>
      <c r="I69" s="651"/>
    </row>
    <row r="70" spans="2:9" s="403" customFormat="1" x14ac:dyDescent="0.25">
      <c r="B70" s="650"/>
      <c r="C70" s="343" t="s">
        <v>442</v>
      </c>
      <c r="D70" s="2487" t="s">
        <v>1914</v>
      </c>
      <c r="E70" s="2487"/>
      <c r="F70" s="2487"/>
      <c r="G70" s="2487"/>
      <c r="H70" s="2488"/>
      <c r="I70" s="651"/>
    </row>
    <row r="71" spans="2:9" s="403" customFormat="1" x14ac:dyDescent="0.25">
      <c r="B71" s="650"/>
      <c r="C71" s="342" t="s">
        <v>4</v>
      </c>
      <c r="D71" s="2116" t="s">
        <v>1901</v>
      </c>
      <c r="E71" s="429" t="s">
        <v>5</v>
      </c>
      <c r="F71" s="2489" t="s">
        <v>1902</v>
      </c>
      <c r="G71" s="2489"/>
      <c r="H71" s="2490"/>
      <c r="I71" s="651"/>
    </row>
    <row r="72" spans="2:9" s="403" customFormat="1" ht="15.75" thickBot="1" x14ac:dyDescent="0.3">
      <c r="B72" s="650"/>
      <c r="C72" s="344"/>
      <c r="D72" s="347"/>
      <c r="E72" s="347"/>
      <c r="F72" s="347"/>
      <c r="G72" s="347"/>
      <c r="H72" s="348"/>
      <c r="I72" s="651"/>
    </row>
    <row r="73" spans="2:9" s="403" customFormat="1" ht="7.5" customHeight="1" thickBot="1" x14ac:dyDescent="0.3">
      <c r="B73" s="650"/>
      <c r="C73" s="429"/>
      <c r="D73" s="429"/>
      <c r="E73" s="429"/>
      <c r="F73" s="429"/>
      <c r="G73" s="429"/>
      <c r="H73" s="429"/>
      <c r="I73" s="651"/>
    </row>
    <row r="74" spans="2:9" s="403" customFormat="1" x14ac:dyDescent="0.25">
      <c r="B74" s="650"/>
      <c r="C74" s="2491" t="s">
        <v>449</v>
      </c>
      <c r="D74" s="2492"/>
      <c r="E74" s="2492"/>
      <c r="F74" s="2492"/>
      <c r="G74" s="2492"/>
      <c r="H74" s="2493"/>
      <c r="I74" s="651"/>
    </row>
    <row r="75" spans="2:9" s="403" customFormat="1" x14ac:dyDescent="0.25">
      <c r="B75" s="650"/>
      <c r="C75" s="342" t="s">
        <v>434</v>
      </c>
      <c r="D75" s="2489" t="s">
        <v>1915</v>
      </c>
      <c r="E75" s="2489"/>
      <c r="F75" s="2489"/>
      <c r="G75" s="2489"/>
      <c r="H75" s="2490"/>
      <c r="I75" s="651"/>
    </row>
    <row r="76" spans="2:9" s="403" customFormat="1" x14ac:dyDescent="0.25">
      <c r="B76" s="650"/>
      <c r="C76" s="343" t="s">
        <v>442</v>
      </c>
      <c r="D76" s="2487" t="s">
        <v>1916</v>
      </c>
      <c r="E76" s="2487"/>
      <c r="F76" s="2487"/>
      <c r="G76" s="2487"/>
      <c r="H76" s="2488"/>
      <c r="I76" s="651"/>
    </row>
    <row r="77" spans="2:9" s="403" customFormat="1" x14ac:dyDescent="0.25">
      <c r="B77" s="650"/>
      <c r="C77" s="342" t="s">
        <v>435</v>
      </c>
      <c r="D77" s="2487" t="s">
        <v>1919</v>
      </c>
      <c r="E77" s="2487"/>
      <c r="F77" s="2487"/>
      <c r="G77" s="2487"/>
      <c r="H77" s="2488"/>
      <c r="I77" s="651"/>
    </row>
    <row r="78" spans="2:9" s="403" customFormat="1" x14ac:dyDescent="0.25">
      <c r="B78" s="650"/>
      <c r="C78" s="342" t="s">
        <v>13</v>
      </c>
      <c r="D78" s="1981" t="s">
        <v>1862</v>
      </c>
      <c r="E78" s="429" t="s">
        <v>436</v>
      </c>
      <c r="F78" s="1977" t="s">
        <v>1896</v>
      </c>
      <c r="G78" s="429" t="s">
        <v>437</v>
      </c>
      <c r="H78" s="1982">
        <v>98118</v>
      </c>
      <c r="I78" s="651"/>
    </row>
    <row r="79" spans="2:9" s="403" customFormat="1" x14ac:dyDescent="0.25">
      <c r="B79" s="650"/>
      <c r="C79" s="342" t="s">
        <v>4</v>
      </c>
      <c r="D79" s="1980" t="s">
        <v>1917</v>
      </c>
      <c r="E79" s="429" t="s">
        <v>5</v>
      </c>
      <c r="F79" s="2489" t="s">
        <v>1918</v>
      </c>
      <c r="G79" s="2489"/>
      <c r="H79" s="2490"/>
      <c r="I79" s="651"/>
    </row>
    <row r="80" spans="2:9" s="403" customFormat="1" ht="15.75" thickBot="1" x14ac:dyDescent="0.3">
      <c r="B80" s="650"/>
      <c r="C80" s="344"/>
      <c r="D80" s="347"/>
      <c r="E80" s="347"/>
      <c r="F80" s="347"/>
      <c r="G80" s="347"/>
      <c r="H80" s="348"/>
      <c r="I80" s="651"/>
    </row>
    <row r="81" spans="2:9" s="403" customFormat="1" ht="9" customHeight="1" thickBot="1" x14ac:dyDescent="0.3">
      <c r="B81" s="631"/>
      <c r="C81" s="349"/>
      <c r="D81" s="349"/>
      <c r="E81" s="349"/>
      <c r="F81" s="349"/>
      <c r="G81" s="349"/>
      <c r="H81" s="349"/>
      <c r="I81" s="632"/>
    </row>
  </sheetData>
  <sheetProtection algorithmName="SHA-512" hashValue="Fp23pg7nRQ7BxtD8Kg645IxYPuQRPoWroKxBjn83JbY8vjV3TzcVjBcXvlVERIA4x+NJ7VR7cTcrimaWpYbLLg==" saltValue="mFiMfKjj0Tq6vXlz05hm6A==" spinCount="100000" sheet="1" formatCells="0" formatColumns="0" formatRows="0"/>
  <mergeCells count="52">
    <mergeCell ref="C5:G5"/>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pageMargins left="0.7" right="0.7" top="0.75" bottom="0.75" header="0.3" footer="0.3"/>
  <pageSetup scale="93" fitToHeight="2" orientation="portrait" r:id="rId1"/>
  <headerFooter>
    <oddFooter>&amp;LForm 9A
Project Team&amp;CCFA Forms&amp;REdition: 2016
Version: 1.0</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topLeftCell="A21" zoomScaleNormal="100" workbookViewId="0">
      <selection activeCell="AB26" sqref="AB26"/>
    </sheetView>
  </sheetViews>
  <sheetFormatPr defaultRowHeight="15" x14ac:dyDescent="0.25"/>
  <cols>
    <col min="1" max="1" width="1.7109375" style="406" customWidth="1"/>
    <col min="2" max="2" width="1.7109375" style="403" customWidth="1"/>
    <col min="3" max="3" width="14.28515625" style="406" customWidth="1"/>
    <col min="4" max="4" width="30" style="406" customWidth="1"/>
    <col min="5" max="24" width="3.5703125" style="406" customWidth="1"/>
    <col min="25" max="25" width="1.7109375" style="403" customWidth="1"/>
    <col min="26" max="26" width="1.42578125" style="406" customWidth="1"/>
    <col min="27" max="16384" width="9.140625" style="406"/>
  </cols>
  <sheetData>
    <row r="6" spans="2:26" ht="15.75" thickBot="1" x14ac:dyDescent="0.3"/>
    <row r="7" spans="2:26" s="403" customFormat="1" ht="9" customHeight="1" x14ac:dyDescent="0.3">
      <c r="B7" s="208"/>
      <c r="C7" s="2508"/>
      <c r="D7" s="2508"/>
      <c r="E7" s="2509"/>
      <c r="F7" s="2509"/>
      <c r="G7" s="2509"/>
      <c r="H7" s="2509"/>
      <c r="I7" s="2509"/>
      <c r="J7" s="2509"/>
      <c r="K7" s="2509"/>
      <c r="L7" s="2509"/>
      <c r="M7" s="2509"/>
      <c r="N7" s="2509"/>
      <c r="O7" s="2509"/>
      <c r="P7" s="2509"/>
      <c r="Q7" s="2509"/>
      <c r="R7" s="2509"/>
      <c r="S7" s="2509"/>
      <c r="T7" s="2509"/>
      <c r="U7" s="2509"/>
      <c r="V7" s="2509"/>
      <c r="W7" s="2509"/>
      <c r="X7" s="2509"/>
      <c r="Y7" s="2509"/>
      <c r="Z7" s="1633"/>
    </row>
    <row r="8" spans="2:26" s="403" customFormat="1" ht="18.75" x14ac:dyDescent="0.3">
      <c r="B8" s="216"/>
      <c r="C8" s="1979" t="s">
        <v>450</v>
      </c>
      <c r="D8" s="725"/>
      <c r="E8" s="726"/>
      <c r="F8" s="726"/>
      <c r="G8" s="726"/>
      <c r="H8" s="726"/>
      <c r="I8" s="726"/>
      <c r="J8" s="726"/>
      <c r="K8" s="726"/>
      <c r="L8" s="726"/>
      <c r="M8" s="726"/>
      <c r="N8" s="726"/>
      <c r="O8" s="726"/>
      <c r="P8" s="726"/>
      <c r="Q8" s="726"/>
      <c r="R8" s="726"/>
      <c r="S8" s="726"/>
      <c r="T8" s="726"/>
      <c r="U8" s="726"/>
      <c r="V8" s="726"/>
      <c r="W8" s="726"/>
      <c r="X8" s="726"/>
      <c r="Y8" s="657"/>
      <c r="Z8" s="1566"/>
    </row>
    <row r="9" spans="2:26" s="403" customFormat="1" ht="18.75" x14ac:dyDescent="0.3">
      <c r="B9" s="216"/>
      <c r="C9" s="656"/>
      <c r="D9" s="656"/>
      <c r="E9" s="657"/>
      <c r="F9" s="657"/>
      <c r="G9" s="657"/>
      <c r="H9" s="657"/>
      <c r="I9" s="657"/>
      <c r="J9" s="657"/>
      <c r="K9" s="657"/>
      <c r="L9" s="657"/>
      <c r="M9" s="657"/>
      <c r="N9" s="657"/>
      <c r="O9" s="657"/>
      <c r="P9" s="657"/>
      <c r="Q9" s="657"/>
      <c r="R9" s="657"/>
      <c r="S9" s="657"/>
      <c r="T9" s="657"/>
      <c r="U9" s="657"/>
      <c r="V9" s="657"/>
      <c r="W9" s="657"/>
      <c r="X9" s="657"/>
      <c r="Y9" s="657"/>
      <c r="Z9" s="1566"/>
    </row>
    <row r="10" spans="2:26" s="403" customFormat="1" ht="15.75" thickBot="1" x14ac:dyDescent="0.3">
      <c r="B10" s="216"/>
      <c r="C10" s="2259" t="str">
        <f>IF('1'!G5="","Enter Project Name on Form 1",(CONCATENATE("Project Name: ",'1'!G5)))</f>
        <v>Project Name: Filipino Community Village</v>
      </c>
      <c r="D10" s="2259"/>
      <c r="E10" s="2259"/>
      <c r="F10" s="2259"/>
      <c r="G10" s="2259"/>
      <c r="H10" s="2259"/>
      <c r="I10" s="2259"/>
      <c r="J10" s="2259"/>
      <c r="K10" s="2259"/>
      <c r="L10" s="2259"/>
      <c r="M10" s="2259"/>
      <c r="N10" s="2259"/>
      <c r="O10" s="2259"/>
      <c r="P10" s="2259"/>
      <c r="Q10" s="2259"/>
      <c r="R10" s="2259"/>
      <c r="S10" s="2259"/>
      <c r="T10" s="1984"/>
      <c r="U10" s="429"/>
      <c r="V10" s="429"/>
      <c r="W10" s="429"/>
      <c r="X10" s="429"/>
      <c r="Y10" s="429"/>
      <c r="Z10" s="1566"/>
    </row>
    <row r="11" spans="2:26" s="403" customFormat="1" ht="7.5" customHeight="1" x14ac:dyDescent="0.25">
      <c r="B11" s="216"/>
      <c r="C11" s="500"/>
      <c r="D11" s="500"/>
      <c r="E11" s="500"/>
      <c r="F11" s="500"/>
      <c r="G11" s="500"/>
      <c r="H11" s="500"/>
      <c r="I11" s="500"/>
      <c r="J11" s="500"/>
      <c r="K11" s="500"/>
      <c r="L11" s="500"/>
      <c r="M11" s="500"/>
      <c r="N11" s="500"/>
      <c r="O11" s="500"/>
      <c r="P11" s="429"/>
      <c r="Q11" s="429"/>
      <c r="R11" s="429"/>
      <c r="S11" s="429"/>
      <c r="T11" s="429"/>
      <c r="U11" s="429"/>
      <c r="V11" s="429"/>
      <c r="W11" s="429"/>
      <c r="X11" s="429"/>
      <c r="Y11" s="429"/>
      <c r="Z11" s="1566"/>
    </row>
    <row r="12" spans="2:26" ht="117.75" customHeight="1" x14ac:dyDescent="0.25">
      <c r="B12" s="216"/>
      <c r="C12" s="2516"/>
      <c r="D12" s="2517"/>
      <c r="E12" s="714" t="s">
        <v>451</v>
      </c>
      <c r="F12" s="2510" t="s">
        <v>452</v>
      </c>
      <c r="G12" s="2510" t="s">
        <v>453</v>
      </c>
      <c r="H12" s="2510" t="s">
        <v>454</v>
      </c>
      <c r="I12" s="2510" t="s">
        <v>455</v>
      </c>
      <c r="J12" s="2513" t="s">
        <v>456</v>
      </c>
      <c r="K12" s="2510" t="s">
        <v>457</v>
      </c>
      <c r="L12" s="2510" t="s">
        <v>458</v>
      </c>
      <c r="M12" s="2510" t="s">
        <v>459</v>
      </c>
      <c r="N12" s="2510" t="s">
        <v>460</v>
      </c>
      <c r="O12" s="2510" t="s">
        <v>461</v>
      </c>
      <c r="P12" s="2510" t="s">
        <v>462</v>
      </c>
      <c r="Q12" s="2510" t="s">
        <v>463</v>
      </c>
      <c r="R12" s="2510" t="s">
        <v>464</v>
      </c>
      <c r="S12" s="2510" t="s">
        <v>465</v>
      </c>
      <c r="T12" s="2510" t="s">
        <v>466</v>
      </c>
      <c r="U12" s="2510" t="s">
        <v>467</v>
      </c>
      <c r="V12" s="2510" t="s">
        <v>468</v>
      </c>
      <c r="W12" s="2510" t="s">
        <v>469</v>
      </c>
      <c r="X12" s="1634"/>
      <c r="Y12" s="1240"/>
      <c r="Z12" s="1615"/>
    </row>
    <row r="13" spans="2:26" x14ac:dyDescent="0.25">
      <c r="B13" s="216"/>
      <c r="C13" s="718" t="s">
        <v>470</v>
      </c>
      <c r="D13" s="719"/>
      <c r="E13" s="715" t="s">
        <v>580</v>
      </c>
      <c r="F13" s="2511"/>
      <c r="G13" s="2512"/>
      <c r="H13" s="2512"/>
      <c r="I13" s="2512"/>
      <c r="J13" s="2514"/>
      <c r="K13" s="2512"/>
      <c r="L13" s="2512"/>
      <c r="M13" s="2512"/>
      <c r="N13" s="2512"/>
      <c r="O13" s="2512"/>
      <c r="P13" s="2512"/>
      <c r="Q13" s="2512"/>
      <c r="R13" s="2512"/>
      <c r="S13" s="2512"/>
      <c r="T13" s="2512"/>
      <c r="U13" s="2512"/>
      <c r="V13" s="2512"/>
      <c r="W13" s="2512"/>
      <c r="X13" s="1635"/>
      <c r="Y13" s="1241"/>
      <c r="Z13" s="1615"/>
    </row>
    <row r="14" spans="2:26" x14ac:dyDescent="0.25">
      <c r="B14" s="216"/>
      <c r="C14" s="720" t="s">
        <v>453</v>
      </c>
      <c r="D14" s="721"/>
      <c r="E14" s="715" t="s">
        <v>580</v>
      </c>
      <c r="F14" s="715"/>
      <c r="G14" s="2511"/>
      <c r="H14" s="2512"/>
      <c r="I14" s="2512"/>
      <c r="J14" s="2514"/>
      <c r="K14" s="2512"/>
      <c r="L14" s="2512"/>
      <c r="M14" s="2512"/>
      <c r="N14" s="2512"/>
      <c r="O14" s="2512"/>
      <c r="P14" s="2512"/>
      <c r="Q14" s="2512"/>
      <c r="R14" s="2512"/>
      <c r="S14" s="2512"/>
      <c r="T14" s="2512"/>
      <c r="U14" s="2512"/>
      <c r="V14" s="2512"/>
      <c r="W14" s="2512"/>
      <c r="X14" s="1635"/>
      <c r="Y14" s="1241"/>
      <c r="Z14" s="1615"/>
    </row>
    <row r="15" spans="2:26" x14ac:dyDescent="0.25">
      <c r="B15" s="216"/>
      <c r="C15" s="720" t="s">
        <v>454</v>
      </c>
      <c r="D15" s="721"/>
      <c r="E15" s="715"/>
      <c r="F15" s="715"/>
      <c r="G15" s="715"/>
      <c r="H15" s="2511"/>
      <c r="I15" s="2512"/>
      <c r="J15" s="2514"/>
      <c r="K15" s="2512"/>
      <c r="L15" s="2512"/>
      <c r="M15" s="2512"/>
      <c r="N15" s="2512"/>
      <c r="O15" s="2512"/>
      <c r="P15" s="2512"/>
      <c r="Q15" s="2512"/>
      <c r="R15" s="2512"/>
      <c r="S15" s="2512"/>
      <c r="T15" s="2512"/>
      <c r="U15" s="2512"/>
      <c r="V15" s="2512"/>
      <c r="W15" s="2512"/>
      <c r="X15" s="1635"/>
      <c r="Y15" s="1241"/>
      <c r="Z15" s="1615"/>
    </row>
    <row r="16" spans="2:26" x14ac:dyDescent="0.25">
      <c r="B16" s="216"/>
      <c r="C16" s="720" t="s">
        <v>455</v>
      </c>
      <c r="D16" s="721"/>
      <c r="E16" s="715"/>
      <c r="F16" s="715"/>
      <c r="G16" s="715"/>
      <c r="H16" s="715"/>
      <c r="I16" s="2511"/>
      <c r="J16" s="2514"/>
      <c r="K16" s="2512"/>
      <c r="L16" s="2512"/>
      <c r="M16" s="2512"/>
      <c r="N16" s="2512"/>
      <c r="O16" s="2512"/>
      <c r="P16" s="2512"/>
      <c r="Q16" s="2512"/>
      <c r="R16" s="2512"/>
      <c r="S16" s="2512"/>
      <c r="T16" s="2512"/>
      <c r="U16" s="2512"/>
      <c r="V16" s="2512"/>
      <c r="W16" s="2512"/>
      <c r="X16" s="1635"/>
      <c r="Y16" s="1241"/>
      <c r="Z16" s="1615"/>
    </row>
    <row r="17" spans="2:26" x14ac:dyDescent="0.25">
      <c r="B17" s="216"/>
      <c r="C17" s="720" t="s">
        <v>471</v>
      </c>
      <c r="D17" s="721"/>
      <c r="E17" s="715"/>
      <c r="F17" s="715"/>
      <c r="G17" s="715"/>
      <c r="H17" s="715"/>
      <c r="I17" s="715"/>
      <c r="J17" s="2515"/>
      <c r="K17" s="2512"/>
      <c r="L17" s="2512"/>
      <c r="M17" s="2512"/>
      <c r="N17" s="2512"/>
      <c r="O17" s="2512"/>
      <c r="P17" s="2512"/>
      <c r="Q17" s="2512"/>
      <c r="R17" s="2512"/>
      <c r="S17" s="2512"/>
      <c r="T17" s="2512"/>
      <c r="U17" s="2512"/>
      <c r="V17" s="2512"/>
      <c r="W17" s="2512"/>
      <c r="X17" s="1635"/>
      <c r="Y17" s="1241"/>
      <c r="Z17" s="1615"/>
    </row>
    <row r="18" spans="2:26" x14ac:dyDescent="0.25">
      <c r="B18" s="216"/>
      <c r="C18" s="720" t="s">
        <v>472</v>
      </c>
      <c r="D18" s="721"/>
      <c r="E18" s="715"/>
      <c r="F18" s="715"/>
      <c r="G18" s="715"/>
      <c r="H18" s="715"/>
      <c r="I18" s="715"/>
      <c r="J18" s="715"/>
      <c r="K18" s="2511"/>
      <c r="L18" s="2512"/>
      <c r="M18" s="2512"/>
      <c r="N18" s="2512"/>
      <c r="O18" s="2512"/>
      <c r="P18" s="2512"/>
      <c r="Q18" s="2512"/>
      <c r="R18" s="2512"/>
      <c r="S18" s="2512"/>
      <c r="T18" s="2512"/>
      <c r="U18" s="2512"/>
      <c r="V18" s="2512"/>
      <c r="W18" s="2512"/>
      <c r="X18" s="1635"/>
      <c r="Y18" s="1241"/>
      <c r="Z18" s="1615"/>
    </row>
    <row r="19" spans="2:26" x14ac:dyDescent="0.25">
      <c r="B19" s="216"/>
      <c r="C19" s="720" t="s">
        <v>473</v>
      </c>
      <c r="D19" s="721"/>
      <c r="E19" s="715"/>
      <c r="F19" s="715"/>
      <c r="G19" s="715"/>
      <c r="H19" s="715"/>
      <c r="I19" s="715"/>
      <c r="J19" s="715"/>
      <c r="K19" s="715"/>
      <c r="L19" s="2511"/>
      <c r="M19" s="2512"/>
      <c r="N19" s="2512"/>
      <c r="O19" s="2512"/>
      <c r="P19" s="2512"/>
      <c r="Q19" s="2512"/>
      <c r="R19" s="2512"/>
      <c r="S19" s="2512"/>
      <c r="T19" s="2512"/>
      <c r="U19" s="2512"/>
      <c r="V19" s="2512"/>
      <c r="W19" s="2512"/>
      <c r="X19" s="1635"/>
      <c r="Y19" s="1241"/>
      <c r="Z19" s="1615"/>
    </row>
    <row r="20" spans="2:26" x14ac:dyDescent="0.25">
      <c r="B20" s="216"/>
      <c r="C20" s="720" t="s">
        <v>474</v>
      </c>
      <c r="D20" s="721"/>
      <c r="E20" s="715"/>
      <c r="F20" s="715"/>
      <c r="G20" s="715"/>
      <c r="H20" s="715"/>
      <c r="I20" s="715"/>
      <c r="J20" s="715"/>
      <c r="K20" s="715"/>
      <c r="L20" s="715"/>
      <c r="M20" s="2511"/>
      <c r="N20" s="2512"/>
      <c r="O20" s="2512"/>
      <c r="P20" s="2512"/>
      <c r="Q20" s="2512"/>
      <c r="R20" s="2512"/>
      <c r="S20" s="2512"/>
      <c r="T20" s="2512"/>
      <c r="U20" s="2512"/>
      <c r="V20" s="2512"/>
      <c r="W20" s="2512"/>
      <c r="X20" s="1635"/>
      <c r="Y20" s="1241"/>
      <c r="Z20" s="1615"/>
    </row>
    <row r="21" spans="2:26" x14ac:dyDescent="0.25">
      <c r="B21" s="216"/>
      <c r="C21" s="720" t="s">
        <v>475</v>
      </c>
      <c r="D21" s="721"/>
      <c r="E21" s="715"/>
      <c r="F21" s="715"/>
      <c r="G21" s="715"/>
      <c r="H21" s="715"/>
      <c r="I21" s="715"/>
      <c r="J21" s="715"/>
      <c r="K21" s="715"/>
      <c r="L21" s="715"/>
      <c r="M21" s="715"/>
      <c r="N21" s="2512"/>
      <c r="O21" s="2512"/>
      <c r="P21" s="2512"/>
      <c r="Q21" s="2512"/>
      <c r="R21" s="2512"/>
      <c r="S21" s="2512"/>
      <c r="T21" s="2512"/>
      <c r="U21" s="2512"/>
      <c r="V21" s="2512"/>
      <c r="W21" s="2512"/>
      <c r="X21" s="1635"/>
      <c r="Y21" s="1241"/>
      <c r="Z21" s="1615"/>
    </row>
    <row r="22" spans="2:26" x14ac:dyDescent="0.25">
      <c r="B22" s="216"/>
      <c r="C22" s="720" t="s">
        <v>461</v>
      </c>
      <c r="D22" s="721"/>
      <c r="E22" s="715"/>
      <c r="F22" s="715"/>
      <c r="G22" s="715"/>
      <c r="H22" s="715"/>
      <c r="I22" s="715"/>
      <c r="J22" s="715"/>
      <c r="K22" s="715"/>
      <c r="L22" s="715"/>
      <c r="M22" s="715"/>
      <c r="N22" s="715"/>
      <c r="O22" s="2512"/>
      <c r="P22" s="2512"/>
      <c r="Q22" s="2512"/>
      <c r="R22" s="2512"/>
      <c r="S22" s="2512"/>
      <c r="T22" s="2512"/>
      <c r="U22" s="2512"/>
      <c r="V22" s="2512"/>
      <c r="W22" s="2512"/>
      <c r="X22" s="1635"/>
      <c r="Y22" s="1241"/>
      <c r="Z22" s="1615"/>
    </row>
    <row r="23" spans="2:26" x14ac:dyDescent="0.25">
      <c r="B23" s="216"/>
      <c r="C23" s="720" t="s">
        <v>462</v>
      </c>
      <c r="D23" s="721"/>
      <c r="E23" s="715"/>
      <c r="F23" s="715"/>
      <c r="G23" s="715"/>
      <c r="H23" s="715"/>
      <c r="I23" s="715"/>
      <c r="J23" s="715"/>
      <c r="K23" s="715"/>
      <c r="L23" s="715"/>
      <c r="M23" s="715"/>
      <c r="N23" s="715"/>
      <c r="O23" s="715"/>
      <c r="P23" s="2512"/>
      <c r="Q23" s="2512"/>
      <c r="R23" s="2512"/>
      <c r="S23" s="2512"/>
      <c r="T23" s="2512"/>
      <c r="U23" s="2512"/>
      <c r="V23" s="2512"/>
      <c r="W23" s="2512"/>
      <c r="X23" s="1635"/>
      <c r="Y23" s="1241"/>
      <c r="Z23" s="1615"/>
    </row>
    <row r="24" spans="2:26" x14ac:dyDescent="0.25">
      <c r="B24" s="216"/>
      <c r="C24" s="720" t="s">
        <v>476</v>
      </c>
      <c r="D24" s="721"/>
      <c r="E24" s="715"/>
      <c r="F24" s="715"/>
      <c r="G24" s="715"/>
      <c r="H24" s="715"/>
      <c r="I24" s="715"/>
      <c r="J24" s="715"/>
      <c r="K24" s="715"/>
      <c r="L24" s="715"/>
      <c r="M24" s="715"/>
      <c r="N24" s="715"/>
      <c r="O24" s="715"/>
      <c r="P24" s="715"/>
      <c r="Q24" s="2512"/>
      <c r="R24" s="2512"/>
      <c r="S24" s="2512"/>
      <c r="T24" s="2512"/>
      <c r="U24" s="2512"/>
      <c r="V24" s="2512"/>
      <c r="W24" s="2512"/>
      <c r="X24" s="1635"/>
      <c r="Y24" s="1241"/>
      <c r="Z24" s="1615"/>
    </row>
    <row r="25" spans="2:26" x14ac:dyDescent="0.25">
      <c r="B25" s="216"/>
      <c r="C25" s="720" t="s">
        <v>464</v>
      </c>
      <c r="D25" s="721"/>
      <c r="E25" s="715"/>
      <c r="F25" s="715"/>
      <c r="G25" s="715"/>
      <c r="H25" s="715"/>
      <c r="I25" s="715"/>
      <c r="J25" s="715"/>
      <c r="K25" s="715"/>
      <c r="L25" s="715"/>
      <c r="M25" s="715"/>
      <c r="N25" s="715"/>
      <c r="O25" s="715"/>
      <c r="P25" s="715"/>
      <c r="Q25" s="715"/>
      <c r="R25" s="2512"/>
      <c r="S25" s="2512"/>
      <c r="T25" s="2512"/>
      <c r="U25" s="2512"/>
      <c r="V25" s="2512"/>
      <c r="W25" s="2512"/>
      <c r="X25" s="1635"/>
      <c r="Y25" s="1241"/>
      <c r="Z25" s="1615"/>
    </row>
    <row r="26" spans="2:26" x14ac:dyDescent="0.25">
      <c r="B26" s="216"/>
      <c r="C26" s="720" t="s">
        <v>465</v>
      </c>
      <c r="D26" s="721"/>
      <c r="E26" s="715"/>
      <c r="F26" s="715"/>
      <c r="G26" s="715"/>
      <c r="H26" s="715"/>
      <c r="I26" s="715"/>
      <c r="J26" s="715"/>
      <c r="K26" s="715"/>
      <c r="L26" s="715"/>
      <c r="M26" s="715"/>
      <c r="N26" s="715"/>
      <c r="O26" s="715"/>
      <c r="P26" s="715"/>
      <c r="Q26" s="715"/>
      <c r="R26" s="715"/>
      <c r="S26" s="2512"/>
      <c r="T26" s="2512"/>
      <c r="U26" s="2512"/>
      <c r="V26" s="2512"/>
      <c r="W26" s="2512"/>
      <c r="X26" s="1635"/>
      <c r="Y26" s="1241"/>
      <c r="Z26" s="1615"/>
    </row>
    <row r="27" spans="2:26" x14ac:dyDescent="0.25">
      <c r="B27" s="216"/>
      <c r="C27" s="720" t="s">
        <v>466</v>
      </c>
      <c r="D27" s="721"/>
      <c r="E27" s="715"/>
      <c r="F27" s="715"/>
      <c r="G27" s="715"/>
      <c r="H27" s="715"/>
      <c r="I27" s="715"/>
      <c r="J27" s="715"/>
      <c r="K27" s="715"/>
      <c r="L27" s="715"/>
      <c r="M27" s="715"/>
      <c r="N27" s="715"/>
      <c r="O27" s="715"/>
      <c r="P27" s="715"/>
      <c r="Q27" s="715"/>
      <c r="R27" s="715"/>
      <c r="S27" s="715"/>
      <c r="T27" s="2512"/>
      <c r="U27" s="2512"/>
      <c r="V27" s="2512"/>
      <c r="W27" s="2512"/>
      <c r="X27" s="1635"/>
      <c r="Y27" s="1241"/>
      <c r="Z27" s="1615"/>
    </row>
    <row r="28" spans="2:26" x14ac:dyDescent="0.25">
      <c r="B28" s="216"/>
      <c r="C28" s="720" t="s">
        <v>477</v>
      </c>
      <c r="D28" s="721"/>
      <c r="E28" s="715" t="s">
        <v>580</v>
      </c>
      <c r="F28" s="715"/>
      <c r="G28" s="715"/>
      <c r="H28" s="715"/>
      <c r="I28" s="715"/>
      <c r="J28" s="715"/>
      <c r="K28" s="715"/>
      <c r="L28" s="715"/>
      <c r="M28" s="715"/>
      <c r="N28" s="715"/>
      <c r="O28" s="715"/>
      <c r="P28" s="715"/>
      <c r="Q28" s="715"/>
      <c r="R28" s="715"/>
      <c r="S28" s="715"/>
      <c r="T28" s="715"/>
      <c r="U28" s="2512"/>
      <c r="V28" s="2512"/>
      <c r="W28" s="2512"/>
      <c r="X28" s="1635"/>
      <c r="Y28" s="1241"/>
      <c r="Z28" s="1615"/>
    </row>
    <row r="29" spans="2:26" x14ac:dyDescent="0.25">
      <c r="B29" s="216"/>
      <c r="C29" s="720" t="s">
        <v>468</v>
      </c>
      <c r="D29" s="721"/>
      <c r="E29" s="715"/>
      <c r="F29" s="715"/>
      <c r="G29" s="715"/>
      <c r="H29" s="715"/>
      <c r="I29" s="715"/>
      <c r="J29" s="715"/>
      <c r="K29" s="715"/>
      <c r="L29" s="715"/>
      <c r="M29" s="715"/>
      <c r="N29" s="715"/>
      <c r="O29" s="715"/>
      <c r="P29" s="715"/>
      <c r="Q29" s="715"/>
      <c r="R29" s="715"/>
      <c r="S29" s="715"/>
      <c r="T29" s="715"/>
      <c r="U29" s="715"/>
      <c r="V29" s="2512"/>
      <c r="W29" s="2512"/>
      <c r="X29" s="1635"/>
      <c r="Y29" s="1241"/>
      <c r="Z29" s="1615"/>
    </row>
    <row r="30" spans="2:26" x14ac:dyDescent="0.25">
      <c r="B30" s="216"/>
      <c r="C30" s="722" t="s">
        <v>469</v>
      </c>
      <c r="D30" s="723"/>
      <c r="E30" s="715"/>
      <c r="F30" s="715"/>
      <c r="G30" s="715"/>
      <c r="H30" s="715"/>
      <c r="I30" s="715"/>
      <c r="J30" s="715"/>
      <c r="K30" s="715"/>
      <c r="L30" s="715"/>
      <c r="M30" s="715"/>
      <c r="N30" s="715"/>
      <c r="O30" s="715"/>
      <c r="P30" s="715"/>
      <c r="Q30" s="715"/>
      <c r="R30" s="715"/>
      <c r="S30" s="715"/>
      <c r="T30" s="715"/>
      <c r="U30" s="715"/>
      <c r="V30" s="715"/>
      <c r="W30" s="2512"/>
      <c r="X30" s="532"/>
      <c r="Y30" s="1241"/>
      <c r="Z30" s="1615"/>
    </row>
    <row r="31" spans="2:26" x14ac:dyDescent="0.25">
      <c r="B31" s="216"/>
      <c r="C31" s="1632" t="s">
        <v>427</v>
      </c>
      <c r="D31" s="724"/>
      <c r="E31" s="716"/>
      <c r="F31" s="717"/>
      <c r="G31" s="717"/>
      <c r="H31" s="717"/>
      <c r="I31" s="717"/>
      <c r="J31" s="717"/>
      <c r="K31" s="717"/>
      <c r="L31" s="717"/>
      <c r="M31" s="717"/>
      <c r="N31" s="717"/>
      <c r="O31" s="717"/>
      <c r="P31" s="717"/>
      <c r="Q31" s="717"/>
      <c r="R31" s="717"/>
      <c r="S31" s="717"/>
      <c r="T31" s="717"/>
      <c r="U31" s="717"/>
      <c r="V31" s="717"/>
      <c r="W31" s="717"/>
      <c r="X31" s="1978" t="s">
        <v>233</v>
      </c>
      <c r="Y31" s="1241"/>
      <c r="Z31" s="1615"/>
    </row>
    <row r="32" spans="2:26" x14ac:dyDescent="0.25">
      <c r="B32" s="216"/>
      <c r="C32" s="658" t="s">
        <v>427</v>
      </c>
      <c r="D32" s="724"/>
      <c r="E32" s="302"/>
      <c r="F32" s="303"/>
      <c r="G32" s="303"/>
      <c r="H32" s="303"/>
      <c r="I32" s="303"/>
      <c r="J32" s="303"/>
      <c r="K32" s="303"/>
      <c r="L32" s="303"/>
      <c r="M32" s="303"/>
      <c r="N32" s="303"/>
      <c r="O32" s="303"/>
      <c r="P32" s="303"/>
      <c r="Q32" s="303"/>
      <c r="R32" s="303"/>
      <c r="S32" s="303"/>
      <c r="T32" s="303"/>
      <c r="U32" s="303"/>
      <c r="V32" s="303"/>
      <c r="W32" s="303"/>
      <c r="X32" s="1243"/>
      <c r="Y32" s="1242"/>
      <c r="Z32" s="1615"/>
    </row>
    <row r="33" spans="2:26" ht="7.5" customHeight="1" x14ac:dyDescent="0.25">
      <c r="B33" s="216"/>
      <c r="C33" s="1239"/>
      <c r="D33" s="389"/>
      <c r="E33" s="1636"/>
      <c r="F33" s="1636"/>
      <c r="G33" s="1636"/>
      <c r="H33" s="1636"/>
      <c r="I33" s="1636"/>
      <c r="J33" s="1636"/>
      <c r="K33" s="1636"/>
      <c r="L33" s="1636"/>
      <c r="M33" s="1636"/>
      <c r="N33" s="1636"/>
      <c r="O33" s="1636"/>
      <c r="P33" s="1636"/>
      <c r="Q33" s="1636"/>
      <c r="R33" s="1636"/>
      <c r="S33" s="1636"/>
      <c r="T33" s="1636"/>
      <c r="U33" s="1636"/>
      <c r="V33" s="1636"/>
      <c r="W33" s="1636"/>
      <c r="X33" s="1637"/>
      <c r="Y33" s="429"/>
      <c r="Z33" s="1615"/>
    </row>
    <row r="34" spans="2:26" x14ac:dyDescent="0.25">
      <c r="B34" s="216"/>
      <c r="C34" s="1239"/>
      <c r="D34" s="389"/>
      <c r="E34" s="1636"/>
      <c r="F34" s="1636"/>
      <c r="G34" s="1636"/>
      <c r="H34" s="1636"/>
      <c r="I34" s="1636"/>
      <c r="J34" s="1636"/>
      <c r="K34" s="1636"/>
      <c r="L34" s="1636"/>
      <c r="M34" s="2518"/>
      <c r="N34" s="2519"/>
      <c r="O34" s="2519"/>
      <c r="P34" s="2519"/>
      <c r="Q34" s="2519"/>
      <c r="R34" s="2519"/>
      <c r="S34" s="2519"/>
      <c r="T34" s="2519"/>
      <c r="U34" s="2519"/>
      <c r="V34" s="2520"/>
      <c r="W34" s="532"/>
      <c r="X34" s="532"/>
      <c r="Y34" s="429"/>
      <c r="Z34" s="1615"/>
    </row>
    <row r="35" spans="2:26" ht="7.5" customHeight="1" x14ac:dyDescent="0.25">
      <c r="B35" s="216"/>
      <c r="C35" s="1239"/>
      <c r="D35" s="389"/>
      <c r="E35" s="1636"/>
      <c r="F35" s="1636"/>
      <c r="G35" s="1636"/>
      <c r="H35" s="1636"/>
      <c r="I35" s="1636"/>
      <c r="J35" s="1636"/>
      <c r="K35" s="1636"/>
      <c r="L35" s="1636"/>
      <c r="M35" s="1636"/>
      <c r="N35" s="1636"/>
      <c r="O35" s="532"/>
      <c r="P35" s="532"/>
      <c r="Q35" s="532"/>
      <c r="R35" s="532"/>
      <c r="S35" s="532"/>
      <c r="T35" s="532"/>
      <c r="U35" s="532"/>
      <c r="V35" s="532"/>
      <c r="W35" s="532"/>
      <c r="X35" s="532"/>
      <c r="Y35" s="429"/>
      <c r="Z35" s="1615"/>
    </row>
    <row r="36" spans="2:26" s="403" customFormat="1" x14ac:dyDescent="0.25">
      <c r="B36" s="216"/>
      <c r="C36" s="376" t="s">
        <v>478</v>
      </c>
      <c r="D36" s="376"/>
      <c r="E36" s="376"/>
      <c r="F36" s="376"/>
      <c r="G36" s="376"/>
      <c r="H36" s="376"/>
      <c r="I36" s="376"/>
      <c r="J36" s="376"/>
      <c r="K36" s="376"/>
      <c r="L36" s="376"/>
      <c r="M36" s="376"/>
      <c r="N36" s="376"/>
      <c r="O36" s="376"/>
      <c r="P36" s="376"/>
      <c r="Q36" s="376"/>
      <c r="R36" s="376"/>
      <c r="S36" s="376"/>
      <c r="T36" s="376"/>
      <c r="U36" s="376"/>
      <c r="V36" s="376"/>
      <c r="W36" s="376"/>
      <c r="X36" s="376"/>
      <c r="Y36" s="429"/>
      <c r="Z36" s="1566"/>
    </row>
    <row r="37" spans="2:26" s="403" customFormat="1" ht="45" customHeight="1" x14ac:dyDescent="0.25">
      <c r="B37" s="216"/>
      <c r="C37" s="2153" t="s">
        <v>1920</v>
      </c>
      <c r="D37" s="2154"/>
      <c r="E37" s="2154"/>
      <c r="F37" s="2154"/>
      <c r="G37" s="2154"/>
      <c r="H37" s="2154"/>
      <c r="I37" s="2154"/>
      <c r="J37" s="2154"/>
      <c r="K37" s="2154"/>
      <c r="L37" s="2154"/>
      <c r="M37" s="2154"/>
      <c r="N37" s="2154"/>
      <c r="O37" s="2154"/>
      <c r="P37" s="2154"/>
      <c r="Q37" s="2154"/>
      <c r="R37" s="2154"/>
      <c r="S37" s="2154"/>
      <c r="T37" s="2154"/>
      <c r="U37" s="2154"/>
      <c r="V37" s="2154"/>
      <c r="W37" s="2154"/>
      <c r="X37" s="2155"/>
      <c r="Y37" s="429"/>
      <c r="Z37" s="1566"/>
    </row>
    <row r="38" spans="2:26" s="403" customFormat="1" ht="9" customHeight="1" thickBot="1" x14ac:dyDescent="0.3">
      <c r="B38" s="612"/>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1638"/>
    </row>
    <row r="39" spans="2:26" s="403" customFormat="1" x14ac:dyDescent="0.25"/>
    <row r="40" spans="2:26" s="403" customFormat="1" x14ac:dyDescent="0.25"/>
    <row r="41" spans="2:26" s="403" customFormat="1" x14ac:dyDescent="0.25"/>
    <row r="42" spans="2:26" s="403" customFormat="1" x14ac:dyDescent="0.25"/>
    <row r="43" spans="2:26" s="403" customFormat="1" x14ac:dyDescent="0.25"/>
  </sheetData>
  <sheetProtection algorithmName="SHA-512" hashValue="kGCyG/OzVBcbTb8nwg20cog7FrS4GLr45k2cG+oYhXmDCktIwPDA0/1hXwaQkOmP9hdktiOj2YKmBHg57jsLhw==" saltValue="7xyDpNA+jogSJVAX18IiqA==" spinCount="100000" sheet="1" formatCells="0" formatColumns="0" formatRows="0"/>
  <mergeCells count="23">
    <mergeCell ref="C37:X37"/>
    <mergeCell ref="S12:S26"/>
    <mergeCell ref="T12:T27"/>
    <mergeCell ref="U12:U28"/>
    <mergeCell ref="V12:V29"/>
    <mergeCell ref="M12:M20"/>
    <mergeCell ref="N12:N21"/>
    <mergeCell ref="M34:V34"/>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s>
  <conditionalFormatting sqref="E12:X29 E30:W30 E31:X33 E35:N35 E34:M34">
    <cfRule type="cellIs" dxfId="7"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2016
Version: 1.0</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topLeftCell="A23" zoomScaleNormal="100" workbookViewId="0">
      <selection activeCell="P23" sqref="P23"/>
    </sheetView>
  </sheetViews>
  <sheetFormatPr defaultRowHeight="15" x14ac:dyDescent="0.25"/>
  <cols>
    <col min="1" max="2" width="1.7109375" style="406" customWidth="1"/>
    <col min="3" max="3" width="27.140625" style="406" customWidth="1"/>
    <col min="4" max="4" width="9.140625" style="406"/>
    <col min="5" max="5" width="11.42578125" style="406" customWidth="1"/>
    <col min="6" max="6" width="15.28515625" style="406" customWidth="1"/>
    <col min="7" max="7" width="13.140625" style="406" customWidth="1"/>
    <col min="8" max="8" width="9.140625" style="406"/>
    <col min="9" max="9" width="14.5703125" style="406" bestFit="1" customWidth="1"/>
    <col min="10" max="11" width="11" style="406" customWidth="1"/>
    <col min="12" max="12" width="14.85546875" style="406" customWidth="1"/>
    <col min="13" max="13" width="1.7109375" style="406" customWidth="1"/>
    <col min="14" max="16384" width="9.140625" style="406"/>
  </cols>
  <sheetData>
    <row r="11" spans="2:13" ht="7.5" customHeight="1" thickBot="1" x14ac:dyDescent="0.3">
      <c r="B11" s="659"/>
      <c r="C11" s="659"/>
      <c r="D11" s="659"/>
      <c r="E11" s="659"/>
      <c r="F11" s="659"/>
      <c r="G11" s="659"/>
      <c r="H11" s="659"/>
      <c r="I11" s="659"/>
      <c r="J11" s="659"/>
      <c r="K11" s="659"/>
      <c r="L11" s="659"/>
      <c r="M11" s="660"/>
    </row>
    <row r="12" spans="2:13" ht="9" customHeight="1" x14ac:dyDescent="0.3">
      <c r="B12" s="304"/>
      <c r="C12" s="305"/>
      <c r="D12" s="306"/>
      <c r="E12" s="305"/>
      <c r="F12" s="305"/>
      <c r="G12" s="305"/>
      <c r="H12" s="305"/>
      <c r="I12" s="305"/>
      <c r="J12" s="305"/>
      <c r="K12" s="306"/>
      <c r="L12" s="305"/>
      <c r="M12" s="307"/>
    </row>
    <row r="13" spans="2:13" ht="18.75" x14ac:dyDescent="0.3">
      <c r="B13" s="308"/>
      <c r="C13" s="2270" t="s">
        <v>479</v>
      </c>
      <c r="D13" s="2270"/>
      <c r="E13" s="2270"/>
      <c r="F13" s="2270"/>
      <c r="G13" s="2270"/>
      <c r="H13" s="2270"/>
      <c r="I13" s="2270"/>
      <c r="J13" s="2270"/>
      <c r="K13" s="2270"/>
      <c r="L13" s="2270"/>
      <c r="M13" s="309"/>
    </row>
    <row r="14" spans="2:13" ht="15" customHeight="1" x14ac:dyDescent="0.3">
      <c r="B14" s="308"/>
      <c r="C14" s="739"/>
      <c r="D14" s="739"/>
      <c r="E14" s="739"/>
      <c r="F14" s="739"/>
      <c r="G14" s="739"/>
      <c r="H14" s="739"/>
      <c r="I14" s="739"/>
      <c r="J14" s="739"/>
      <c r="K14" s="739"/>
      <c r="L14" s="739"/>
      <c r="M14" s="309"/>
    </row>
    <row r="15" spans="2:13" ht="15.75" thickBot="1" x14ac:dyDescent="0.3">
      <c r="B15" s="310"/>
      <c r="C15" s="2521" t="str">
        <f>IF('1'!G5="","Enter Project Name on Form 1",(CONCATENATE("Project Name: ",'1'!G5)))</f>
        <v>Project Name: Filipino Community Village</v>
      </c>
      <c r="D15" s="2521"/>
      <c r="E15" s="2521"/>
      <c r="F15" s="2521"/>
      <c r="G15" s="2521"/>
      <c r="H15" s="2521"/>
      <c r="I15" s="2521"/>
      <c r="J15" s="130"/>
      <c r="K15" s="130"/>
      <c r="L15" s="130"/>
      <c r="M15" s="312"/>
    </row>
    <row r="16" spans="2:13" ht="22.5" customHeight="1" x14ac:dyDescent="0.25">
      <c r="B16" s="310"/>
      <c r="C16" s="313"/>
      <c r="D16" s="311"/>
      <c r="E16" s="311"/>
      <c r="F16" s="311"/>
      <c r="G16" s="311"/>
      <c r="H16" s="311"/>
      <c r="I16" s="661"/>
      <c r="J16" s="661"/>
      <c r="K16" s="661"/>
      <c r="L16" s="661"/>
      <c r="M16" s="312"/>
    </row>
    <row r="17" spans="2:13" ht="16.5" thickBot="1" x14ac:dyDescent="0.3">
      <c r="B17" s="310"/>
      <c r="C17" s="325" t="s">
        <v>480</v>
      </c>
      <c r="D17" s="314"/>
      <c r="E17" s="315"/>
      <c r="F17" s="313"/>
      <c r="G17" s="313"/>
      <c r="H17" s="313"/>
      <c r="I17" s="313"/>
      <c r="J17" s="313"/>
      <c r="K17" s="313"/>
      <c r="L17" s="313"/>
      <c r="M17" s="312"/>
    </row>
    <row r="18" spans="2:13" ht="24.75" thickBot="1" x14ac:dyDescent="0.3">
      <c r="B18" s="316"/>
      <c r="C18" s="738" t="s">
        <v>481</v>
      </c>
      <c r="D18" s="994" t="s">
        <v>482</v>
      </c>
      <c r="E18" s="317" t="s">
        <v>483</v>
      </c>
      <c r="F18" s="318" t="s">
        <v>484</v>
      </c>
      <c r="G18" s="318" t="s">
        <v>485</v>
      </c>
      <c r="H18" s="318" t="s">
        <v>513</v>
      </c>
      <c r="I18" s="318" t="s">
        <v>486</v>
      </c>
      <c r="J18" s="318" t="s">
        <v>607</v>
      </c>
      <c r="K18" s="318" t="s">
        <v>487</v>
      </c>
      <c r="L18" s="319" t="s">
        <v>488</v>
      </c>
      <c r="M18" s="309"/>
    </row>
    <row r="19" spans="2:13" ht="39" x14ac:dyDescent="0.25">
      <c r="B19" s="320"/>
      <c r="C19" s="993" t="s">
        <v>1921</v>
      </c>
      <c r="D19" s="980" t="s">
        <v>609</v>
      </c>
      <c r="E19" s="981" t="s">
        <v>613</v>
      </c>
      <c r="F19" s="989" t="s">
        <v>1922</v>
      </c>
      <c r="G19" s="983" t="s">
        <v>1923</v>
      </c>
      <c r="H19" s="984" t="s">
        <v>1924</v>
      </c>
      <c r="I19" s="984" t="s">
        <v>1925</v>
      </c>
      <c r="J19" s="984" t="s">
        <v>619</v>
      </c>
      <c r="K19" s="1010" t="s">
        <v>1926</v>
      </c>
      <c r="L19" s="985" t="s">
        <v>1927</v>
      </c>
      <c r="M19" s="309"/>
    </row>
    <row r="20" spans="2:13" ht="39" x14ac:dyDescent="0.25">
      <c r="B20" s="316"/>
      <c r="C20" s="991" t="s">
        <v>1928</v>
      </c>
      <c r="D20" s="1012" t="s">
        <v>609</v>
      </c>
      <c r="E20" s="1013" t="s">
        <v>613</v>
      </c>
      <c r="F20" s="982" t="s">
        <v>1922</v>
      </c>
      <c r="G20" s="983" t="s">
        <v>1929</v>
      </c>
      <c r="H20" s="984" t="s">
        <v>1930</v>
      </c>
      <c r="I20" s="984" t="s">
        <v>1931</v>
      </c>
      <c r="J20" s="984" t="s">
        <v>619</v>
      </c>
      <c r="K20" s="1010" t="s">
        <v>1925</v>
      </c>
      <c r="L20" s="985" t="s">
        <v>1932</v>
      </c>
      <c r="M20" s="309"/>
    </row>
    <row r="21" spans="2:13" hidden="1" x14ac:dyDescent="0.25">
      <c r="B21" s="316"/>
      <c r="C21" s="991"/>
      <c r="D21" s="1012"/>
      <c r="E21" s="1013"/>
      <c r="F21" s="986"/>
      <c r="G21" s="983"/>
      <c r="H21" s="984"/>
      <c r="I21" s="984"/>
      <c r="J21" s="984"/>
      <c r="K21" s="1010"/>
      <c r="L21" s="985"/>
      <c r="M21" s="309"/>
    </row>
    <row r="22" spans="2:13" hidden="1" x14ac:dyDescent="0.25">
      <c r="B22" s="316"/>
      <c r="C22" s="991"/>
      <c r="D22" s="1012"/>
      <c r="E22" s="1013"/>
      <c r="F22" s="986"/>
      <c r="G22" s="983"/>
      <c r="H22" s="984"/>
      <c r="I22" s="984"/>
      <c r="J22" s="984"/>
      <c r="K22" s="1010"/>
      <c r="L22" s="985"/>
      <c r="M22" s="309"/>
    </row>
    <row r="23" spans="2:13" ht="26.25" x14ac:dyDescent="0.25">
      <c r="B23" s="316"/>
      <c r="C23" s="991" t="s">
        <v>1933</v>
      </c>
      <c r="D23" s="1012" t="s">
        <v>609</v>
      </c>
      <c r="E23" s="1013" t="s">
        <v>613</v>
      </c>
      <c r="F23" s="986" t="s">
        <v>1922</v>
      </c>
      <c r="G23" s="983" t="s">
        <v>1934</v>
      </c>
      <c r="H23" s="984" t="s">
        <v>1935</v>
      </c>
      <c r="I23" s="984" t="s">
        <v>1936</v>
      </c>
      <c r="J23" s="984" t="s">
        <v>619</v>
      </c>
      <c r="K23" s="1010" t="s">
        <v>1937</v>
      </c>
      <c r="L23" s="985" t="s">
        <v>1938</v>
      </c>
      <c r="M23" s="309"/>
    </row>
    <row r="24" spans="2:13" ht="26.25" x14ac:dyDescent="0.25">
      <c r="B24" s="316"/>
      <c r="C24" s="991" t="s">
        <v>1939</v>
      </c>
      <c r="D24" s="1012" t="s">
        <v>609</v>
      </c>
      <c r="E24" s="1013" t="s">
        <v>612</v>
      </c>
      <c r="F24" s="986" t="s">
        <v>1922</v>
      </c>
      <c r="G24" s="983" t="s">
        <v>1940</v>
      </c>
      <c r="H24" s="984" t="s">
        <v>1941</v>
      </c>
      <c r="I24" s="984" t="s">
        <v>1925</v>
      </c>
      <c r="J24" s="984" t="s">
        <v>619</v>
      </c>
      <c r="K24" s="1010" t="s">
        <v>1937</v>
      </c>
      <c r="L24" s="985" t="s">
        <v>1942</v>
      </c>
      <c r="M24" s="309"/>
    </row>
    <row r="25" spans="2:13" hidden="1" x14ac:dyDescent="0.25">
      <c r="B25" s="316"/>
      <c r="C25" s="991"/>
      <c r="D25" s="1012"/>
      <c r="E25" s="1013"/>
      <c r="F25" s="986"/>
      <c r="G25" s="983"/>
      <c r="H25" s="984"/>
      <c r="I25" s="984"/>
      <c r="J25" s="984"/>
      <c r="K25" s="1010"/>
      <c r="L25" s="985"/>
      <c r="M25" s="309"/>
    </row>
    <row r="26" spans="2:13" hidden="1" x14ac:dyDescent="0.25">
      <c r="B26" s="316"/>
      <c r="C26" s="1023"/>
      <c r="D26" s="1024"/>
      <c r="E26" s="1025"/>
      <c r="F26" s="1026"/>
      <c r="G26" s="1018"/>
      <c r="H26" s="1019"/>
      <c r="I26" s="1019"/>
      <c r="J26" s="1019"/>
      <c r="K26" s="1021"/>
      <c r="L26" s="1022"/>
      <c r="M26" s="309"/>
    </row>
    <row r="27" spans="2:13" ht="6.75" customHeight="1" thickBot="1" x14ac:dyDescent="0.3">
      <c r="B27" s="316"/>
      <c r="C27" s="1639"/>
      <c r="D27" s="1640"/>
      <c r="E27" s="1640"/>
      <c r="F27" s="1641"/>
      <c r="G27" s="1642"/>
      <c r="H27" s="1643"/>
      <c r="I27" s="1643"/>
      <c r="J27" s="1643"/>
      <c r="K27" s="1643"/>
      <c r="L27" s="1644"/>
      <c r="M27" s="309"/>
    </row>
    <row r="28" spans="2:13" ht="7.5" customHeight="1" x14ac:dyDescent="0.25">
      <c r="B28" s="316"/>
      <c r="C28" s="335"/>
      <c r="D28" s="335"/>
      <c r="E28" s="335"/>
      <c r="F28" s="662"/>
      <c r="G28" s="335"/>
      <c r="H28" s="663"/>
      <c r="I28" s="663"/>
      <c r="J28" s="663"/>
      <c r="K28" s="663"/>
      <c r="L28" s="663"/>
      <c r="M28" s="309"/>
    </row>
    <row r="29" spans="2:13" ht="16.5" thickBot="1" x14ac:dyDescent="0.3">
      <c r="B29" s="310"/>
      <c r="C29" s="325" t="s">
        <v>489</v>
      </c>
      <c r="D29" s="314"/>
      <c r="E29" s="315"/>
      <c r="F29" s="313"/>
      <c r="G29" s="313"/>
      <c r="H29" s="313"/>
      <c r="I29" s="313"/>
      <c r="J29" s="313"/>
      <c r="K29" s="313"/>
      <c r="L29" s="313"/>
      <c r="M29" s="312"/>
    </row>
    <row r="30" spans="2:13" ht="24.75" thickBot="1" x14ac:dyDescent="0.3">
      <c r="B30" s="316"/>
      <c r="C30" s="738" t="s">
        <v>490</v>
      </c>
      <c r="D30" s="994" t="s">
        <v>482</v>
      </c>
      <c r="E30" s="317" t="s">
        <v>483</v>
      </c>
      <c r="F30" s="318" t="s">
        <v>484</v>
      </c>
      <c r="G30" s="318" t="s">
        <v>485</v>
      </c>
      <c r="H30" s="318" t="s">
        <v>513</v>
      </c>
      <c r="I30" s="318" t="s">
        <v>606</v>
      </c>
      <c r="J30" s="318" t="s">
        <v>607</v>
      </c>
      <c r="K30" s="318" t="s">
        <v>516</v>
      </c>
      <c r="L30" s="319" t="s">
        <v>488</v>
      </c>
      <c r="M30" s="309"/>
    </row>
    <row r="31" spans="2:13" ht="26.25" x14ac:dyDescent="0.25">
      <c r="B31" s="320"/>
      <c r="C31" s="992" t="s">
        <v>1943</v>
      </c>
      <c r="D31" s="975" t="s">
        <v>609</v>
      </c>
      <c r="E31" s="976" t="s">
        <v>613</v>
      </c>
      <c r="F31" s="988" t="s">
        <v>1922</v>
      </c>
      <c r="G31" s="977" t="s">
        <v>1944</v>
      </c>
      <c r="H31" s="978" t="s">
        <v>1945</v>
      </c>
      <c r="I31" s="1007" t="s">
        <v>603</v>
      </c>
      <c r="J31" s="978" t="s">
        <v>619</v>
      </c>
      <c r="K31" s="1009" t="s">
        <v>1946</v>
      </c>
      <c r="L31" s="979" t="s">
        <v>1947</v>
      </c>
      <c r="M31" s="309"/>
    </row>
    <row r="32" spans="2:13" hidden="1" x14ac:dyDescent="0.25">
      <c r="B32" s="316"/>
      <c r="M32" s="309"/>
    </row>
    <row r="33" spans="2:13" ht="26.25" x14ac:dyDescent="0.25">
      <c r="B33" s="316"/>
      <c r="C33" s="993" t="s">
        <v>1948</v>
      </c>
      <c r="D33" s="980" t="s">
        <v>609</v>
      </c>
      <c r="E33" s="981" t="s">
        <v>613</v>
      </c>
      <c r="F33" s="990" t="s">
        <v>1922</v>
      </c>
      <c r="G33" s="983" t="s">
        <v>1949</v>
      </c>
      <c r="H33" s="984" t="s">
        <v>1950</v>
      </c>
      <c r="I33" s="1008" t="s">
        <v>602</v>
      </c>
      <c r="J33" s="984" t="s">
        <v>619</v>
      </c>
      <c r="K33" s="1010" t="s">
        <v>1951</v>
      </c>
      <c r="L33" s="985" t="s">
        <v>1382</v>
      </c>
      <c r="M33" s="309"/>
    </row>
    <row r="34" spans="2:13" ht="26.25" x14ac:dyDescent="0.25">
      <c r="B34" s="316"/>
      <c r="C34" s="993" t="s">
        <v>1952</v>
      </c>
      <c r="D34" s="980" t="s">
        <v>609</v>
      </c>
      <c r="E34" s="981" t="s">
        <v>612</v>
      </c>
      <c r="F34" s="990" t="s">
        <v>1922</v>
      </c>
      <c r="G34" s="983" t="s">
        <v>1923</v>
      </c>
      <c r="H34" s="984" t="s">
        <v>1941</v>
      </c>
      <c r="I34" s="1008" t="s">
        <v>603</v>
      </c>
      <c r="J34" s="984" t="s">
        <v>619</v>
      </c>
      <c r="K34" s="1010" t="s">
        <v>1953</v>
      </c>
      <c r="L34" s="985" t="s">
        <v>1954</v>
      </c>
      <c r="M34" s="309"/>
    </row>
    <row r="35" spans="2:13" ht="26.25" x14ac:dyDescent="0.25">
      <c r="B35" s="316"/>
      <c r="C35" s="993" t="s">
        <v>1955</v>
      </c>
      <c r="D35" s="980" t="s">
        <v>609</v>
      </c>
      <c r="E35" s="981" t="s">
        <v>613</v>
      </c>
      <c r="F35" s="990" t="s">
        <v>1956</v>
      </c>
      <c r="G35" s="983" t="s">
        <v>1957</v>
      </c>
      <c r="H35" s="984" t="s">
        <v>1958</v>
      </c>
      <c r="I35" s="1008" t="s">
        <v>602</v>
      </c>
      <c r="J35" s="984" t="s">
        <v>619</v>
      </c>
      <c r="K35" s="1010" t="s">
        <v>1946</v>
      </c>
      <c r="L35" s="985" t="s">
        <v>1383</v>
      </c>
      <c r="M35" s="309"/>
    </row>
    <row r="36" spans="2:13" ht="26.25" x14ac:dyDescent="0.25">
      <c r="B36" s="316"/>
      <c r="C36" s="1014" t="s">
        <v>1959</v>
      </c>
      <c r="D36" s="1015" t="s">
        <v>609</v>
      </c>
      <c r="E36" s="1016" t="s">
        <v>613</v>
      </c>
      <c r="F36" s="1017" t="s">
        <v>1922</v>
      </c>
      <c r="G36" s="1018" t="s">
        <v>1960</v>
      </c>
      <c r="H36" s="1019" t="s">
        <v>1961</v>
      </c>
      <c r="I36" s="1020" t="s">
        <v>603</v>
      </c>
      <c r="J36" s="1019" t="s">
        <v>619</v>
      </c>
      <c r="K36" s="1021" t="s">
        <v>1946</v>
      </c>
      <c r="L36" s="1022" t="s">
        <v>1962</v>
      </c>
      <c r="M36" s="309"/>
    </row>
    <row r="37" spans="2:13" ht="7.5" customHeight="1" thickBot="1" x14ac:dyDescent="0.3">
      <c r="B37" s="316"/>
      <c r="C37" s="1645"/>
      <c r="D37" s="1641"/>
      <c r="E37" s="1641"/>
      <c r="F37" s="1642"/>
      <c r="G37" s="1642"/>
      <c r="H37" s="1643"/>
      <c r="I37" s="1646"/>
      <c r="J37" s="1643"/>
      <c r="K37" s="1643"/>
      <c r="L37" s="1644"/>
      <c r="M37" s="309"/>
    </row>
    <row r="38" spans="2:13" ht="9" customHeight="1" thickBot="1" x14ac:dyDescent="0.3">
      <c r="B38" s="322"/>
      <c r="C38" s="323"/>
      <c r="D38" s="323"/>
      <c r="E38" s="323"/>
      <c r="F38" s="323"/>
      <c r="G38" s="323"/>
      <c r="H38" s="323"/>
      <c r="I38" s="323"/>
      <c r="J38" s="323"/>
      <c r="K38" s="323"/>
      <c r="L38" s="323"/>
      <c r="M38" s="324"/>
    </row>
    <row r="43" spans="2:13" ht="14.25" customHeight="1" x14ac:dyDescent="0.25"/>
  </sheetData>
  <sheetProtection algorithmName="SHA-512" hashValue="1NlZCyaNDVMwbOaG8E0+ZM1SkKvsrCGcBGF0NuvgmG/RcrTT2fOPHiuxzckvaHAYunubJfBTBW08rXmQASg3+w==" saltValue="FuTmV5wqU0TySZN9EBAJGA==" spinCount="100000" sheet="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2016
Version: 1.0</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57"/>
  <sheetViews>
    <sheetView showGridLines="0" topLeftCell="A42" zoomScaleNormal="100" workbookViewId="0">
      <selection activeCell="C54" sqref="C54"/>
    </sheetView>
  </sheetViews>
  <sheetFormatPr defaultRowHeight="15" x14ac:dyDescent="0.25"/>
  <cols>
    <col min="1" max="2" width="1.7109375" style="406" customWidth="1"/>
    <col min="3" max="3" width="27.140625" style="406" customWidth="1"/>
    <col min="4" max="5" width="9.140625" style="406"/>
    <col min="6" max="6" width="15.28515625" style="406" customWidth="1"/>
    <col min="7" max="7" width="14.28515625" style="406" customWidth="1"/>
    <col min="8" max="9" width="16.5703125" style="406" customWidth="1"/>
    <col min="10" max="10" width="14.85546875" style="406" customWidth="1"/>
    <col min="11" max="11" width="17.140625" style="406" customWidth="1"/>
    <col min="12" max="12" width="1.7109375" style="406" customWidth="1"/>
    <col min="13" max="16384" width="9.140625" style="406"/>
  </cols>
  <sheetData>
    <row r="14" spans="2:12" ht="7.5" customHeight="1" thickBot="1" x14ac:dyDescent="0.3">
      <c r="B14" s="660"/>
      <c r="C14" s="660"/>
      <c r="D14" s="660"/>
      <c r="E14" s="660"/>
      <c r="F14" s="660"/>
      <c r="G14" s="660"/>
      <c r="H14" s="660"/>
      <c r="I14" s="660"/>
      <c r="J14" s="660"/>
      <c r="K14" s="660"/>
      <c r="L14" s="660"/>
    </row>
    <row r="15" spans="2:12" ht="9" customHeight="1" x14ac:dyDescent="0.3">
      <c r="B15" s="304"/>
      <c r="C15" s="326"/>
      <c r="D15" s="305"/>
      <c r="E15" s="305"/>
      <c r="F15" s="305"/>
      <c r="G15" s="305"/>
      <c r="H15" s="305"/>
      <c r="I15" s="306"/>
      <c r="J15" s="305"/>
      <c r="K15" s="305"/>
      <c r="L15" s="307"/>
    </row>
    <row r="16" spans="2:12" ht="18.75" x14ac:dyDescent="0.3">
      <c r="B16" s="308"/>
      <c r="C16" s="1518" t="s">
        <v>544</v>
      </c>
      <c r="D16" s="727"/>
      <c r="E16" s="727"/>
      <c r="F16" s="727"/>
      <c r="G16" s="727"/>
      <c r="H16" s="727"/>
      <c r="I16" s="727"/>
      <c r="J16" s="727"/>
      <c r="K16" s="727"/>
      <c r="L16" s="309"/>
    </row>
    <row r="17" spans="2:12" ht="15" customHeight="1" x14ac:dyDescent="0.3">
      <c r="B17" s="308"/>
      <c r="C17" s="1517"/>
      <c r="D17" s="739"/>
      <c r="E17" s="739"/>
      <c r="F17" s="739"/>
      <c r="G17" s="739"/>
      <c r="H17" s="739"/>
      <c r="I17" s="739"/>
      <c r="J17" s="739"/>
      <c r="K17" s="739"/>
      <c r="L17" s="309"/>
    </row>
    <row r="18" spans="2:12" ht="15.75" thickBot="1" x14ac:dyDescent="0.3">
      <c r="B18" s="310"/>
      <c r="C18" s="2521" t="str">
        <f>IF('1'!G5="","Enter Project Name on Form 1",(CONCATENATE("Project Name: ",'1'!G5)))</f>
        <v>Project Name: Filipino Community Village</v>
      </c>
      <c r="D18" s="2521"/>
      <c r="E18" s="2521"/>
      <c r="F18" s="2521"/>
      <c r="G18" s="2521"/>
      <c r="H18" s="2521"/>
      <c r="I18" s="2521"/>
      <c r="J18" s="2521"/>
      <c r="K18" s="499"/>
      <c r="L18" s="312"/>
    </row>
    <row r="19" spans="2:12" ht="22.5" customHeight="1" x14ac:dyDescent="0.25">
      <c r="B19" s="310"/>
      <c r="C19" s="194"/>
      <c r="D19" s="311"/>
      <c r="E19" s="311"/>
      <c r="F19" s="311"/>
      <c r="G19" s="311"/>
      <c r="H19" s="311"/>
      <c r="I19" s="311"/>
      <c r="J19" s="311"/>
      <c r="K19" s="313"/>
      <c r="L19" s="312"/>
    </row>
    <row r="20" spans="2:12" ht="15.75" customHeight="1" x14ac:dyDescent="0.25">
      <c r="B20" s="310"/>
      <c r="C20" s="330" t="s">
        <v>491</v>
      </c>
      <c r="D20" s="330"/>
      <c r="E20" s="330"/>
      <c r="F20" s="330"/>
      <c r="G20" s="330"/>
      <c r="H20" s="313"/>
      <c r="I20" s="313"/>
      <c r="J20" s="313"/>
      <c r="K20" s="313"/>
      <c r="L20" s="312"/>
    </row>
    <row r="21" spans="2:12" x14ac:dyDescent="0.25">
      <c r="B21" s="316"/>
      <c r="C21" s="1519" t="s">
        <v>492</v>
      </c>
      <c r="D21" s="331" t="str">
        <f>IF('1'!G15="","Enter Development Consultant Firm Name on Form 1A",'1'!G15)</f>
        <v>Beacon Development Group</v>
      </c>
      <c r="E21" s="332"/>
      <c r="F21" s="332"/>
      <c r="G21" s="332"/>
      <c r="H21" s="332"/>
      <c r="I21" s="1027"/>
      <c r="J21" s="333"/>
      <c r="K21" s="661"/>
      <c r="L21" s="327"/>
    </row>
    <row r="22" spans="2:12" ht="3.75" customHeight="1" thickBot="1" x14ac:dyDescent="0.3">
      <c r="B22" s="316"/>
      <c r="C22" s="328"/>
      <c r="D22" s="661"/>
      <c r="E22" s="661"/>
      <c r="F22" s="661"/>
      <c r="G22" s="661"/>
      <c r="H22" s="661"/>
      <c r="I22" s="661"/>
      <c r="J22" s="661"/>
      <c r="K22" s="661"/>
      <c r="L22" s="309"/>
    </row>
    <row r="23" spans="2:12" ht="24.75" thickBot="1" x14ac:dyDescent="0.3">
      <c r="B23" s="316"/>
      <c r="C23" s="334" t="s">
        <v>481</v>
      </c>
      <c r="D23" s="994" t="s">
        <v>482</v>
      </c>
      <c r="E23" s="317" t="s">
        <v>483</v>
      </c>
      <c r="F23" s="318" t="s">
        <v>485</v>
      </c>
      <c r="G23" s="318" t="s">
        <v>513</v>
      </c>
      <c r="H23" s="318" t="s">
        <v>486</v>
      </c>
      <c r="I23" s="994" t="s">
        <v>615</v>
      </c>
      <c r="J23" s="318" t="s">
        <v>487</v>
      </c>
      <c r="K23" s="319" t="s">
        <v>488</v>
      </c>
      <c r="L23" s="309"/>
    </row>
    <row r="24" spans="2:12" ht="39" x14ac:dyDescent="0.25">
      <c r="B24" s="320"/>
      <c r="C24" s="996" t="s">
        <v>1974</v>
      </c>
      <c r="D24" s="981" t="s">
        <v>609</v>
      </c>
      <c r="E24" s="2123" t="s">
        <v>613</v>
      </c>
      <c r="F24" s="986" t="s">
        <v>1975</v>
      </c>
      <c r="G24" s="982">
        <v>51</v>
      </c>
      <c r="H24" s="982" t="s">
        <v>1976</v>
      </c>
      <c r="I24" s="2124" t="s">
        <v>619</v>
      </c>
      <c r="J24" s="984" t="s">
        <v>1977</v>
      </c>
      <c r="K24" s="985" t="s">
        <v>1978</v>
      </c>
      <c r="L24" s="309"/>
    </row>
    <row r="25" spans="2:12" x14ac:dyDescent="0.25">
      <c r="B25" s="316"/>
      <c r="C25" s="996" t="s">
        <v>1979</v>
      </c>
      <c r="D25" s="981" t="s">
        <v>610</v>
      </c>
      <c r="E25" s="2123" t="s">
        <v>614</v>
      </c>
      <c r="F25" s="986" t="s">
        <v>1980</v>
      </c>
      <c r="G25" s="982">
        <v>108</v>
      </c>
      <c r="H25" s="982" t="s">
        <v>1981</v>
      </c>
      <c r="I25" s="2124" t="s">
        <v>619</v>
      </c>
      <c r="J25" s="984" t="s">
        <v>1982</v>
      </c>
      <c r="K25" s="985" t="s">
        <v>1360</v>
      </c>
      <c r="L25" s="309"/>
    </row>
    <row r="26" spans="2:12" x14ac:dyDescent="0.25">
      <c r="B26" s="316"/>
      <c r="C26" s="996" t="s">
        <v>1983</v>
      </c>
      <c r="D26" s="981" t="s">
        <v>609</v>
      </c>
      <c r="E26" s="2123" t="s">
        <v>612</v>
      </c>
      <c r="F26" s="986" t="s">
        <v>1975</v>
      </c>
      <c r="G26" s="982">
        <v>50</v>
      </c>
      <c r="H26" s="982" t="s">
        <v>1984</v>
      </c>
      <c r="I26" s="2124" t="s">
        <v>619</v>
      </c>
      <c r="J26" s="984" t="s">
        <v>1982</v>
      </c>
      <c r="K26" s="985" t="s">
        <v>1985</v>
      </c>
      <c r="L26" s="309"/>
    </row>
    <row r="27" spans="2:12" x14ac:dyDescent="0.25">
      <c r="B27" s="316"/>
      <c r="C27" s="996" t="s">
        <v>1986</v>
      </c>
      <c r="D27" s="981" t="s">
        <v>609</v>
      </c>
      <c r="E27" s="2123" t="s">
        <v>613</v>
      </c>
      <c r="F27" s="986" t="s">
        <v>1929</v>
      </c>
      <c r="G27" s="982">
        <v>169</v>
      </c>
      <c r="H27" s="982" t="s">
        <v>1987</v>
      </c>
      <c r="I27" s="2124" t="s">
        <v>619</v>
      </c>
      <c r="J27" s="984" t="s">
        <v>1988</v>
      </c>
      <c r="K27" s="985" t="s">
        <v>1989</v>
      </c>
      <c r="L27" s="309"/>
    </row>
    <row r="28" spans="2:12" ht="26.25" x14ac:dyDescent="0.25">
      <c r="B28" s="316"/>
      <c r="C28" s="996" t="s">
        <v>1990</v>
      </c>
      <c r="D28" s="981" t="s">
        <v>609</v>
      </c>
      <c r="E28" s="2123" t="s">
        <v>612</v>
      </c>
      <c r="F28" s="986" t="s">
        <v>1991</v>
      </c>
      <c r="G28" s="982">
        <v>51</v>
      </c>
      <c r="H28" s="982" t="s">
        <v>1992</v>
      </c>
      <c r="I28" s="2124" t="s">
        <v>619</v>
      </c>
      <c r="J28" s="984" t="s">
        <v>1993</v>
      </c>
      <c r="K28" s="985" t="s">
        <v>1994</v>
      </c>
      <c r="L28" s="309"/>
    </row>
    <row r="29" spans="2:12" x14ac:dyDescent="0.25">
      <c r="B29" s="321"/>
      <c r="C29" s="996" t="s">
        <v>1995</v>
      </c>
      <c r="D29" s="981" t="s">
        <v>609</v>
      </c>
      <c r="E29" s="2123" t="s">
        <v>613</v>
      </c>
      <c r="F29" s="986" t="s">
        <v>1996</v>
      </c>
      <c r="G29" s="982">
        <v>198</v>
      </c>
      <c r="H29" s="982" t="s">
        <v>1997</v>
      </c>
      <c r="I29" s="2124" t="s">
        <v>619</v>
      </c>
      <c r="J29" s="984" t="s">
        <v>1998</v>
      </c>
      <c r="K29" s="985" t="s">
        <v>1999</v>
      </c>
      <c r="L29" s="309"/>
    </row>
    <row r="30" spans="2:12" ht="26.25" x14ac:dyDescent="0.25">
      <c r="B30" s="321"/>
      <c r="C30" s="996" t="s">
        <v>2000</v>
      </c>
      <c r="D30" s="981" t="s">
        <v>609</v>
      </c>
      <c r="E30" s="2123" t="s">
        <v>613</v>
      </c>
      <c r="F30" s="986" t="s">
        <v>1996</v>
      </c>
      <c r="G30" s="982">
        <v>54</v>
      </c>
      <c r="H30" s="982" t="s">
        <v>2001</v>
      </c>
      <c r="I30" s="2124" t="s">
        <v>619</v>
      </c>
      <c r="J30" s="984" t="s">
        <v>2002</v>
      </c>
      <c r="K30" s="985" t="s">
        <v>2003</v>
      </c>
      <c r="L30" s="309"/>
    </row>
    <row r="31" spans="2:12" x14ac:dyDescent="0.25">
      <c r="B31" s="321"/>
      <c r="C31" s="996" t="s">
        <v>2004</v>
      </c>
      <c r="D31" s="981" t="s">
        <v>609</v>
      </c>
      <c r="E31" s="2123" t="s">
        <v>613</v>
      </c>
      <c r="F31" s="986" t="s">
        <v>1934</v>
      </c>
      <c r="G31" s="982">
        <v>41</v>
      </c>
      <c r="H31" s="982" t="s">
        <v>2005</v>
      </c>
      <c r="I31" s="2124" t="s">
        <v>619</v>
      </c>
      <c r="J31" s="984" t="s">
        <v>2006</v>
      </c>
      <c r="K31" s="985" t="s">
        <v>1985</v>
      </c>
      <c r="L31" s="309"/>
    </row>
    <row r="32" spans="2:12" x14ac:dyDescent="0.25">
      <c r="B32" s="321"/>
      <c r="C32" s="996" t="s">
        <v>2007</v>
      </c>
      <c r="D32" s="981" t="s">
        <v>609</v>
      </c>
      <c r="E32" s="2123" t="s">
        <v>612</v>
      </c>
      <c r="F32" s="986" t="s">
        <v>2008</v>
      </c>
      <c r="G32" s="982">
        <v>68</v>
      </c>
      <c r="H32" s="982" t="s">
        <v>1977</v>
      </c>
      <c r="I32" s="2124" t="s">
        <v>619</v>
      </c>
      <c r="J32" s="984" t="s">
        <v>2009</v>
      </c>
      <c r="K32" s="985" t="s">
        <v>2010</v>
      </c>
      <c r="L32" s="309"/>
    </row>
    <row r="33" spans="2:12" x14ac:dyDescent="0.25">
      <c r="B33" s="321"/>
      <c r="C33" s="996" t="s">
        <v>2011</v>
      </c>
      <c r="D33" s="981" t="s">
        <v>609</v>
      </c>
      <c r="E33" s="2123" t="s">
        <v>612</v>
      </c>
      <c r="F33" s="986" t="s">
        <v>1996</v>
      </c>
      <c r="G33" s="982">
        <v>74</v>
      </c>
      <c r="H33" s="982" t="s">
        <v>2012</v>
      </c>
      <c r="I33" s="2124" t="s">
        <v>619</v>
      </c>
      <c r="J33" s="984" t="s">
        <v>2013</v>
      </c>
      <c r="K33" s="985" t="s">
        <v>2014</v>
      </c>
      <c r="L33" s="309"/>
    </row>
    <row r="34" spans="2:12" x14ac:dyDescent="0.25">
      <c r="B34" s="321"/>
      <c r="C34" s="996" t="s">
        <v>2015</v>
      </c>
      <c r="D34" s="981" t="s">
        <v>609</v>
      </c>
      <c r="E34" s="2123" t="s">
        <v>612</v>
      </c>
      <c r="F34" s="986" t="s">
        <v>1940</v>
      </c>
      <c r="G34" s="982">
        <v>81</v>
      </c>
      <c r="H34" s="982" t="s">
        <v>1987</v>
      </c>
      <c r="I34" s="2124" t="s">
        <v>619</v>
      </c>
      <c r="J34" s="984" t="s">
        <v>2013</v>
      </c>
      <c r="K34" s="985" t="s">
        <v>2016</v>
      </c>
      <c r="L34" s="309"/>
    </row>
    <row r="35" spans="2:12" x14ac:dyDescent="0.25">
      <c r="B35" s="321"/>
      <c r="C35" s="996" t="s">
        <v>2017</v>
      </c>
      <c r="D35" s="981" t="s">
        <v>609</v>
      </c>
      <c r="E35" s="2123" t="s">
        <v>613</v>
      </c>
      <c r="F35" s="986" t="s">
        <v>2018</v>
      </c>
      <c r="G35" s="982">
        <v>146</v>
      </c>
      <c r="H35" s="982" t="s">
        <v>2012</v>
      </c>
      <c r="I35" s="2124" t="s">
        <v>619</v>
      </c>
      <c r="J35" s="984" t="s">
        <v>2019</v>
      </c>
      <c r="K35" s="985" t="s">
        <v>1999</v>
      </c>
      <c r="L35" s="309"/>
    </row>
    <row r="36" spans="2:12" x14ac:dyDescent="0.25">
      <c r="B36" s="321"/>
      <c r="C36" s="996" t="s">
        <v>2020</v>
      </c>
      <c r="D36" s="981" t="s">
        <v>609</v>
      </c>
      <c r="E36" s="2123" t="s">
        <v>613</v>
      </c>
      <c r="F36" s="986" t="s">
        <v>1960</v>
      </c>
      <c r="G36" s="982">
        <v>150</v>
      </c>
      <c r="H36" s="982" t="s">
        <v>2021</v>
      </c>
      <c r="I36" s="2124" t="s">
        <v>619</v>
      </c>
      <c r="J36" s="984" t="s">
        <v>2022</v>
      </c>
      <c r="K36" s="985" t="s">
        <v>1989</v>
      </c>
      <c r="L36" s="309"/>
    </row>
    <row r="37" spans="2:12" x14ac:dyDescent="0.25">
      <c r="B37" s="321"/>
      <c r="C37" s="996" t="s">
        <v>2023</v>
      </c>
      <c r="D37" s="981" t="s">
        <v>609</v>
      </c>
      <c r="E37" s="2123" t="s">
        <v>612</v>
      </c>
      <c r="F37" s="986" t="s">
        <v>1996</v>
      </c>
      <c r="G37" s="982">
        <v>21</v>
      </c>
      <c r="H37" s="982" t="s">
        <v>2001</v>
      </c>
      <c r="I37" s="2124" t="s">
        <v>619</v>
      </c>
      <c r="J37" s="984" t="s">
        <v>2024</v>
      </c>
      <c r="K37" s="985" t="s">
        <v>2025</v>
      </c>
      <c r="L37" s="309"/>
    </row>
    <row r="38" spans="2:12" x14ac:dyDescent="0.25">
      <c r="B38" s="321"/>
      <c r="C38" s="996" t="s">
        <v>2026</v>
      </c>
      <c r="D38" s="981" t="s">
        <v>609</v>
      </c>
      <c r="E38" s="2123" t="s">
        <v>612</v>
      </c>
      <c r="F38" s="986" t="s">
        <v>2027</v>
      </c>
      <c r="G38" s="982">
        <v>38</v>
      </c>
      <c r="H38" s="982" t="s">
        <v>2028</v>
      </c>
      <c r="I38" s="2124" t="s">
        <v>619</v>
      </c>
      <c r="J38" s="984" t="s">
        <v>2029</v>
      </c>
      <c r="K38" s="985" t="s">
        <v>2014</v>
      </c>
      <c r="L38" s="309"/>
    </row>
    <row r="39" spans="2:12" x14ac:dyDescent="0.25">
      <c r="B39" s="321"/>
      <c r="C39" s="775" t="s">
        <v>2030</v>
      </c>
      <c r="D39" s="981" t="s">
        <v>609</v>
      </c>
      <c r="E39" s="2123" t="s">
        <v>613</v>
      </c>
      <c r="F39" s="986" t="s">
        <v>1996</v>
      </c>
      <c r="G39" s="982">
        <v>124</v>
      </c>
      <c r="H39" s="982" t="s">
        <v>2031</v>
      </c>
      <c r="I39" s="2124" t="s">
        <v>619</v>
      </c>
      <c r="J39" s="984" t="s">
        <v>2032</v>
      </c>
      <c r="K39" s="985" t="s">
        <v>2033</v>
      </c>
      <c r="L39" s="309"/>
    </row>
    <row r="40" spans="2:12" x14ac:dyDescent="0.25">
      <c r="B40" s="321"/>
      <c r="C40" s="775" t="s">
        <v>2034</v>
      </c>
      <c r="D40" s="981" t="s">
        <v>609</v>
      </c>
      <c r="E40" s="2123" t="s">
        <v>612</v>
      </c>
      <c r="F40" s="986" t="s">
        <v>1996</v>
      </c>
      <c r="G40" s="982">
        <v>112</v>
      </c>
      <c r="H40" s="982" t="s">
        <v>1977</v>
      </c>
      <c r="I40" s="2124" t="s">
        <v>619</v>
      </c>
      <c r="J40" s="984" t="s">
        <v>2035</v>
      </c>
      <c r="K40" s="985" t="s">
        <v>2014</v>
      </c>
      <c r="L40" s="309"/>
    </row>
    <row r="41" spans="2:12" ht="26.25" x14ac:dyDescent="0.25">
      <c r="B41" s="321"/>
      <c r="C41" s="775" t="s">
        <v>2036</v>
      </c>
      <c r="D41" s="981" t="s">
        <v>609</v>
      </c>
      <c r="E41" s="2123" t="s">
        <v>612</v>
      </c>
      <c r="F41" s="986" t="s">
        <v>2037</v>
      </c>
      <c r="G41" s="982">
        <v>60</v>
      </c>
      <c r="H41" s="984" t="s">
        <v>1988</v>
      </c>
      <c r="I41" s="2124" t="s">
        <v>619</v>
      </c>
      <c r="J41" s="984" t="s">
        <v>2038</v>
      </c>
      <c r="K41" s="985" t="s">
        <v>2039</v>
      </c>
      <c r="L41" s="309"/>
    </row>
    <row r="42" spans="2:12" x14ac:dyDescent="0.25">
      <c r="B42" s="316"/>
      <c r="C42" s="775" t="s">
        <v>2040</v>
      </c>
      <c r="D42" s="981" t="s">
        <v>609</v>
      </c>
      <c r="E42" s="2123" t="s">
        <v>612</v>
      </c>
      <c r="F42" s="986" t="s">
        <v>1996</v>
      </c>
      <c r="G42" s="982">
        <v>40</v>
      </c>
      <c r="H42" s="984" t="s">
        <v>1988</v>
      </c>
      <c r="I42" s="2124" t="s">
        <v>619</v>
      </c>
      <c r="J42" s="984" t="s">
        <v>2038</v>
      </c>
      <c r="K42" s="985" t="s">
        <v>2041</v>
      </c>
      <c r="L42" s="309"/>
    </row>
    <row r="43" spans="2:12" ht="7.5" customHeight="1" thickBot="1" x14ac:dyDescent="0.3">
      <c r="B43" s="316"/>
      <c r="C43" s="1556"/>
      <c r="D43" s="1647"/>
      <c r="E43" s="1648"/>
      <c r="F43" s="1649"/>
      <c r="G43" s="1650"/>
      <c r="H43" s="1651"/>
      <c r="I43" s="1651"/>
      <c r="J43" s="1652"/>
      <c r="K43" s="1653"/>
      <c r="L43" s="309"/>
    </row>
    <row r="44" spans="2:12" ht="7.5" customHeight="1" x14ac:dyDescent="0.25">
      <c r="B44" s="310"/>
      <c r="C44" s="328"/>
      <c r="D44" s="335"/>
      <c r="E44" s="335"/>
      <c r="F44" s="335"/>
      <c r="G44" s="335"/>
      <c r="H44" s="335"/>
      <c r="I44" s="335"/>
      <c r="J44" s="335"/>
      <c r="K44" s="335"/>
      <c r="L44" s="312"/>
    </row>
    <row r="45" spans="2:12" ht="16.5" customHeight="1" thickBot="1" x14ac:dyDescent="0.3">
      <c r="B45" s="310"/>
      <c r="C45" s="325" t="s">
        <v>493</v>
      </c>
      <c r="D45" s="325"/>
      <c r="E45" s="325"/>
      <c r="F45" s="325"/>
      <c r="G45" s="325"/>
      <c r="H45" s="313"/>
      <c r="I45" s="313"/>
      <c r="J45" s="313"/>
      <c r="K45" s="313"/>
      <c r="L45" s="312"/>
    </row>
    <row r="46" spans="2:12" ht="24.75" thickBot="1" x14ac:dyDescent="0.3">
      <c r="B46" s="316"/>
      <c r="C46" s="334" t="s">
        <v>490</v>
      </c>
      <c r="D46" s="994" t="s">
        <v>482</v>
      </c>
      <c r="E46" s="317" t="s">
        <v>483</v>
      </c>
      <c r="F46" s="318" t="s">
        <v>485</v>
      </c>
      <c r="G46" s="318" t="s">
        <v>513</v>
      </c>
      <c r="H46" s="318" t="s">
        <v>606</v>
      </c>
      <c r="I46" s="994" t="s">
        <v>615</v>
      </c>
      <c r="J46" s="318" t="s">
        <v>616</v>
      </c>
      <c r="K46" s="319" t="s">
        <v>488</v>
      </c>
      <c r="L46" s="309"/>
    </row>
    <row r="47" spans="2:12" x14ac:dyDescent="0.25">
      <c r="B47" s="320"/>
      <c r="C47" s="995" t="s">
        <v>2042</v>
      </c>
      <c r="D47" s="997" t="s">
        <v>609</v>
      </c>
      <c r="E47" s="998" t="s">
        <v>613</v>
      </c>
      <c r="F47" s="976" t="s">
        <v>1960</v>
      </c>
      <c r="G47" s="988">
        <v>141</v>
      </c>
      <c r="H47" s="977" t="s">
        <v>603</v>
      </c>
      <c r="I47" s="977" t="s">
        <v>620</v>
      </c>
      <c r="J47" s="978" t="s">
        <v>2043</v>
      </c>
      <c r="K47" s="979" t="s">
        <v>1985</v>
      </c>
      <c r="L47" s="309"/>
    </row>
    <row r="48" spans="2:12" ht="26.25" x14ac:dyDescent="0.25">
      <c r="B48" s="316"/>
      <c r="C48" s="996" t="s">
        <v>2044</v>
      </c>
      <c r="D48" s="999" t="s">
        <v>609</v>
      </c>
      <c r="E48" s="1000" t="s">
        <v>612</v>
      </c>
      <c r="F48" s="981" t="s">
        <v>1996</v>
      </c>
      <c r="G48" s="989">
        <v>156</v>
      </c>
      <c r="H48" s="983" t="s">
        <v>603</v>
      </c>
      <c r="I48" s="983" t="s">
        <v>619</v>
      </c>
      <c r="J48" s="984" t="s">
        <v>2045</v>
      </c>
      <c r="K48" s="985" t="s">
        <v>2046</v>
      </c>
      <c r="L48" s="309"/>
    </row>
    <row r="49" spans="2:12" x14ac:dyDescent="0.25">
      <c r="B49" s="316"/>
      <c r="C49" s="775" t="s">
        <v>2047</v>
      </c>
      <c r="D49" s="999" t="s">
        <v>609</v>
      </c>
      <c r="E49" s="1000" t="s">
        <v>612</v>
      </c>
      <c r="F49" s="981" t="s">
        <v>2048</v>
      </c>
      <c r="G49" s="990">
        <v>65</v>
      </c>
      <c r="H49" s="983" t="s">
        <v>602</v>
      </c>
      <c r="I49" s="983" t="s">
        <v>619</v>
      </c>
      <c r="J49" s="984" t="s">
        <v>2049</v>
      </c>
      <c r="K49" s="985" t="s">
        <v>2050</v>
      </c>
      <c r="L49" s="309"/>
    </row>
    <row r="50" spans="2:12" x14ac:dyDescent="0.25">
      <c r="B50" s="316"/>
      <c r="C50" s="775" t="s">
        <v>2051</v>
      </c>
      <c r="D50" s="999" t="s">
        <v>609</v>
      </c>
      <c r="E50" s="1000" t="s">
        <v>612</v>
      </c>
      <c r="F50" s="981" t="s">
        <v>2048</v>
      </c>
      <c r="G50" s="990">
        <v>40</v>
      </c>
      <c r="H50" s="983" t="s">
        <v>602</v>
      </c>
      <c r="I50" s="983" t="s">
        <v>619</v>
      </c>
      <c r="J50" s="984" t="s">
        <v>2049</v>
      </c>
      <c r="K50" s="985" t="s">
        <v>2052</v>
      </c>
      <c r="L50" s="309"/>
    </row>
    <row r="51" spans="2:12" x14ac:dyDescent="0.25">
      <c r="B51" s="316"/>
      <c r="C51" s="775" t="s">
        <v>2053</v>
      </c>
      <c r="D51" s="999" t="s">
        <v>609</v>
      </c>
      <c r="E51" s="1000" t="s">
        <v>612</v>
      </c>
      <c r="F51" s="981" t="s">
        <v>1996</v>
      </c>
      <c r="G51" s="990"/>
      <c r="H51" s="983" t="s">
        <v>602</v>
      </c>
      <c r="I51" s="983" t="s">
        <v>619</v>
      </c>
      <c r="J51" s="984" t="s">
        <v>2054</v>
      </c>
      <c r="K51" s="985" t="s">
        <v>2055</v>
      </c>
      <c r="L51" s="309"/>
    </row>
    <row r="52" spans="2:12" x14ac:dyDescent="0.25">
      <c r="B52" s="316"/>
      <c r="C52" s="1029" t="s">
        <v>2056</v>
      </c>
      <c r="D52" s="1030" t="s">
        <v>609</v>
      </c>
      <c r="E52" s="1031" t="s">
        <v>613</v>
      </c>
      <c r="F52" s="1016" t="s">
        <v>1960</v>
      </c>
      <c r="G52" s="1017"/>
      <c r="H52" s="1018" t="s">
        <v>602</v>
      </c>
      <c r="I52" s="1018" t="s">
        <v>619</v>
      </c>
      <c r="J52" s="1019" t="s">
        <v>2054</v>
      </c>
      <c r="K52" s="1022" t="s">
        <v>2057</v>
      </c>
      <c r="L52" s="309"/>
    </row>
    <row r="53" spans="2:12" ht="26.25" x14ac:dyDescent="0.25">
      <c r="B53" s="316"/>
      <c r="C53" s="1029" t="s">
        <v>2058</v>
      </c>
      <c r="D53" s="1030" t="s">
        <v>609</v>
      </c>
      <c r="E53" s="1031" t="s">
        <v>612</v>
      </c>
      <c r="F53" s="1016" t="s">
        <v>1929</v>
      </c>
      <c r="G53" s="1017">
        <v>50</v>
      </c>
      <c r="H53" s="1018" t="s">
        <v>602</v>
      </c>
      <c r="I53" s="1018" t="s">
        <v>619</v>
      </c>
      <c r="J53" s="1019" t="s">
        <v>2054</v>
      </c>
      <c r="K53" s="1022" t="s">
        <v>2059</v>
      </c>
      <c r="L53" s="309"/>
    </row>
    <row r="54" spans="2:12" ht="26.25" x14ac:dyDescent="0.25">
      <c r="B54" s="316"/>
      <c r="C54" s="1029" t="s">
        <v>2136</v>
      </c>
      <c r="D54" s="1030" t="s">
        <v>609</v>
      </c>
      <c r="E54" s="1031" t="s">
        <v>612</v>
      </c>
      <c r="F54" s="1016" t="s">
        <v>1996</v>
      </c>
      <c r="G54" s="1017">
        <v>79</v>
      </c>
      <c r="H54" s="1018" t="s">
        <v>602</v>
      </c>
      <c r="I54" s="1018" t="s">
        <v>619</v>
      </c>
      <c r="J54" s="1019" t="s">
        <v>2060</v>
      </c>
      <c r="K54" s="1022" t="s">
        <v>2063</v>
      </c>
      <c r="L54" s="309"/>
    </row>
    <row r="55" spans="2:12" ht="39" x14ac:dyDescent="0.25">
      <c r="B55" s="316"/>
      <c r="C55" s="1029" t="s">
        <v>1860</v>
      </c>
      <c r="D55" s="1030" t="s">
        <v>609</v>
      </c>
      <c r="E55" s="1031" t="s">
        <v>612</v>
      </c>
      <c r="F55" s="1016" t="s">
        <v>1996</v>
      </c>
      <c r="G55" s="1017">
        <v>77</v>
      </c>
      <c r="H55" s="1018" t="s">
        <v>602</v>
      </c>
      <c r="I55" s="1018" t="s">
        <v>619</v>
      </c>
      <c r="J55" s="1019" t="s">
        <v>2061</v>
      </c>
      <c r="K55" s="1022" t="s">
        <v>2062</v>
      </c>
      <c r="L55" s="309"/>
    </row>
    <row r="56" spans="2:12" ht="7.5" customHeight="1" thickBot="1" x14ac:dyDescent="0.3">
      <c r="B56" s="316"/>
      <c r="C56" s="1556"/>
      <c r="D56" s="1654"/>
      <c r="E56" s="1655"/>
      <c r="F56" s="1648"/>
      <c r="G56" s="1651"/>
      <c r="H56" s="1651"/>
      <c r="I56" s="1651"/>
      <c r="J56" s="1652"/>
      <c r="K56" s="1653"/>
      <c r="L56" s="309"/>
    </row>
    <row r="57" spans="2:12" ht="9" customHeight="1" thickBot="1" x14ac:dyDescent="0.3">
      <c r="B57" s="322"/>
      <c r="C57" s="329"/>
      <c r="D57" s="323"/>
      <c r="E57" s="323"/>
      <c r="F57" s="323"/>
      <c r="G57" s="323"/>
      <c r="H57" s="323"/>
      <c r="I57" s="323"/>
      <c r="J57" s="323"/>
      <c r="K57" s="323"/>
      <c r="L57" s="324"/>
    </row>
  </sheetData>
  <sheetProtection algorithmName="SHA-512" hashValue="vpn7gbyIwfkc0woFxoGj0nqpBfep9h8m5JC0A7+hyLU6m/fEtLzu5z3P6tGA505gN7BaQ9aPFHykG+7DpQhsfg==" saltValue="V1jhQrrdjjq5hHre4kx+6w==" spinCount="100000" sheet="1" formatCells="0" formatColumns="0" formatRows="0" insertRows="0"/>
  <mergeCells count="1">
    <mergeCell ref="C18:J18"/>
  </mergeCells>
  <dataValidations count="4">
    <dataValidation type="list" allowBlank="1" showInputMessage="1" showErrorMessage="1" sqref="I24:I43 I47:I56">
      <formula1>OnTime_OnBudget</formula1>
    </dataValidation>
    <dataValidation type="list" allowBlank="1" showInputMessage="1" showErrorMessage="1" sqref="D24:D43 D47:D56">
      <formula1>Project_Type</formula1>
    </dataValidation>
    <dataValidation type="list" allowBlank="1" showInputMessage="1" showErrorMessage="1" sqref="E24:E43 E47:E56">
      <formula1>Act_Typ</formula1>
    </dataValidation>
    <dataValidation type="list" allowBlank="1" showInputMessage="1" showErrorMessage="1" sqref="H47:H56">
      <formula1>Project_Status</formula1>
    </dataValidation>
  </dataValidations>
  <pageMargins left="0.7" right="0.7" top="0.75" bottom="0.75" header="0.3" footer="0.3"/>
  <pageSetup scale="85" orientation="landscape" r:id="rId1"/>
  <headerFooter>
    <oddFooter>&amp;LForm 9D
Project Development Consultant Experience&amp;CCFA Forms&amp;REdition: 2016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topLeftCell="A11" zoomScaleNormal="100" workbookViewId="0">
      <selection activeCell="M8" sqref="M8"/>
    </sheetView>
  </sheetViews>
  <sheetFormatPr defaultRowHeight="15" x14ac:dyDescent="0.25"/>
  <cols>
    <col min="1" max="2" width="1.7109375" style="406" customWidth="1"/>
    <col min="3" max="3" width="25.7109375" style="406" customWidth="1"/>
    <col min="4" max="4" width="14.28515625" style="406" customWidth="1"/>
    <col min="5" max="5" width="8.5703125" style="406" customWidth="1"/>
    <col min="6" max="6" width="22.85546875" style="406" customWidth="1"/>
    <col min="7" max="8" width="14.28515625" style="406" customWidth="1"/>
    <col min="9" max="9" width="12.85546875" style="406" customWidth="1"/>
    <col min="10" max="10" width="1.7109375" style="406" customWidth="1"/>
    <col min="11" max="16384" width="9.140625" style="406"/>
  </cols>
  <sheetData>
    <row r="5" spans="2:10" ht="19.5" customHeight="1" x14ac:dyDescent="0.25"/>
    <row r="6" spans="2:10" ht="7.5" customHeight="1" thickBot="1" x14ac:dyDescent="0.3">
      <c r="B6" s="660"/>
      <c r="C6" s="660"/>
      <c r="D6" s="660"/>
      <c r="E6" s="660"/>
      <c r="F6" s="660"/>
      <c r="G6" s="660"/>
      <c r="H6" s="660"/>
      <c r="I6" s="660"/>
      <c r="J6" s="660"/>
    </row>
    <row r="7" spans="2:10" ht="9" customHeight="1" x14ac:dyDescent="0.25">
      <c r="B7" s="336"/>
      <c r="C7" s="305"/>
      <c r="D7" s="305"/>
      <c r="E7" s="305"/>
      <c r="F7" s="305"/>
      <c r="G7" s="305"/>
      <c r="H7" s="305"/>
      <c r="I7" s="305"/>
      <c r="J7" s="307"/>
    </row>
    <row r="8" spans="2:10" ht="18.75" x14ac:dyDescent="0.3">
      <c r="B8" s="337"/>
      <c r="C8" s="1518" t="s">
        <v>545</v>
      </c>
      <c r="D8" s="727"/>
      <c r="E8" s="727"/>
      <c r="F8" s="727"/>
      <c r="G8" s="727"/>
      <c r="H8" s="727"/>
      <c r="I8" s="727"/>
      <c r="J8" s="309"/>
    </row>
    <row r="9" spans="2:10" x14ac:dyDescent="0.25">
      <c r="B9" s="337"/>
      <c r="C9" s="739"/>
      <c r="D9" s="739"/>
      <c r="E9" s="739"/>
      <c r="F9" s="739"/>
      <c r="G9" s="739"/>
      <c r="H9" s="739"/>
      <c r="I9" s="739"/>
      <c r="J9" s="309"/>
    </row>
    <row r="10" spans="2:10" ht="15.75" thickBot="1" x14ac:dyDescent="0.3">
      <c r="B10" s="310"/>
      <c r="C10" s="2521" t="str">
        <f>IF('1'!G5="","Enter Project Name on Form 1",(CONCATENATE("Project Name: ",'1'!G5)))</f>
        <v>Project Name: Filipino Community Village</v>
      </c>
      <c r="D10" s="2521"/>
      <c r="E10" s="2521"/>
      <c r="F10" s="2521"/>
      <c r="G10" s="2521"/>
      <c r="H10" s="378"/>
      <c r="I10" s="378"/>
      <c r="J10" s="312"/>
    </row>
    <row r="11" spans="2:10" x14ac:dyDescent="0.25">
      <c r="B11" s="316"/>
      <c r="C11" s="739"/>
      <c r="D11" s="661"/>
      <c r="E11" s="661"/>
      <c r="F11" s="661"/>
      <c r="G11" s="661"/>
      <c r="H11" s="338"/>
      <c r="I11" s="338"/>
      <c r="J11" s="327"/>
    </row>
    <row r="12" spans="2:10" x14ac:dyDescent="0.25">
      <c r="B12" s="316"/>
      <c r="C12" s="1693" t="s">
        <v>494</v>
      </c>
      <c r="D12" s="2522" t="str">
        <f>IF('9A'!D55="","Enter Property Management Firm Name on Form 9A",'9A'!D55)</f>
        <v>Beacon Communities, Inc. (dba HumanGood)</v>
      </c>
      <c r="E12" s="2522"/>
      <c r="F12" s="2522"/>
      <c r="G12" s="2522"/>
      <c r="H12" s="2522"/>
      <c r="I12" s="2523"/>
      <c r="J12" s="327"/>
    </row>
    <row r="13" spans="2:10" ht="15.75" thickBot="1" x14ac:dyDescent="0.3">
      <c r="B13" s="316"/>
      <c r="C13" s="335"/>
      <c r="D13" s="335"/>
      <c r="E13" s="661"/>
      <c r="F13" s="661"/>
      <c r="G13" s="661"/>
      <c r="H13" s="661"/>
      <c r="I13" s="661"/>
      <c r="J13" s="309"/>
    </row>
    <row r="14" spans="2:10" ht="36.75" thickBot="1" x14ac:dyDescent="0.3">
      <c r="B14" s="316"/>
      <c r="C14" s="334" t="s">
        <v>495</v>
      </c>
      <c r="D14" s="318" t="s">
        <v>485</v>
      </c>
      <c r="E14" s="318" t="s">
        <v>513</v>
      </c>
      <c r="F14" s="318" t="s">
        <v>496</v>
      </c>
      <c r="G14" s="318" t="s">
        <v>497</v>
      </c>
      <c r="H14" s="318" t="s">
        <v>514</v>
      </c>
      <c r="I14" s="319" t="s">
        <v>515</v>
      </c>
      <c r="J14" s="309"/>
    </row>
    <row r="15" spans="2:10" ht="51.75" x14ac:dyDescent="0.25">
      <c r="B15" s="320"/>
      <c r="C15" s="1692" t="s">
        <v>1963</v>
      </c>
      <c r="D15" s="1001" t="s">
        <v>1929</v>
      </c>
      <c r="E15" s="1002" t="s">
        <v>1930</v>
      </c>
      <c r="F15" s="1005" t="s">
        <v>1964</v>
      </c>
      <c r="G15" s="1002" t="s">
        <v>1925</v>
      </c>
      <c r="H15" s="1002" t="s">
        <v>1863</v>
      </c>
      <c r="I15" s="985" t="s">
        <v>1932</v>
      </c>
      <c r="J15" s="309"/>
    </row>
    <row r="16" spans="2:10" ht="26.25" x14ac:dyDescent="0.25">
      <c r="B16" s="316"/>
      <c r="C16" s="1690" t="s">
        <v>1965</v>
      </c>
      <c r="D16" s="1001" t="s">
        <v>1934</v>
      </c>
      <c r="E16" s="1002" t="s">
        <v>1935</v>
      </c>
      <c r="F16" s="1005" t="s">
        <v>1964</v>
      </c>
      <c r="G16" s="1002" t="s">
        <v>1937</v>
      </c>
      <c r="H16" s="1002" t="s">
        <v>1863</v>
      </c>
      <c r="I16" s="985" t="s">
        <v>1938</v>
      </c>
      <c r="J16" s="309"/>
    </row>
    <row r="17" spans="2:10" ht="26.25" x14ac:dyDescent="0.25">
      <c r="B17" s="316"/>
      <c r="C17" s="1690" t="s">
        <v>1966</v>
      </c>
      <c r="D17" s="1001" t="s">
        <v>1940</v>
      </c>
      <c r="E17" s="1002" t="s">
        <v>1941</v>
      </c>
      <c r="F17" s="1005" t="s">
        <v>1964</v>
      </c>
      <c r="G17" s="1002" t="s">
        <v>1937</v>
      </c>
      <c r="H17" s="1002" t="s">
        <v>1863</v>
      </c>
      <c r="I17" s="985" t="s">
        <v>1942</v>
      </c>
      <c r="J17" s="309"/>
    </row>
    <row r="18" spans="2:10" ht="26.25" x14ac:dyDescent="0.25">
      <c r="B18" s="316"/>
      <c r="C18" s="1690" t="s">
        <v>1967</v>
      </c>
      <c r="D18" s="1001" t="s">
        <v>1968</v>
      </c>
      <c r="E18" s="1002" t="s">
        <v>1935</v>
      </c>
      <c r="F18" s="1005" t="s">
        <v>1964</v>
      </c>
      <c r="G18" s="1002" t="s">
        <v>1969</v>
      </c>
      <c r="H18" s="1002" t="s">
        <v>1863</v>
      </c>
      <c r="I18" s="985" t="s">
        <v>1970</v>
      </c>
      <c r="J18" s="309"/>
    </row>
    <row r="19" spans="2:10" ht="39" x14ac:dyDescent="0.25">
      <c r="B19" s="316"/>
      <c r="C19" s="1690" t="s">
        <v>1971</v>
      </c>
      <c r="D19" s="1001" t="s">
        <v>1929</v>
      </c>
      <c r="E19" s="1002" t="s">
        <v>1972</v>
      </c>
      <c r="F19" s="1005" t="s">
        <v>1964</v>
      </c>
      <c r="G19" s="1002" t="s">
        <v>1931</v>
      </c>
      <c r="H19" s="1002" t="s">
        <v>1863</v>
      </c>
      <c r="I19" s="1022" t="s">
        <v>1973</v>
      </c>
      <c r="J19" s="309"/>
    </row>
    <row r="20" spans="2:10" x14ac:dyDescent="0.25">
      <c r="B20" s="321"/>
      <c r="C20" s="1690"/>
      <c r="D20" s="1001"/>
      <c r="E20" s="1002"/>
      <c r="F20" s="1005"/>
      <c r="G20" s="1002"/>
      <c r="H20" s="1002"/>
      <c r="I20" s="985"/>
      <c r="J20" s="309"/>
    </row>
    <row r="21" spans="2:10" x14ac:dyDescent="0.25">
      <c r="B21" s="321"/>
      <c r="C21" s="1690"/>
      <c r="D21" s="1001"/>
      <c r="E21" s="1002"/>
      <c r="F21" s="1005"/>
      <c r="G21" s="1002"/>
      <c r="H21" s="1002"/>
      <c r="I21" s="985"/>
      <c r="J21" s="309"/>
    </row>
    <row r="22" spans="2:10" x14ac:dyDescent="0.25">
      <c r="B22" s="321"/>
      <c r="C22" s="1690"/>
      <c r="D22" s="1001"/>
      <c r="E22" s="1002"/>
      <c r="F22" s="1005"/>
      <c r="G22" s="1002"/>
      <c r="H22" s="1002"/>
      <c r="I22" s="985"/>
      <c r="J22" s="309"/>
    </row>
    <row r="23" spans="2:10" x14ac:dyDescent="0.25">
      <c r="B23" s="316"/>
      <c r="C23" s="1690"/>
      <c r="D23" s="1001"/>
      <c r="E23" s="1002"/>
      <c r="F23" s="1005"/>
      <c r="G23" s="1002"/>
      <c r="H23" s="1002"/>
      <c r="I23" s="985"/>
      <c r="J23" s="309"/>
    </row>
    <row r="24" spans="2:10" ht="15.75" thickBot="1" x14ac:dyDescent="0.3">
      <c r="B24" s="316"/>
      <c r="C24" s="1691"/>
      <c r="D24" s="1003"/>
      <c r="E24" s="1004"/>
      <c r="F24" s="1006"/>
      <c r="G24" s="1004"/>
      <c r="H24" s="1004"/>
      <c r="I24" s="987"/>
      <c r="J24" s="309"/>
    </row>
    <row r="25" spans="2:10" ht="9" customHeight="1" thickBot="1" x14ac:dyDescent="0.3">
      <c r="B25" s="322"/>
      <c r="C25" s="323"/>
      <c r="D25" s="323"/>
      <c r="E25" s="323"/>
      <c r="F25" s="323"/>
      <c r="G25" s="323"/>
      <c r="H25" s="323"/>
      <c r="I25" s="323"/>
      <c r="J25" s="324"/>
    </row>
  </sheetData>
  <sheetProtection algorithmName="SHA-512" hashValue="Zl9Udz4Ch2W81nKp3vzwgQ8MKBwvArC0GD7sui0kPw1yo3Ged+Wi6aQB+l32n/LzpJnxooqHCGGzk9O8o+HZ5Q==" saltValue="iHnLD5cqIvwv4AAsf7F7Uw=="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Forms&amp;REdition: 2016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5"/>
  <sheetViews>
    <sheetView zoomScaleNormal="100" workbookViewId="0">
      <selection activeCell="W226" sqref="W226"/>
    </sheetView>
  </sheetViews>
  <sheetFormatPr defaultColWidth="8.85546875" defaultRowHeight="15" x14ac:dyDescent="0.25"/>
  <cols>
    <col min="1" max="1" width="1.5703125" style="1888" customWidth="1"/>
    <col min="2" max="2" width="4.42578125" style="1888" customWidth="1"/>
    <col min="3" max="3" width="2.140625" style="1888" customWidth="1"/>
    <col min="4" max="4" width="2.85546875" style="1888" customWidth="1"/>
    <col min="5" max="5" width="10.5703125" style="1888" customWidth="1"/>
    <col min="6" max="6" width="9.140625" style="1888" customWidth="1"/>
    <col min="7" max="7" width="10.85546875" style="1888" customWidth="1"/>
    <col min="8" max="8" width="12.28515625" style="1888" customWidth="1"/>
    <col min="9" max="9" width="9.85546875" style="1888" customWidth="1"/>
    <col min="10" max="10" width="7.42578125" style="1888" customWidth="1"/>
    <col min="11" max="11" width="15.42578125" style="1888" customWidth="1"/>
    <col min="12" max="12" width="12" style="1888" bestFit="1" customWidth="1"/>
    <col min="13" max="13" width="10.7109375" style="1888" customWidth="1"/>
    <col min="14" max="14" width="3.28515625" style="1888" customWidth="1"/>
    <col min="15" max="16384" width="8.85546875" style="1888"/>
  </cols>
  <sheetData>
    <row r="1" spans="1:13" s="1777" customFormat="1" ht="18.75" customHeight="1" x14ac:dyDescent="0.2">
      <c r="A1" s="2524" t="s">
        <v>1851</v>
      </c>
      <c r="B1" s="2524"/>
      <c r="C1" s="2524"/>
      <c r="D1" s="2524"/>
      <c r="E1" s="2524"/>
      <c r="F1" s="2524"/>
      <c r="G1" s="2524"/>
      <c r="H1" s="2524"/>
      <c r="I1" s="2524"/>
      <c r="J1" s="2524"/>
      <c r="K1" s="2524"/>
      <c r="L1" s="2524"/>
      <c r="M1" s="2524"/>
    </row>
    <row r="2" spans="1:13" ht="18.75" x14ac:dyDescent="0.3">
      <c r="B2" s="2525" t="s">
        <v>1852</v>
      </c>
      <c r="C2" s="2525"/>
      <c r="D2" s="2525"/>
      <c r="E2" s="2525"/>
      <c r="F2" s="2525"/>
      <c r="G2" s="2525"/>
      <c r="H2" s="2525"/>
      <c r="I2" s="2525"/>
      <c r="J2" s="2525"/>
      <c r="K2" s="2525"/>
      <c r="L2" s="2525"/>
      <c r="M2" s="2525"/>
    </row>
    <row r="3" spans="1:13" x14ac:dyDescent="0.25">
      <c r="B3" s="1889"/>
      <c r="C3" s="1889"/>
      <c r="D3" s="1889"/>
      <c r="E3" s="1889"/>
      <c r="F3" s="1889"/>
      <c r="G3" s="1889"/>
      <c r="H3" s="1889"/>
      <c r="I3" s="1889"/>
      <c r="J3" s="1889"/>
      <c r="K3" s="1889"/>
      <c r="L3" s="1889"/>
      <c r="M3" s="1889"/>
    </row>
    <row r="4" spans="1:13" ht="4.5" customHeight="1" x14ac:dyDescent="0.25">
      <c r="B4" s="2526" t="s">
        <v>1853</v>
      </c>
      <c r="C4" s="2527"/>
      <c r="D4" s="2527"/>
      <c r="E4" s="2527"/>
      <c r="F4" s="2527"/>
      <c r="G4" s="2527"/>
      <c r="H4" s="2527"/>
      <c r="I4" s="2527"/>
      <c r="J4" s="2527"/>
      <c r="K4" s="2527"/>
      <c r="L4" s="2527"/>
      <c r="M4" s="2528"/>
    </row>
    <row r="5" spans="1:13" x14ac:dyDescent="0.25">
      <c r="B5" s="2529"/>
      <c r="C5" s="2530"/>
      <c r="D5" s="2530"/>
      <c r="E5" s="2530"/>
      <c r="F5" s="2530"/>
      <c r="G5" s="2530"/>
      <c r="H5" s="2530"/>
      <c r="I5" s="2530"/>
      <c r="J5" s="2530"/>
      <c r="K5" s="2530"/>
      <c r="L5" s="2530"/>
      <c r="M5" s="2531"/>
    </row>
    <row r="6" spans="1:13" x14ac:dyDescent="0.25">
      <c r="B6" s="2529"/>
      <c r="C6" s="2530"/>
      <c r="D6" s="2530"/>
      <c r="E6" s="2530"/>
      <c r="F6" s="2530"/>
      <c r="G6" s="2530"/>
      <c r="H6" s="2530"/>
      <c r="I6" s="2530"/>
      <c r="J6" s="2530"/>
      <c r="K6" s="2530"/>
      <c r="L6" s="2530"/>
      <c r="M6" s="2531"/>
    </row>
    <row r="7" spans="1:13" x14ac:dyDescent="0.25">
      <c r="B7" s="2529"/>
      <c r="C7" s="2530"/>
      <c r="D7" s="2530"/>
      <c r="E7" s="2530"/>
      <c r="F7" s="2530"/>
      <c r="G7" s="2530"/>
      <c r="H7" s="2530"/>
      <c r="I7" s="2530"/>
      <c r="J7" s="2530"/>
      <c r="K7" s="2530"/>
      <c r="L7" s="2530"/>
      <c r="M7" s="2531"/>
    </row>
    <row r="8" spans="1:13" x14ac:dyDescent="0.25">
      <c r="B8" s="2529"/>
      <c r="C8" s="2530"/>
      <c r="D8" s="2530"/>
      <c r="E8" s="2530"/>
      <c r="F8" s="2530"/>
      <c r="G8" s="2530"/>
      <c r="H8" s="2530"/>
      <c r="I8" s="2530"/>
      <c r="J8" s="2530"/>
      <c r="K8" s="2530"/>
      <c r="L8" s="2530"/>
      <c r="M8" s="2531"/>
    </row>
    <row r="9" spans="1:13" x14ac:dyDescent="0.25">
      <c r="B9" s="2529"/>
      <c r="C9" s="2530"/>
      <c r="D9" s="2530"/>
      <c r="E9" s="2530"/>
      <c r="F9" s="2530"/>
      <c r="G9" s="2530"/>
      <c r="H9" s="2530"/>
      <c r="I9" s="2530"/>
      <c r="J9" s="2530"/>
      <c r="K9" s="2530"/>
      <c r="L9" s="2530"/>
      <c r="M9" s="2531"/>
    </row>
    <row r="10" spans="1:13" x14ac:dyDescent="0.25">
      <c r="B10" s="2529"/>
      <c r="C10" s="2530"/>
      <c r="D10" s="2530"/>
      <c r="E10" s="2530"/>
      <c r="F10" s="2530"/>
      <c r="G10" s="2530"/>
      <c r="H10" s="2530"/>
      <c r="I10" s="2530"/>
      <c r="J10" s="2530"/>
      <c r="K10" s="2530"/>
      <c r="L10" s="2530"/>
      <c r="M10" s="2531"/>
    </row>
    <row r="11" spans="1:13" x14ac:dyDescent="0.25">
      <c r="B11" s="2529"/>
      <c r="C11" s="2530"/>
      <c r="D11" s="2530"/>
      <c r="E11" s="2530"/>
      <c r="F11" s="2530"/>
      <c r="G11" s="2530"/>
      <c r="H11" s="2530"/>
      <c r="I11" s="2530"/>
      <c r="J11" s="2530"/>
      <c r="K11" s="2530"/>
      <c r="L11" s="2530"/>
      <c r="M11" s="2531"/>
    </row>
    <row r="12" spans="1:13" x14ac:dyDescent="0.25">
      <c r="B12" s="2532"/>
      <c r="C12" s="2533"/>
      <c r="D12" s="2533"/>
      <c r="E12" s="2533"/>
      <c r="F12" s="2533"/>
      <c r="G12" s="2533"/>
      <c r="H12" s="2533"/>
      <c r="I12" s="2533"/>
      <c r="J12" s="2533"/>
      <c r="K12" s="2533"/>
      <c r="L12" s="2533"/>
      <c r="M12" s="2534"/>
    </row>
    <row r="13" spans="1:13" ht="15" customHeight="1" x14ac:dyDescent="0.25">
      <c r="L13" s="2535"/>
      <c r="M13" s="2537" t="s">
        <v>1148</v>
      </c>
    </row>
    <row r="14" spans="1:13" x14ac:dyDescent="0.25">
      <c r="E14" s="1890"/>
      <c r="L14" s="2536"/>
      <c r="M14" s="2538"/>
    </row>
    <row r="15" spans="1:13" x14ac:dyDescent="0.25">
      <c r="B15" s="1891">
        <v>1</v>
      </c>
      <c r="C15" s="1892" t="s">
        <v>1149</v>
      </c>
      <c r="D15" s="1892"/>
      <c r="E15" s="1893"/>
      <c r="F15" s="1894"/>
      <c r="G15" s="1894"/>
      <c r="H15" s="1894"/>
      <c r="I15" s="1894"/>
      <c r="J15" s="1894"/>
      <c r="K15" s="1894"/>
      <c r="L15" s="1895"/>
      <c r="M15" s="1896">
        <v>0</v>
      </c>
    </row>
    <row r="16" spans="1:13" ht="7.5" customHeight="1" x14ac:dyDescent="0.25">
      <c r="C16" s="1891"/>
      <c r="D16" s="1891"/>
      <c r="E16" s="1897"/>
      <c r="F16" s="1891"/>
      <c r="G16" s="1891"/>
      <c r="H16" s="1891"/>
      <c r="I16" s="1891"/>
      <c r="J16" s="1891"/>
      <c r="K16" s="1891"/>
      <c r="L16" s="1898"/>
      <c r="M16" s="1891"/>
    </row>
    <row r="17" spans="3:13" x14ac:dyDescent="0.25">
      <c r="C17" s="1891" t="s">
        <v>1150</v>
      </c>
      <c r="E17" s="1897"/>
      <c r="F17" s="1891"/>
      <c r="G17" s="1891"/>
      <c r="H17" s="1891"/>
      <c r="I17" s="1891"/>
      <c r="J17" s="1891"/>
      <c r="K17" s="1891"/>
      <c r="L17" s="1898"/>
      <c r="M17" s="1891"/>
    </row>
    <row r="18" spans="3:13" x14ac:dyDescent="0.25">
      <c r="C18" s="1891"/>
      <c r="D18" s="1899"/>
      <c r="E18" s="1900" t="s">
        <v>1151</v>
      </c>
      <c r="F18" s="2087"/>
      <c r="G18" s="2087"/>
      <c r="H18" s="2539" t="s">
        <v>1152</v>
      </c>
      <c r="I18" s="2540"/>
      <c r="J18" s="2540"/>
      <c r="K18" s="2540"/>
      <c r="L18" s="2540"/>
      <c r="M18" s="2541"/>
    </row>
    <row r="19" spans="3:13" x14ac:dyDescent="0.25">
      <c r="C19" s="1891"/>
      <c r="D19" s="1899"/>
      <c r="E19" s="1901" t="s">
        <v>1153</v>
      </c>
      <c r="F19" s="2087"/>
      <c r="G19" s="2087"/>
      <c r="H19" s="2539" t="s">
        <v>1154</v>
      </c>
      <c r="I19" s="2540"/>
      <c r="J19" s="2540"/>
      <c r="K19" s="2540"/>
      <c r="L19" s="2540"/>
      <c r="M19" s="2541"/>
    </row>
    <row r="20" spans="3:13" s="1522" customFormat="1" ht="4.5" customHeight="1" x14ac:dyDescent="0.25">
      <c r="E20" s="1902"/>
      <c r="F20" s="1902"/>
      <c r="G20" s="1902"/>
      <c r="H20" s="1902"/>
      <c r="I20" s="1902"/>
      <c r="J20" s="1902"/>
      <c r="K20" s="1902"/>
      <c r="L20" s="1902"/>
      <c r="M20" s="1902"/>
    </row>
    <row r="21" spans="3:13" x14ac:dyDescent="0.25">
      <c r="D21" s="1899"/>
      <c r="E21" s="1888" t="s">
        <v>1155</v>
      </c>
      <c r="H21" s="2539" t="s">
        <v>1156</v>
      </c>
      <c r="I21" s="2540"/>
      <c r="J21" s="2540"/>
      <c r="K21" s="2540"/>
      <c r="L21" s="2540"/>
      <c r="M21" s="2541"/>
    </row>
    <row r="22" spans="3:13" x14ac:dyDescent="0.25">
      <c r="C22" s="1891"/>
      <c r="D22" s="1899"/>
      <c r="E22" s="1901" t="s">
        <v>1153</v>
      </c>
      <c r="F22" s="2087"/>
      <c r="G22" s="2087"/>
      <c r="H22" s="2539" t="s">
        <v>1154</v>
      </c>
      <c r="I22" s="2540"/>
      <c r="J22" s="2540"/>
      <c r="K22" s="2540"/>
      <c r="L22" s="2540"/>
      <c r="M22" s="2541"/>
    </row>
    <row r="23" spans="3:13" x14ac:dyDescent="0.25">
      <c r="D23" s="1899"/>
    </row>
    <row r="24" spans="3:13" x14ac:dyDescent="0.25">
      <c r="E24" s="1903" t="s">
        <v>1157</v>
      </c>
      <c r="F24" s="1904"/>
      <c r="G24" s="1904"/>
      <c r="H24" s="1904"/>
      <c r="I24" s="1904"/>
      <c r="J24" s="1904"/>
      <c r="K24" s="1904"/>
      <c r="L24" s="1904"/>
      <c r="M24" s="1905"/>
    </row>
    <row r="25" spans="3:13" ht="28.5" customHeight="1" x14ac:dyDescent="0.25">
      <c r="E25" s="1906" t="s">
        <v>1158</v>
      </c>
      <c r="F25" s="2086"/>
      <c r="G25" s="1907" t="s">
        <v>1159</v>
      </c>
      <c r="H25" s="2086"/>
      <c r="I25" s="1907" t="s">
        <v>1160</v>
      </c>
      <c r="M25" s="1908"/>
    </row>
    <row r="26" spans="3:13" x14ac:dyDescent="0.25">
      <c r="E26" s="1909">
        <v>0</v>
      </c>
      <c r="F26" s="1910" t="s">
        <v>1161</v>
      </c>
      <c r="G26" s="1910" t="s">
        <v>1162</v>
      </c>
      <c r="H26" s="1911" t="s">
        <v>375</v>
      </c>
      <c r="I26" s="1912">
        <v>0</v>
      </c>
      <c r="M26" s="1908"/>
    </row>
    <row r="27" spans="3:13" x14ac:dyDescent="0.25">
      <c r="E27" s="1909">
        <v>0</v>
      </c>
      <c r="F27" s="1910" t="s">
        <v>1161</v>
      </c>
      <c r="G27" s="1910" t="s">
        <v>1163</v>
      </c>
      <c r="H27" s="1911" t="s">
        <v>375</v>
      </c>
      <c r="I27" s="1912">
        <v>0</v>
      </c>
      <c r="M27" s="1908"/>
    </row>
    <row r="28" spans="3:13" x14ac:dyDescent="0.25">
      <c r="E28" s="1913">
        <v>0</v>
      </c>
      <c r="F28" s="1914" t="s">
        <v>1161</v>
      </c>
      <c r="G28" s="1910" t="s">
        <v>1164</v>
      </c>
      <c r="H28" s="1911" t="s">
        <v>375</v>
      </c>
      <c r="I28" s="1912">
        <v>0</v>
      </c>
      <c r="M28" s="1908"/>
    </row>
    <row r="29" spans="3:13" x14ac:dyDescent="0.25">
      <c r="E29" s="1909">
        <v>0</v>
      </c>
      <c r="F29" s="1910" t="s">
        <v>1161</v>
      </c>
      <c r="G29" s="1910" t="s">
        <v>1165</v>
      </c>
      <c r="H29" s="1911" t="s">
        <v>375</v>
      </c>
      <c r="I29" s="1912">
        <v>0</v>
      </c>
      <c r="M29" s="1908"/>
    </row>
    <row r="30" spans="3:13" x14ac:dyDescent="0.25">
      <c r="E30" s="1915"/>
      <c r="F30" s="1893"/>
      <c r="G30" s="1893"/>
      <c r="H30" s="1893"/>
      <c r="I30" s="1916">
        <f>SUM(I26:I29)</f>
        <v>0</v>
      </c>
      <c r="J30" s="1892" t="s">
        <v>1166</v>
      </c>
      <c r="K30" s="1893"/>
      <c r="L30" s="1893"/>
      <c r="M30" s="1917"/>
    </row>
    <row r="31" spans="3:13" x14ac:dyDescent="0.25">
      <c r="I31" s="1918"/>
      <c r="J31" s="1897"/>
    </row>
    <row r="32" spans="3:13" x14ac:dyDescent="0.25">
      <c r="I32" s="1918"/>
      <c r="J32" s="1897"/>
    </row>
    <row r="33" spans="2:14" x14ac:dyDescent="0.25">
      <c r="B33" s="1891">
        <v>2</v>
      </c>
      <c r="C33" s="1892" t="s">
        <v>1167</v>
      </c>
      <c r="D33" s="1892"/>
      <c r="E33" s="1893"/>
      <c r="F33" s="1894"/>
      <c r="G33" s="1894"/>
      <c r="H33" s="1894"/>
      <c r="I33" s="1894"/>
      <c r="J33" s="1894"/>
      <c r="K33" s="1894"/>
      <c r="L33" s="1895"/>
      <c r="M33" s="1896">
        <v>0</v>
      </c>
    </row>
    <row r="34" spans="2:14" ht="7.5" customHeight="1" x14ac:dyDescent="0.25">
      <c r="C34" s="1891"/>
      <c r="D34" s="1891"/>
      <c r="E34" s="1897"/>
      <c r="F34" s="1891"/>
      <c r="G34" s="1891"/>
      <c r="H34" s="1891"/>
      <c r="I34" s="1891"/>
      <c r="J34" s="1891"/>
      <c r="K34" s="1891"/>
      <c r="L34" s="1919"/>
      <c r="M34" s="1898"/>
    </row>
    <row r="35" spans="2:14" x14ac:dyDescent="0.25">
      <c r="C35" s="1897" t="s">
        <v>1168</v>
      </c>
      <c r="D35" s="1897"/>
    </row>
    <row r="36" spans="2:14" ht="4.5" customHeight="1" x14ac:dyDescent="0.25">
      <c r="C36" s="1897"/>
      <c r="D36" s="1897"/>
    </row>
    <row r="37" spans="2:14" x14ac:dyDescent="0.25">
      <c r="E37" s="2542" t="s">
        <v>1169</v>
      </c>
      <c r="F37" s="2543"/>
      <c r="G37" s="1898"/>
      <c r="H37" s="1890"/>
      <c r="I37" s="1920"/>
      <c r="J37" s="1911"/>
    </row>
    <row r="38" spans="2:14" x14ac:dyDescent="0.25">
      <c r="E38" s="1921"/>
      <c r="F38" s="1921"/>
      <c r="G38" s="1898"/>
      <c r="H38" s="1890"/>
      <c r="I38" s="1920"/>
      <c r="J38" s="1911"/>
    </row>
    <row r="40" spans="2:14" x14ac:dyDescent="0.25">
      <c r="B40" s="1891">
        <v>3</v>
      </c>
      <c r="C40" s="1892" t="s">
        <v>1170</v>
      </c>
      <c r="D40" s="1892"/>
      <c r="E40" s="1893"/>
      <c r="F40" s="1894"/>
      <c r="G40" s="1894"/>
      <c r="H40" s="1894"/>
      <c r="I40" s="1894"/>
      <c r="J40" s="1894"/>
      <c r="K40" s="1894"/>
      <c r="L40" s="1895"/>
      <c r="M40" s="1896">
        <v>0</v>
      </c>
    </row>
    <row r="41" spans="2:14" ht="7.5" customHeight="1" x14ac:dyDescent="0.25">
      <c r="C41" s="1891"/>
      <c r="D41" s="1891"/>
      <c r="E41" s="1897"/>
      <c r="F41" s="1891"/>
      <c r="G41" s="1891"/>
      <c r="H41" s="1891"/>
      <c r="I41" s="1891"/>
      <c r="J41" s="1891"/>
      <c r="K41" s="1891"/>
      <c r="L41" s="1891"/>
      <c r="M41" s="1891"/>
    </row>
    <row r="42" spans="2:14" ht="15" customHeight="1" x14ac:dyDescent="0.25">
      <c r="C42" s="2544" t="s">
        <v>1171</v>
      </c>
      <c r="D42" s="2544"/>
      <c r="E42" s="2544"/>
      <c r="F42" s="2544"/>
      <c r="G42" s="2544"/>
      <c r="H42" s="2544"/>
      <c r="I42" s="2544"/>
      <c r="J42" s="2544"/>
      <c r="K42" s="2544"/>
      <c r="L42" s="2544"/>
      <c r="M42" s="2544"/>
      <c r="N42" s="2086"/>
    </row>
    <row r="43" spans="2:14" ht="4.5" customHeight="1" x14ac:dyDescent="0.25">
      <c r="E43" s="2086"/>
      <c r="F43" s="2086"/>
      <c r="G43" s="2086"/>
      <c r="H43" s="2086"/>
      <c r="I43" s="1897" t="s">
        <v>315</v>
      </c>
      <c r="J43" s="2086"/>
      <c r="K43" s="2086"/>
      <c r="L43" s="2086"/>
      <c r="M43" s="2086"/>
      <c r="N43" s="2086"/>
    </row>
    <row r="44" spans="2:14" ht="16.149999999999999" customHeight="1" x14ac:dyDescent="0.25">
      <c r="C44" s="1897" t="s">
        <v>1744</v>
      </c>
      <c r="D44" s="1897"/>
      <c r="F44" s="1890"/>
      <c r="G44" s="1890"/>
      <c r="H44" s="1890"/>
      <c r="I44" s="1890"/>
      <c r="J44" s="1890"/>
    </row>
    <row r="45" spans="2:14" ht="16.149999999999999" customHeight="1" x14ac:dyDescent="0.25">
      <c r="E45" s="2545" t="s">
        <v>1169</v>
      </c>
      <c r="F45" s="2546"/>
      <c r="G45" s="2546"/>
      <c r="H45" s="2546"/>
      <c r="I45" s="2546"/>
      <c r="J45" s="2546"/>
      <c r="K45" s="2546"/>
      <c r="L45" s="2546"/>
      <c r="M45" s="2547"/>
    </row>
    <row r="46" spans="2:14" ht="5.25" customHeight="1" x14ac:dyDescent="0.25">
      <c r="E46" s="1921"/>
      <c r="F46" s="1921"/>
      <c r="G46" s="1921"/>
      <c r="H46" s="1921"/>
      <c r="I46" s="1921"/>
      <c r="J46" s="1921"/>
      <c r="K46" s="1921"/>
      <c r="L46" s="1921"/>
      <c r="M46" s="1921"/>
    </row>
    <row r="47" spans="2:14" ht="16.149999999999999" customHeight="1" x14ac:dyDescent="0.25">
      <c r="F47" s="1921" t="s">
        <v>1172</v>
      </c>
      <c r="G47" s="1921"/>
      <c r="H47" s="1921"/>
      <c r="J47" s="1921"/>
      <c r="K47" s="1921"/>
      <c r="L47" s="1922">
        <v>0</v>
      </c>
      <c r="M47" s="1921" t="s">
        <v>1173</v>
      </c>
    </row>
    <row r="48" spans="2:14" ht="16.149999999999999" customHeight="1" x14ac:dyDescent="0.25">
      <c r="F48" s="1921" t="s">
        <v>1745</v>
      </c>
      <c r="G48" s="1921"/>
      <c r="H48" s="1921"/>
      <c r="J48" s="1921"/>
      <c r="K48" s="1921"/>
      <c r="L48" s="1922">
        <v>0</v>
      </c>
      <c r="M48" s="1921" t="s">
        <v>1173</v>
      </c>
    </row>
    <row r="49" spans="2:13" ht="16.149999999999999" customHeight="1" x14ac:dyDescent="0.25">
      <c r="E49" s="1921"/>
      <c r="F49" s="1921"/>
      <c r="G49" s="1921"/>
      <c r="H49" s="1921"/>
      <c r="I49" s="1921"/>
      <c r="J49" s="1921"/>
      <c r="K49" s="1921"/>
      <c r="L49" s="1921"/>
      <c r="M49" s="1921"/>
    </row>
    <row r="50" spans="2:13" ht="16.149999999999999" customHeight="1" x14ac:dyDescent="0.25">
      <c r="C50" s="1897" t="s">
        <v>1174</v>
      </c>
      <c r="D50" s="1897"/>
      <c r="F50" s="1890"/>
      <c r="G50" s="1890"/>
      <c r="H50" s="1890"/>
      <c r="I50" s="1890"/>
      <c r="J50" s="1890"/>
    </row>
    <row r="51" spans="2:13" ht="16.149999999999999" customHeight="1" x14ac:dyDescent="0.25">
      <c r="E51" s="2542" t="s">
        <v>1169</v>
      </c>
      <c r="F51" s="2548"/>
      <c r="G51" s="2548"/>
      <c r="H51" s="2548"/>
      <c r="I51" s="2548"/>
      <c r="J51" s="2548"/>
      <c r="K51" s="2548"/>
      <c r="L51" s="2548"/>
      <c r="M51" s="2543"/>
    </row>
    <row r="52" spans="2:13" ht="4.5" customHeight="1" x14ac:dyDescent="0.25">
      <c r="E52" s="1923"/>
      <c r="F52" s="1924"/>
      <c r="G52" s="1924"/>
      <c r="H52" s="1924"/>
      <c r="I52" s="1924"/>
      <c r="J52" s="1924"/>
      <c r="K52" s="1923"/>
      <c r="L52" s="1923"/>
      <c r="M52" s="1923"/>
    </row>
    <row r="53" spans="2:13" ht="16.149999999999999" customHeight="1" x14ac:dyDescent="0.25">
      <c r="E53" s="2542" t="s">
        <v>1169</v>
      </c>
      <c r="F53" s="2548"/>
      <c r="G53" s="2548"/>
      <c r="H53" s="2548"/>
      <c r="I53" s="2548"/>
      <c r="J53" s="2548"/>
      <c r="K53" s="2548"/>
      <c r="L53" s="2548"/>
      <c r="M53" s="2543"/>
    </row>
    <row r="54" spans="2:13" ht="7.9" customHeight="1" x14ac:dyDescent="0.25">
      <c r="E54" s="1921"/>
      <c r="F54" s="1921"/>
      <c r="G54" s="1921"/>
      <c r="H54" s="1921"/>
      <c r="I54" s="1921"/>
      <c r="J54" s="1921"/>
      <c r="K54" s="1921"/>
      <c r="L54" s="1921"/>
      <c r="M54" s="1921"/>
    </row>
    <row r="55" spans="2:13" ht="16.149999999999999" customHeight="1" x14ac:dyDescent="0.25">
      <c r="E55" s="1921"/>
      <c r="F55" s="1921" t="s">
        <v>1746</v>
      </c>
      <c r="G55" s="1921"/>
      <c r="H55" s="1921"/>
      <c r="I55" s="1921"/>
      <c r="J55" s="1921"/>
      <c r="K55" s="1921"/>
      <c r="L55" s="1922">
        <v>0</v>
      </c>
      <c r="M55" s="1921" t="s">
        <v>1173</v>
      </c>
    </row>
    <row r="56" spans="2:13" ht="16.149999999999999" customHeight="1" x14ac:dyDescent="0.25">
      <c r="E56" s="1921"/>
      <c r="F56" s="1921" t="s">
        <v>1175</v>
      </c>
      <c r="G56" s="1921"/>
      <c r="H56" s="1921"/>
      <c r="I56" s="1921"/>
      <c r="J56" s="1921"/>
      <c r="K56" s="1921"/>
      <c r="L56" s="1922">
        <v>0</v>
      </c>
      <c r="M56" s="1921" t="s">
        <v>1173</v>
      </c>
    </row>
    <row r="57" spans="2:13" ht="16.149999999999999" customHeight="1" x14ac:dyDescent="0.25">
      <c r="E57" s="1921"/>
      <c r="F57" s="1900" t="s">
        <v>1176</v>
      </c>
      <c r="H57" s="1900"/>
      <c r="I57" s="1900"/>
      <c r="J57" s="1900"/>
      <c r="K57" s="1900"/>
      <c r="L57" s="1922">
        <v>0</v>
      </c>
      <c r="M57" s="1921" t="s">
        <v>1173</v>
      </c>
    </row>
    <row r="58" spans="2:13" ht="16.149999999999999" customHeight="1" x14ac:dyDescent="0.25">
      <c r="E58" s="1921"/>
      <c r="F58" s="1921" t="s">
        <v>1177</v>
      </c>
      <c r="H58" s="1921"/>
      <c r="I58" s="1921"/>
      <c r="J58" s="1921"/>
      <c r="K58" s="1921"/>
      <c r="L58" s="1922">
        <v>0</v>
      </c>
      <c r="M58" s="1921" t="s">
        <v>1173</v>
      </c>
    </row>
    <row r="59" spans="2:13" ht="16.149999999999999" customHeight="1" x14ac:dyDescent="0.25">
      <c r="E59" s="1921"/>
      <c r="F59" s="1921" t="s">
        <v>1178</v>
      </c>
      <c r="H59" s="1921"/>
      <c r="I59" s="1921"/>
      <c r="J59" s="1921"/>
      <c r="K59" s="1921"/>
      <c r="L59" s="1922">
        <v>0</v>
      </c>
      <c r="M59" s="1921" t="s">
        <v>1173</v>
      </c>
    </row>
    <row r="60" spans="2:13" ht="16.149999999999999" customHeight="1" x14ac:dyDescent="0.25">
      <c r="E60" s="1921"/>
      <c r="F60" s="1921" t="s">
        <v>1179</v>
      </c>
      <c r="H60" s="1921"/>
      <c r="I60" s="1921"/>
      <c r="J60" s="1921"/>
      <c r="K60" s="1921"/>
      <c r="L60" s="1922">
        <v>0</v>
      </c>
      <c r="M60" s="1921" t="s">
        <v>1173</v>
      </c>
    </row>
    <row r="61" spans="2:13" ht="16.149999999999999" customHeight="1" x14ac:dyDescent="0.25">
      <c r="E61" s="1921"/>
      <c r="F61" s="1921"/>
      <c r="H61" s="1921"/>
      <c r="I61" s="1921"/>
      <c r="J61" s="1921"/>
      <c r="K61" s="1921"/>
      <c r="L61" s="1925"/>
      <c r="M61" s="1921"/>
    </row>
    <row r="62" spans="2:13" ht="16.149999999999999" customHeight="1" x14ac:dyDescent="0.25">
      <c r="E62" s="1921"/>
      <c r="F62" s="1921"/>
      <c r="H62" s="1921"/>
      <c r="I62" s="1921"/>
      <c r="J62" s="1921"/>
      <c r="K62" s="1921"/>
      <c r="L62" s="1925"/>
      <c r="M62" s="1921"/>
    </row>
    <row r="63" spans="2:13" x14ac:dyDescent="0.25">
      <c r="B63" s="1891">
        <v>4</v>
      </c>
      <c r="C63" s="1892" t="s">
        <v>1180</v>
      </c>
      <c r="D63" s="1892"/>
      <c r="E63" s="1893"/>
      <c r="F63" s="1894"/>
      <c r="G63" s="1894"/>
      <c r="H63" s="1894"/>
      <c r="I63" s="1894"/>
      <c r="J63" s="1894"/>
      <c r="K63" s="1894"/>
      <c r="L63" s="1895"/>
      <c r="M63" s="1896">
        <v>0</v>
      </c>
    </row>
    <row r="64" spans="2:13" ht="7.5" customHeight="1" x14ac:dyDescent="0.25">
      <c r="C64" s="1891"/>
      <c r="D64" s="1891"/>
      <c r="E64" s="1897"/>
      <c r="F64" s="1891"/>
      <c r="G64" s="1891"/>
      <c r="H64" s="1891"/>
      <c r="I64" s="1891"/>
      <c r="J64" s="1891"/>
      <c r="K64" s="1891"/>
      <c r="L64" s="1919"/>
      <c r="M64" s="1898"/>
    </row>
    <row r="65" spans="3:13" ht="29.25" customHeight="1" x14ac:dyDescent="0.25">
      <c r="C65" s="2544" t="s">
        <v>1181</v>
      </c>
      <c r="D65" s="2544"/>
      <c r="E65" s="2544"/>
      <c r="F65" s="2544"/>
      <c r="G65" s="2544"/>
      <c r="H65" s="2544"/>
      <c r="I65" s="2544"/>
      <c r="J65" s="2544"/>
      <c r="K65" s="2544"/>
      <c r="L65" s="2544"/>
      <c r="M65" s="2544"/>
    </row>
    <row r="66" spans="3:13" ht="4.5" customHeight="1" x14ac:dyDescent="0.25">
      <c r="C66" s="1897"/>
      <c r="D66" s="1897"/>
    </row>
    <row r="67" spans="3:13" x14ac:dyDescent="0.25">
      <c r="E67" s="1888" t="s">
        <v>1182</v>
      </c>
      <c r="G67" s="2549" t="s">
        <v>1183</v>
      </c>
      <c r="H67" s="2550"/>
      <c r="I67" s="2550"/>
      <c r="J67" s="2550"/>
      <c r="K67" s="2550"/>
      <c r="L67" s="2551"/>
    </row>
    <row r="68" spans="3:13" s="1522" customFormat="1" ht="4.5" customHeight="1" x14ac:dyDescent="0.25"/>
    <row r="69" spans="3:13" x14ac:dyDescent="0.25">
      <c r="E69" s="1888" t="s">
        <v>1184</v>
      </c>
      <c r="G69" s="2542" t="s">
        <v>1185</v>
      </c>
      <c r="H69" s="2548"/>
      <c r="I69" s="2548"/>
      <c r="J69" s="2548"/>
      <c r="K69" s="2548"/>
      <c r="L69" s="2543"/>
    </row>
    <row r="70" spans="3:13" x14ac:dyDescent="0.25">
      <c r="E70" s="1888" t="s">
        <v>1186</v>
      </c>
      <c r="G70" s="2542"/>
      <c r="H70" s="2548"/>
      <c r="I70" s="2548"/>
      <c r="J70" s="2548"/>
      <c r="K70" s="2548"/>
      <c r="L70" s="2543"/>
    </row>
    <row r="71" spans="3:13" x14ac:dyDescent="0.25">
      <c r="E71" s="1888" t="s">
        <v>1187</v>
      </c>
      <c r="G71" s="2542"/>
      <c r="H71" s="2548"/>
      <c r="I71" s="2548"/>
      <c r="J71" s="2548"/>
      <c r="K71" s="2548"/>
      <c r="L71" s="2543"/>
    </row>
    <row r="72" spans="3:13" x14ac:dyDescent="0.25">
      <c r="E72" s="1888" t="s">
        <v>1188</v>
      </c>
      <c r="G72" s="2552">
        <v>0</v>
      </c>
      <c r="H72" s="2553"/>
      <c r="I72" s="2553"/>
      <c r="J72" s="2553"/>
      <c r="K72" s="2553"/>
      <c r="L72" s="2554"/>
    </row>
    <row r="73" spans="3:13" ht="4.5" customHeight="1" x14ac:dyDescent="0.25"/>
    <row r="74" spans="3:13" x14ac:dyDescent="0.25">
      <c r="E74" s="1888" t="s">
        <v>1189</v>
      </c>
      <c r="G74" s="2542" t="s">
        <v>1185</v>
      </c>
      <c r="H74" s="2548"/>
      <c r="I74" s="2548"/>
      <c r="J74" s="2548"/>
      <c r="K74" s="2548"/>
      <c r="L74" s="2543"/>
    </row>
    <row r="75" spans="3:13" x14ac:dyDescent="0.25">
      <c r="E75" s="1888" t="s">
        <v>1186</v>
      </c>
      <c r="G75" s="2542"/>
      <c r="H75" s="2548"/>
      <c r="I75" s="2548"/>
      <c r="J75" s="2548"/>
      <c r="K75" s="2548"/>
      <c r="L75" s="2543"/>
    </row>
    <row r="76" spans="3:13" x14ac:dyDescent="0.25">
      <c r="E76" s="1888" t="s">
        <v>1187</v>
      </c>
      <c r="G76" s="2542"/>
      <c r="H76" s="2548"/>
      <c r="I76" s="2548"/>
      <c r="J76" s="2548"/>
      <c r="K76" s="2548"/>
      <c r="L76" s="2543"/>
    </row>
    <row r="77" spans="3:13" x14ac:dyDescent="0.25">
      <c r="E77" s="1888" t="s">
        <v>1188</v>
      </c>
      <c r="G77" s="2552">
        <v>0</v>
      </c>
      <c r="H77" s="2553"/>
      <c r="I77" s="2553"/>
      <c r="J77" s="2553"/>
      <c r="K77" s="2553"/>
      <c r="L77" s="2554"/>
    </row>
    <row r="78" spans="3:13" x14ac:dyDescent="0.25">
      <c r="G78" s="1921"/>
      <c r="H78" s="1921"/>
      <c r="I78" s="1921"/>
      <c r="J78" s="1921"/>
      <c r="K78" s="1921"/>
      <c r="L78" s="1921"/>
    </row>
    <row r="79" spans="3:13" x14ac:dyDescent="0.25">
      <c r="E79" s="1888" t="s">
        <v>1190</v>
      </c>
      <c r="G79" s="1921"/>
      <c r="H79" s="1921"/>
      <c r="I79" s="1921"/>
      <c r="J79" s="1921"/>
      <c r="K79" s="1926">
        <f>G72+G77</f>
        <v>0</v>
      </c>
      <c r="L79" s="1921"/>
    </row>
    <row r="80" spans="3:13" x14ac:dyDescent="0.25">
      <c r="E80" s="1927" t="s">
        <v>1191</v>
      </c>
      <c r="G80" s="1921"/>
      <c r="H80" s="1921"/>
      <c r="I80" s="1921"/>
      <c r="J80" s="1921"/>
      <c r="K80" s="1921"/>
      <c r="L80" s="1921"/>
    </row>
    <row r="81" spans="2:13" x14ac:dyDescent="0.25">
      <c r="E81" s="1927"/>
      <c r="G81" s="1921"/>
      <c r="H81" s="1921"/>
      <c r="I81" s="1921"/>
      <c r="J81" s="1921"/>
      <c r="K81" s="1921"/>
      <c r="L81" s="1921"/>
    </row>
    <row r="82" spans="2:13" x14ac:dyDescent="0.25">
      <c r="G82" s="1921"/>
      <c r="H82" s="1921"/>
      <c r="I82" s="1921"/>
      <c r="J82" s="1921"/>
      <c r="K82" s="1921"/>
      <c r="L82" s="1921"/>
    </row>
    <row r="83" spans="2:13" x14ac:dyDescent="0.25">
      <c r="B83" s="1891">
        <v>5</v>
      </c>
      <c r="C83" s="1892" t="s">
        <v>1192</v>
      </c>
      <c r="D83" s="1892"/>
      <c r="E83" s="1893"/>
      <c r="F83" s="1894"/>
      <c r="G83" s="1894"/>
      <c r="H83" s="1894"/>
      <c r="I83" s="1894"/>
      <c r="J83" s="1894"/>
      <c r="K83" s="1894"/>
      <c r="L83" s="1895"/>
      <c r="M83" s="1896">
        <v>0</v>
      </c>
    </row>
    <row r="84" spans="2:13" ht="7.5" customHeight="1" x14ac:dyDescent="0.25">
      <c r="C84" s="1891"/>
      <c r="D84" s="1891"/>
      <c r="E84" s="1897"/>
      <c r="F84" s="1891"/>
      <c r="G84" s="1891"/>
      <c r="H84" s="1891"/>
      <c r="I84" s="1891"/>
      <c r="J84" s="1891"/>
      <c r="K84" s="1891"/>
      <c r="L84" s="1919"/>
      <c r="M84" s="1898"/>
    </row>
    <row r="85" spans="2:13" x14ac:dyDescent="0.25">
      <c r="C85" s="2544" t="s">
        <v>1193</v>
      </c>
      <c r="D85" s="2544"/>
      <c r="E85" s="2544"/>
      <c r="F85" s="2544"/>
      <c r="G85" s="2544"/>
      <c r="H85" s="2544"/>
      <c r="I85" s="2544"/>
      <c r="J85" s="2544"/>
      <c r="K85" s="2544"/>
      <c r="L85" s="2544"/>
      <c r="M85" s="2544"/>
    </row>
    <row r="86" spans="2:13" ht="6.75" customHeight="1" x14ac:dyDescent="0.25">
      <c r="C86" s="1897"/>
      <c r="D86" s="1897"/>
    </row>
    <row r="87" spans="2:13" x14ac:dyDescent="0.25">
      <c r="D87" s="1927" t="s">
        <v>1194</v>
      </c>
    </row>
    <row r="88" spans="2:13" x14ac:dyDescent="0.25">
      <c r="E88" s="1888" t="s">
        <v>1186</v>
      </c>
      <c r="H88" s="2555" t="s">
        <v>1154</v>
      </c>
      <c r="I88" s="2556"/>
      <c r="J88" s="2556"/>
      <c r="K88" s="2556"/>
      <c r="L88" s="2557"/>
    </row>
    <row r="89" spans="2:13" x14ac:dyDescent="0.25">
      <c r="E89" s="1888" t="s">
        <v>1188</v>
      </c>
      <c r="H89" s="1928"/>
      <c r="K89" s="2558">
        <v>0</v>
      </c>
      <c r="L89" s="2559"/>
    </row>
    <row r="90" spans="2:13" x14ac:dyDescent="0.25">
      <c r="E90" s="1923" t="s">
        <v>1747</v>
      </c>
      <c r="G90" s="1929"/>
      <c r="H90" s="1928"/>
      <c r="J90" s="2106"/>
      <c r="K90" s="2558">
        <v>0</v>
      </c>
      <c r="L90" s="2559"/>
    </row>
    <row r="91" spans="2:13" x14ac:dyDescent="0.25">
      <c r="E91" s="1888" t="s">
        <v>1195</v>
      </c>
      <c r="G91" s="1929"/>
      <c r="H91" s="1928"/>
      <c r="J91" s="2107"/>
      <c r="L91" s="2108" t="str">
        <f>IFERROR((K89/K90),"")</f>
        <v/>
      </c>
    </row>
    <row r="92" spans="2:13" ht="15" customHeight="1" x14ac:dyDescent="0.25"/>
    <row r="93" spans="2:13" x14ac:dyDescent="0.25">
      <c r="B93" s="1891">
        <v>6</v>
      </c>
      <c r="C93" s="1892" t="s">
        <v>1196</v>
      </c>
      <c r="D93" s="1892"/>
      <c r="E93" s="1893"/>
      <c r="F93" s="1894"/>
      <c r="G93" s="1894"/>
      <c r="H93" s="1894"/>
      <c r="I93" s="1894"/>
      <c r="J93" s="1894"/>
      <c r="K93" s="1894"/>
      <c r="L93" s="1895"/>
      <c r="M93" s="1896">
        <v>0</v>
      </c>
    </row>
    <row r="94" spans="2:13" ht="7.5" customHeight="1" x14ac:dyDescent="0.25">
      <c r="C94" s="1891"/>
      <c r="D94" s="1891"/>
      <c r="E94" s="1897"/>
      <c r="F94" s="1891"/>
      <c r="G94" s="1891"/>
      <c r="H94" s="1891"/>
      <c r="I94" s="1891"/>
      <c r="J94" s="1891"/>
      <c r="K94" s="1891"/>
      <c r="L94" s="1919"/>
      <c r="M94" s="1898"/>
    </row>
    <row r="95" spans="2:13" ht="26.25" customHeight="1" x14ac:dyDescent="0.25">
      <c r="C95" s="2544" t="s">
        <v>1197</v>
      </c>
      <c r="D95" s="2544"/>
      <c r="E95" s="2544"/>
      <c r="F95" s="2544"/>
      <c r="G95" s="2544"/>
      <c r="H95" s="2544"/>
      <c r="I95" s="2544"/>
      <c r="J95" s="2544"/>
      <c r="K95" s="2544"/>
      <c r="L95" s="2544"/>
      <c r="M95" s="2544"/>
    </row>
    <row r="96" spans="2:13" ht="6.75" customHeight="1" x14ac:dyDescent="0.25">
      <c r="C96" s="1897"/>
      <c r="D96" s="1897"/>
    </row>
    <row r="97" spans="2:13" x14ac:dyDescent="0.25">
      <c r="E97" s="1888" t="s">
        <v>1198</v>
      </c>
      <c r="H97" s="2560"/>
      <c r="I97" s="2561"/>
      <c r="J97" s="2561"/>
      <c r="K97" s="2561"/>
      <c r="L97" s="2562"/>
    </row>
    <row r="98" spans="2:13" x14ac:dyDescent="0.25">
      <c r="E98" s="1888" t="s">
        <v>1199</v>
      </c>
      <c r="H98" s="1928"/>
      <c r="K98" s="2563">
        <v>0</v>
      </c>
      <c r="L98" s="2564"/>
    </row>
    <row r="99" spans="2:13" x14ac:dyDescent="0.25">
      <c r="H99" s="1928"/>
      <c r="J99" s="1928"/>
      <c r="K99" s="1930"/>
    </row>
    <row r="100" spans="2:13" x14ac:dyDescent="0.25">
      <c r="B100" s="1891">
        <v>7</v>
      </c>
      <c r="C100" s="1892" t="s">
        <v>1200</v>
      </c>
      <c r="D100" s="1892"/>
      <c r="E100" s="1893"/>
      <c r="F100" s="1894"/>
      <c r="G100" s="1894"/>
      <c r="H100" s="1894"/>
      <c r="I100" s="1894"/>
      <c r="J100" s="1894"/>
      <c r="K100" s="1894"/>
      <c r="L100" s="1895"/>
      <c r="M100" s="1896">
        <v>0</v>
      </c>
    </row>
    <row r="101" spans="2:13" ht="7.5" customHeight="1" x14ac:dyDescent="0.25">
      <c r="C101" s="1891"/>
      <c r="D101" s="1891"/>
      <c r="E101" s="1897"/>
      <c r="F101" s="1891"/>
      <c r="G101" s="1891"/>
      <c r="H101" s="1891"/>
      <c r="I101" s="1891"/>
      <c r="J101" s="1891"/>
      <c r="K101" s="1891"/>
      <c r="L101" s="1919"/>
      <c r="M101" s="1898"/>
    </row>
    <row r="102" spans="2:13" x14ac:dyDescent="0.25">
      <c r="D102" s="1927" t="s">
        <v>1201</v>
      </c>
    </row>
    <row r="103" spans="2:13" ht="6.75" customHeight="1" x14ac:dyDescent="0.25">
      <c r="C103" s="1897"/>
      <c r="D103" s="1897"/>
    </row>
    <row r="104" spans="2:13" x14ac:dyDescent="0.25">
      <c r="E104" s="1888" t="s">
        <v>1202</v>
      </c>
      <c r="I104" s="2565" t="s">
        <v>1203</v>
      </c>
      <c r="J104" s="2566"/>
      <c r="K104" s="2566"/>
      <c r="L104" s="2567"/>
    </row>
    <row r="105" spans="2:13" x14ac:dyDescent="0.25">
      <c r="E105" s="1888" t="s">
        <v>1204</v>
      </c>
      <c r="H105" s="1928"/>
      <c r="I105" s="2568" t="s">
        <v>1205</v>
      </c>
      <c r="J105" s="2569"/>
      <c r="K105" s="2569"/>
      <c r="L105" s="2570"/>
    </row>
    <row r="106" spans="2:13" x14ac:dyDescent="0.25">
      <c r="E106" s="1888" t="s">
        <v>1748</v>
      </c>
      <c r="H106" s="1928"/>
      <c r="I106" s="2568" t="s">
        <v>1749</v>
      </c>
      <c r="J106" s="2569"/>
      <c r="K106" s="2569"/>
      <c r="L106" s="2570"/>
    </row>
    <row r="107" spans="2:13" x14ac:dyDescent="0.25">
      <c r="G107" s="1929"/>
      <c r="H107" s="1928"/>
      <c r="I107" s="1931"/>
      <c r="J107" s="1931"/>
      <c r="K107" s="1932"/>
      <c r="L107" s="1932"/>
    </row>
    <row r="108" spans="2:13" x14ac:dyDescent="0.25">
      <c r="B108" s="1891">
        <v>8</v>
      </c>
      <c r="C108" s="1892" t="s">
        <v>1206</v>
      </c>
      <c r="D108" s="1892"/>
      <c r="E108" s="1893"/>
      <c r="F108" s="1894"/>
      <c r="G108" s="1894"/>
      <c r="H108" s="1894"/>
      <c r="I108" s="1894"/>
      <c r="J108" s="1894"/>
      <c r="K108" s="1894"/>
      <c r="L108" s="1895"/>
      <c r="M108" s="1896">
        <v>0</v>
      </c>
    </row>
    <row r="109" spans="2:13" ht="7.5" customHeight="1" x14ac:dyDescent="0.25">
      <c r="C109" s="1891"/>
      <c r="D109" s="1891"/>
      <c r="F109" s="1891"/>
      <c r="G109" s="1891"/>
      <c r="H109" s="1891"/>
      <c r="I109" s="1891"/>
      <c r="J109" s="1891"/>
      <c r="K109" s="1891"/>
      <c r="L109" s="1919"/>
      <c r="M109" s="1898"/>
    </row>
    <row r="110" spans="2:13" x14ac:dyDescent="0.25">
      <c r="C110" s="1897" t="s">
        <v>1207</v>
      </c>
      <c r="D110" s="1897"/>
    </row>
    <row r="111" spans="2:13" ht="4.5" customHeight="1" x14ac:dyDescent="0.25">
      <c r="C111" s="1897"/>
      <c r="D111" s="1897"/>
    </row>
    <row r="112" spans="2:13" x14ac:dyDescent="0.25">
      <c r="E112" s="2571" t="s">
        <v>1208</v>
      </c>
      <c r="F112" s="2572"/>
    </row>
    <row r="113" spans="2:13" s="1933" customFormat="1" x14ac:dyDescent="0.25">
      <c r="E113" s="1934"/>
      <c r="F113" s="1934"/>
    </row>
    <row r="115" spans="2:13" x14ac:dyDescent="0.25">
      <c r="B115" s="1891">
        <v>9</v>
      </c>
      <c r="C115" s="1892" t="s">
        <v>1750</v>
      </c>
      <c r="D115" s="1892"/>
      <c r="E115" s="1893"/>
      <c r="F115" s="1894"/>
      <c r="G115" s="1894"/>
      <c r="H115" s="1894"/>
      <c r="I115" s="1894"/>
      <c r="J115" s="1894"/>
      <c r="K115" s="1894"/>
      <c r="L115" s="1895"/>
      <c r="M115" s="1896">
        <v>0</v>
      </c>
    </row>
    <row r="116" spans="2:13" ht="7.5" customHeight="1" x14ac:dyDescent="0.25"/>
    <row r="117" spans="2:13" ht="27.75" customHeight="1" x14ac:dyDescent="0.25">
      <c r="C117" s="2544" t="s">
        <v>1209</v>
      </c>
      <c r="D117" s="2544"/>
      <c r="E117" s="2544"/>
      <c r="F117" s="2544"/>
      <c r="G117" s="2544"/>
      <c r="H117" s="2544"/>
      <c r="I117" s="2544"/>
      <c r="J117" s="2544"/>
      <c r="K117" s="2544"/>
      <c r="L117" s="2544"/>
      <c r="M117" s="2544"/>
    </row>
    <row r="118" spans="2:13" ht="4.5" customHeight="1" x14ac:dyDescent="0.25">
      <c r="C118" s="1897"/>
      <c r="D118" s="1897"/>
      <c r="E118" s="1897"/>
      <c r="F118" s="1897"/>
      <c r="G118" s="1897"/>
      <c r="H118" s="1897"/>
      <c r="I118" s="1897"/>
      <c r="J118" s="1897"/>
      <c r="K118" s="1897"/>
      <c r="L118" s="1897"/>
      <c r="M118" s="1897"/>
    </row>
    <row r="119" spans="2:13" x14ac:dyDescent="0.25">
      <c r="D119" s="1927" t="s">
        <v>1210</v>
      </c>
    </row>
    <row r="120" spans="2:13" x14ac:dyDescent="0.25">
      <c r="D120" s="1927"/>
      <c r="E120" s="1888" t="s">
        <v>1751</v>
      </c>
      <c r="I120" s="2573" t="s">
        <v>1854</v>
      </c>
      <c r="J120" s="2574"/>
      <c r="K120" s="2574"/>
      <c r="L120" s="2575"/>
    </row>
    <row r="121" spans="2:13" x14ac:dyDescent="0.25">
      <c r="D121" s="1927"/>
      <c r="I121" s="2576"/>
      <c r="J121" s="2577"/>
      <c r="K121" s="2577"/>
      <c r="L121" s="2578"/>
    </row>
    <row r="122" spans="2:13" x14ac:dyDescent="0.25">
      <c r="D122" s="1927"/>
      <c r="E122" s="1888" t="s">
        <v>1211</v>
      </c>
      <c r="I122" s="2579" t="s">
        <v>1212</v>
      </c>
      <c r="J122" s="2580"/>
      <c r="K122" s="2580"/>
      <c r="L122" s="2581"/>
    </row>
    <row r="123" spans="2:13" x14ac:dyDescent="0.25">
      <c r="E123" s="1888" t="s">
        <v>1213</v>
      </c>
      <c r="H123" s="1928"/>
      <c r="I123" s="2579" t="s">
        <v>1214</v>
      </c>
      <c r="J123" s="2580"/>
      <c r="K123" s="2580"/>
      <c r="L123" s="2581"/>
    </row>
    <row r="124" spans="2:13" x14ac:dyDescent="0.25">
      <c r="E124" s="1888" t="s">
        <v>1215</v>
      </c>
      <c r="H124" s="1928"/>
      <c r="I124" s="2579" t="s">
        <v>1752</v>
      </c>
      <c r="J124" s="2580"/>
      <c r="K124" s="2580"/>
      <c r="L124" s="2581"/>
    </row>
    <row r="125" spans="2:13" x14ac:dyDescent="0.25">
      <c r="D125" s="1935"/>
      <c r="G125" s="1929"/>
      <c r="H125" s="1928"/>
      <c r="I125" s="1932"/>
      <c r="J125" s="1932"/>
      <c r="K125" s="1932"/>
      <c r="L125" s="1932"/>
    </row>
    <row r="126" spans="2:13" x14ac:dyDescent="0.25">
      <c r="B126" s="1891">
        <v>10</v>
      </c>
      <c r="C126" s="1892" t="s">
        <v>1216</v>
      </c>
      <c r="D126" s="1892"/>
      <c r="E126" s="1893"/>
      <c r="F126" s="1894"/>
      <c r="G126" s="1894"/>
      <c r="H126" s="1894"/>
      <c r="I126" s="1894"/>
      <c r="J126" s="1894"/>
      <c r="K126" s="1894"/>
      <c r="L126" s="1895"/>
      <c r="M126" s="1896">
        <v>0</v>
      </c>
    </row>
    <row r="127" spans="2:13" ht="7.5" customHeight="1" x14ac:dyDescent="0.25"/>
    <row r="128" spans="2:13" ht="29.25" customHeight="1" x14ac:dyDescent="0.25">
      <c r="C128" s="2544" t="s">
        <v>1217</v>
      </c>
      <c r="D128" s="2544"/>
      <c r="E128" s="2544"/>
      <c r="F128" s="2544"/>
      <c r="G128" s="2544"/>
      <c r="H128" s="2544"/>
      <c r="I128" s="2544"/>
      <c r="J128" s="2544"/>
      <c r="K128" s="2544"/>
      <c r="L128" s="2544"/>
      <c r="M128" s="2544"/>
    </row>
    <row r="129" spans="2:13" ht="4.5" customHeight="1" x14ac:dyDescent="0.25">
      <c r="C129" s="1897"/>
    </row>
    <row r="130" spans="2:13" x14ac:dyDescent="0.25">
      <c r="F130" s="2582" t="s">
        <v>1218</v>
      </c>
      <c r="G130" s="2583"/>
      <c r="H130" s="2583"/>
      <c r="I130" s="2583"/>
      <c r="J130" s="2583"/>
      <c r="K130" s="2583"/>
      <c r="L130" s="2584"/>
      <c r="M130" s="2085"/>
    </row>
    <row r="131" spans="2:13" x14ac:dyDescent="0.25">
      <c r="E131" s="1933"/>
      <c r="F131" s="1921"/>
      <c r="G131" s="1921"/>
      <c r="H131" s="1921"/>
      <c r="I131" s="1921"/>
      <c r="J131" s="1921"/>
      <c r="K131" s="1921"/>
      <c r="L131" s="1921"/>
      <c r="M131" s="1921"/>
    </row>
    <row r="132" spans="2:13" x14ac:dyDescent="0.25">
      <c r="E132" s="1933"/>
      <c r="F132" s="1921" t="s">
        <v>1219</v>
      </c>
      <c r="G132" s="1921"/>
      <c r="H132" s="1921"/>
      <c r="I132" s="1921"/>
      <c r="J132" s="1921"/>
      <c r="K132" s="1921"/>
      <c r="L132" s="1922">
        <v>0</v>
      </c>
      <c r="M132" s="1921" t="s">
        <v>1173</v>
      </c>
    </row>
    <row r="133" spans="2:13" ht="4.5" customHeight="1" x14ac:dyDescent="0.25">
      <c r="E133" s="1921"/>
      <c r="F133" s="2585" t="s">
        <v>1220</v>
      </c>
      <c r="G133" s="2585"/>
      <c r="H133" s="2585"/>
      <c r="I133" s="2585"/>
      <c r="J133" s="2585"/>
      <c r="K133" s="2585"/>
    </row>
    <row r="134" spans="2:13" x14ac:dyDescent="0.25">
      <c r="E134" s="1921"/>
      <c r="F134" s="2585"/>
      <c r="G134" s="2585"/>
      <c r="H134" s="2585"/>
      <c r="I134" s="2585"/>
      <c r="J134" s="2585"/>
      <c r="K134" s="2585"/>
      <c r="L134" s="1922">
        <v>0</v>
      </c>
      <c r="M134" s="1921" t="s">
        <v>1173</v>
      </c>
    </row>
    <row r="135" spans="2:13" x14ac:dyDescent="0.25">
      <c r="F135" s="1888" t="s">
        <v>1221</v>
      </c>
      <c r="L135" s="1922">
        <v>0</v>
      </c>
      <c r="M135" s="1921" t="s">
        <v>1222</v>
      </c>
    </row>
    <row r="136" spans="2:13" x14ac:dyDescent="0.25">
      <c r="L136" s="1925"/>
      <c r="M136" s="1921"/>
    </row>
    <row r="138" spans="2:13" x14ac:dyDescent="0.25">
      <c r="B138" s="1891">
        <v>11</v>
      </c>
      <c r="C138" s="1892" t="s">
        <v>1223</v>
      </c>
      <c r="D138" s="1892"/>
      <c r="E138" s="1893"/>
      <c r="F138" s="1894"/>
      <c r="G138" s="1894"/>
      <c r="H138" s="1894"/>
      <c r="I138" s="1894"/>
      <c r="J138" s="1894"/>
      <c r="K138" s="1894"/>
      <c r="L138" s="1895"/>
      <c r="M138" s="1896">
        <v>0</v>
      </c>
    </row>
    <row r="139" spans="2:13" ht="7.5" customHeight="1" x14ac:dyDescent="0.25">
      <c r="C139" s="1891"/>
      <c r="D139" s="1891"/>
      <c r="E139" s="1897"/>
      <c r="F139" s="1891"/>
      <c r="G139" s="1891"/>
      <c r="H139" s="1891"/>
      <c r="I139" s="1891"/>
      <c r="J139" s="1891"/>
      <c r="K139" s="1891"/>
      <c r="L139" s="1919"/>
      <c r="M139" s="1898"/>
    </row>
    <row r="140" spans="2:13" ht="27" customHeight="1" x14ac:dyDescent="0.25">
      <c r="C140" s="2544" t="s">
        <v>1224</v>
      </c>
      <c r="D140" s="2544"/>
      <c r="E140" s="2544"/>
      <c r="F140" s="2544"/>
      <c r="G140" s="2544"/>
      <c r="H140" s="2544"/>
      <c r="I140" s="2544"/>
      <c r="J140" s="2544"/>
      <c r="K140" s="2544"/>
      <c r="L140" s="2544"/>
      <c r="M140" s="2544"/>
    </row>
    <row r="141" spans="2:13" ht="4.5" customHeight="1" x14ac:dyDescent="0.25">
      <c r="C141" s="2086"/>
      <c r="D141" s="2086"/>
      <c r="E141" s="2086"/>
      <c r="F141" s="2086"/>
      <c r="G141" s="2086"/>
      <c r="H141" s="2086"/>
      <c r="I141" s="2086"/>
      <c r="J141" s="2086"/>
      <c r="K141" s="2086"/>
      <c r="L141" s="2086"/>
      <c r="M141" s="2086"/>
    </row>
    <row r="142" spans="2:13" x14ac:dyDescent="0.25">
      <c r="C142" s="2086"/>
      <c r="D142" s="2086"/>
      <c r="E142" s="1936" t="s">
        <v>1225</v>
      </c>
      <c r="F142" s="2086"/>
      <c r="G142" s="2582"/>
      <c r="H142" s="2583"/>
      <c r="I142" s="2583"/>
      <c r="J142" s="2584"/>
      <c r="K142" s="1921"/>
      <c r="L142" s="2086"/>
      <c r="M142" s="2086"/>
    </row>
    <row r="143" spans="2:13" x14ac:dyDescent="0.25">
      <c r="C143" s="1935"/>
      <c r="D143" s="1935" t="s">
        <v>1226</v>
      </c>
      <c r="J143" s="1891"/>
      <c r="K143" s="1937"/>
      <c r="L143" s="1919"/>
      <c r="M143" s="1898"/>
    </row>
    <row r="144" spans="2:13" x14ac:dyDescent="0.25">
      <c r="C144" s="1935"/>
      <c r="D144" s="1935"/>
      <c r="J144" s="1891"/>
      <c r="K144" s="1937"/>
      <c r="L144" s="1919"/>
      <c r="M144" s="1898"/>
    </row>
    <row r="145" spans="2:13" x14ac:dyDescent="0.25">
      <c r="C145" s="1891"/>
      <c r="D145" s="1891"/>
      <c r="E145" s="1921"/>
      <c r="F145" s="1921"/>
      <c r="G145" s="1921"/>
      <c r="H145" s="1921"/>
      <c r="I145" s="1921"/>
      <c r="J145" s="1891"/>
      <c r="K145" s="1937"/>
      <c r="L145" s="1919"/>
      <c r="M145" s="1898"/>
    </row>
    <row r="146" spans="2:13" x14ac:dyDescent="0.25">
      <c r="B146" s="1891">
        <v>12</v>
      </c>
      <c r="C146" s="1892" t="s">
        <v>1227</v>
      </c>
      <c r="D146" s="1892"/>
      <c r="E146" s="1893"/>
      <c r="F146" s="1894"/>
      <c r="G146" s="1894"/>
      <c r="H146" s="1894"/>
      <c r="I146" s="1894"/>
      <c r="J146" s="1894"/>
      <c r="K146" s="1894"/>
      <c r="L146" s="1895"/>
      <c r="M146" s="1896">
        <v>0</v>
      </c>
    </row>
    <row r="147" spans="2:13" ht="7.5" customHeight="1" x14ac:dyDescent="0.25">
      <c r="C147" s="1891"/>
      <c r="D147" s="1891"/>
      <c r="E147" s="1897"/>
      <c r="F147" s="1891"/>
      <c r="G147" s="1891"/>
      <c r="H147" s="1891"/>
      <c r="I147" s="1891"/>
      <c r="J147" s="1891"/>
      <c r="K147" s="1891"/>
      <c r="L147" s="1919"/>
      <c r="M147" s="1898"/>
    </row>
    <row r="148" spans="2:13" ht="27" customHeight="1" x14ac:dyDescent="0.25">
      <c r="C148" s="2544" t="s">
        <v>1228</v>
      </c>
      <c r="D148" s="2544"/>
      <c r="E148" s="2544"/>
      <c r="F148" s="2544"/>
      <c r="G148" s="2544"/>
      <c r="H148" s="2544"/>
      <c r="I148" s="2544"/>
      <c r="J148" s="2544"/>
      <c r="K148" s="2544"/>
      <c r="L148" s="2544"/>
      <c r="M148" s="2544"/>
    </row>
    <row r="149" spans="2:13" ht="4.5" customHeight="1" x14ac:dyDescent="0.25">
      <c r="C149" s="2086"/>
      <c r="D149" s="2086"/>
      <c r="E149" s="2086"/>
      <c r="F149" s="2086"/>
      <c r="G149" s="2086"/>
      <c r="H149" s="2086"/>
      <c r="I149" s="2086"/>
      <c r="J149" s="2086"/>
      <c r="K149" s="2086"/>
      <c r="L149" s="2086"/>
      <c r="M149" s="2086"/>
    </row>
    <row r="150" spans="2:13" x14ac:dyDescent="0.25">
      <c r="C150" s="2086"/>
      <c r="D150" s="2086"/>
      <c r="E150" s="1936" t="s">
        <v>1229</v>
      </c>
      <c r="F150" s="2086"/>
      <c r="G150" s="2542" t="s">
        <v>1169</v>
      </c>
      <c r="H150" s="2548"/>
      <c r="I150" s="2548"/>
      <c r="J150" s="2548"/>
      <c r="K150" s="2548"/>
      <c r="L150" s="2543"/>
      <c r="M150" s="2086"/>
    </row>
    <row r="151" spans="2:13" x14ac:dyDescent="0.25">
      <c r="C151" s="1891"/>
      <c r="D151" s="1891"/>
      <c r="J151" s="1891"/>
      <c r="K151" s="1937"/>
      <c r="L151" s="1919"/>
      <c r="M151" s="1898"/>
    </row>
    <row r="152" spans="2:13" x14ac:dyDescent="0.25">
      <c r="C152" s="1891"/>
      <c r="D152" s="1891"/>
      <c r="E152" s="1921"/>
      <c r="F152" s="1921"/>
      <c r="G152" s="1921"/>
      <c r="H152" s="1921"/>
      <c r="I152" s="1921"/>
      <c r="J152" s="1891"/>
      <c r="K152" s="1937"/>
      <c r="L152" s="1919"/>
      <c r="M152" s="1898"/>
    </row>
    <row r="153" spans="2:13" x14ac:dyDescent="0.25">
      <c r="B153" s="1891">
        <v>13</v>
      </c>
      <c r="C153" s="1892" t="s">
        <v>1230</v>
      </c>
      <c r="D153" s="1892"/>
      <c r="E153" s="1893"/>
      <c r="F153" s="1894"/>
      <c r="G153" s="1894"/>
      <c r="H153" s="1894"/>
      <c r="I153" s="1894"/>
      <c r="J153" s="1894"/>
      <c r="K153" s="1894"/>
      <c r="L153" s="1895"/>
      <c r="M153" s="1896">
        <v>0</v>
      </c>
    </row>
    <row r="154" spans="2:13" ht="7.5" customHeight="1" x14ac:dyDescent="0.25">
      <c r="C154" s="1891"/>
      <c r="D154" s="1891"/>
      <c r="E154" s="1897"/>
      <c r="F154" s="1891"/>
      <c r="G154" s="1891"/>
      <c r="H154" s="1891"/>
      <c r="I154" s="1891"/>
      <c r="J154" s="1891"/>
      <c r="K154" s="1891"/>
      <c r="L154" s="1919"/>
      <c r="M154" s="1898"/>
    </row>
    <row r="155" spans="2:13" ht="15" customHeight="1" x14ac:dyDescent="0.25">
      <c r="C155" s="2544" t="s">
        <v>1231</v>
      </c>
      <c r="D155" s="2544"/>
      <c r="E155" s="2544"/>
      <c r="F155" s="2544"/>
      <c r="G155" s="2544"/>
      <c r="H155" s="2544"/>
      <c r="I155" s="2544"/>
      <c r="J155" s="2544"/>
      <c r="K155" s="2544"/>
      <c r="L155" s="2544"/>
      <c r="M155" s="2544"/>
    </row>
    <row r="156" spans="2:13" x14ac:dyDescent="0.25">
      <c r="C156" s="2544"/>
      <c r="D156" s="2544"/>
      <c r="E156" s="2544"/>
      <c r="F156" s="2544"/>
      <c r="G156" s="2544"/>
      <c r="H156" s="2544"/>
      <c r="I156" s="2544"/>
      <c r="J156" s="2544"/>
      <c r="K156" s="2544"/>
      <c r="L156" s="2544"/>
      <c r="M156" s="2544"/>
    </row>
    <row r="157" spans="2:13" ht="4.5" customHeight="1" x14ac:dyDescent="0.25">
      <c r="C157" s="2086"/>
      <c r="D157" s="2086"/>
      <c r="E157" s="2086"/>
      <c r="F157" s="2086"/>
      <c r="G157" s="2086"/>
      <c r="H157" s="2086"/>
      <c r="I157" s="2086"/>
      <c r="J157" s="2086"/>
      <c r="K157" s="2086"/>
      <c r="L157" s="2086"/>
      <c r="M157" s="2086"/>
    </row>
    <row r="158" spans="2:13" x14ac:dyDescent="0.25">
      <c r="E158" s="1888" t="s">
        <v>1182</v>
      </c>
      <c r="G158" s="2542" t="s">
        <v>1183</v>
      </c>
      <c r="H158" s="2548"/>
      <c r="I158" s="2548"/>
      <c r="J158" s="2548"/>
      <c r="K158" s="2548"/>
      <c r="L158" s="2543"/>
    </row>
    <row r="159" spans="2:13" x14ac:dyDescent="0.25">
      <c r="G159" s="1921"/>
      <c r="H159" s="1921"/>
      <c r="I159" s="1921"/>
      <c r="J159" s="1921"/>
      <c r="K159" s="1921"/>
      <c r="L159" s="1921"/>
    </row>
    <row r="160" spans="2:13" x14ac:dyDescent="0.25">
      <c r="C160" s="2086"/>
      <c r="D160" s="2086"/>
      <c r="E160" s="2086"/>
      <c r="F160" s="2086"/>
      <c r="G160" s="2086"/>
      <c r="H160" s="2086"/>
      <c r="I160" s="2086"/>
      <c r="J160" s="2086"/>
      <c r="K160" s="2086"/>
      <c r="L160" s="2086"/>
      <c r="M160" s="2086"/>
    </row>
    <row r="161" spans="2:13" x14ac:dyDescent="0.25">
      <c r="B161" s="1891">
        <v>14</v>
      </c>
      <c r="C161" s="1892" t="s">
        <v>1232</v>
      </c>
      <c r="D161" s="1892"/>
      <c r="E161" s="1893"/>
      <c r="F161" s="1894"/>
      <c r="G161" s="1894"/>
      <c r="H161" s="1894"/>
      <c r="I161" s="1894"/>
      <c r="J161" s="1894"/>
      <c r="K161" s="1894"/>
      <c r="L161" s="1895"/>
      <c r="M161" s="1896">
        <v>0</v>
      </c>
    </row>
    <row r="162" spans="2:13" ht="7.5" customHeight="1" x14ac:dyDescent="0.25">
      <c r="C162" s="1891"/>
      <c r="D162" s="1891"/>
      <c r="E162" s="1897"/>
      <c r="F162" s="1891"/>
      <c r="G162" s="1891"/>
      <c r="H162" s="1891"/>
      <c r="I162" s="1891"/>
      <c r="J162" s="1891"/>
      <c r="K162" s="1891"/>
      <c r="L162" s="1919"/>
      <c r="M162" s="1898"/>
    </row>
    <row r="163" spans="2:13" ht="15" customHeight="1" x14ac:dyDescent="0.25">
      <c r="C163" s="2544" t="s">
        <v>1233</v>
      </c>
      <c r="D163" s="2544"/>
      <c r="E163" s="2544"/>
      <c r="F163" s="2544"/>
      <c r="G163" s="2544"/>
      <c r="H163" s="2544"/>
      <c r="I163" s="2544"/>
      <c r="J163" s="2544"/>
      <c r="K163" s="2544"/>
      <c r="L163" s="2544"/>
      <c r="M163" s="2544"/>
    </row>
    <row r="164" spans="2:13" x14ac:dyDescent="0.25">
      <c r="C164" s="2544"/>
      <c r="D164" s="2544"/>
      <c r="E164" s="2544"/>
      <c r="F164" s="2544"/>
      <c r="G164" s="2544"/>
      <c r="H164" s="2544"/>
      <c r="I164" s="2544"/>
      <c r="J164" s="2544"/>
      <c r="K164" s="2544"/>
      <c r="L164" s="2544"/>
      <c r="M164" s="2544"/>
    </row>
    <row r="165" spans="2:13" ht="4.5" customHeight="1" x14ac:dyDescent="0.25">
      <c r="C165" s="2086"/>
      <c r="D165" s="2086"/>
      <c r="E165" s="2086"/>
      <c r="F165" s="2086"/>
      <c r="G165" s="2086"/>
      <c r="H165" s="2086"/>
      <c r="I165" s="2086"/>
      <c r="J165" s="2086"/>
      <c r="K165" s="2086"/>
      <c r="L165" s="2086"/>
      <c r="M165" s="2086"/>
    </row>
    <row r="166" spans="2:13" x14ac:dyDescent="0.25">
      <c r="E166" s="1888" t="s">
        <v>1182</v>
      </c>
      <c r="G166" s="2542" t="s">
        <v>1183</v>
      </c>
      <c r="H166" s="2548"/>
      <c r="I166" s="2548"/>
      <c r="J166" s="2548"/>
      <c r="K166" s="2548"/>
      <c r="L166" s="2543"/>
    </row>
    <row r="167" spans="2:13" x14ac:dyDescent="0.25">
      <c r="G167" s="1921"/>
      <c r="H167" s="1921"/>
      <c r="I167" s="1921"/>
      <c r="J167" s="1921"/>
      <c r="K167" s="1921"/>
      <c r="L167" s="1921"/>
    </row>
    <row r="168" spans="2:13" x14ac:dyDescent="0.25">
      <c r="C168" s="2086"/>
      <c r="D168" s="2086"/>
      <c r="E168" s="2086"/>
      <c r="F168" s="2086"/>
      <c r="G168" s="2086"/>
      <c r="H168" s="2086"/>
      <c r="I168" s="2086"/>
      <c r="J168" s="2086"/>
      <c r="K168" s="2086"/>
      <c r="L168" s="2086"/>
      <c r="M168" s="2086"/>
    </row>
    <row r="169" spans="2:13" x14ac:dyDescent="0.25">
      <c r="B169" s="1891">
        <v>15</v>
      </c>
      <c r="C169" s="1892" t="s">
        <v>1234</v>
      </c>
      <c r="D169" s="1892"/>
      <c r="E169" s="1893"/>
      <c r="F169" s="1894"/>
      <c r="G169" s="1894"/>
      <c r="H169" s="1894"/>
      <c r="I169" s="1894"/>
      <c r="J169" s="1894"/>
      <c r="K169" s="1894"/>
      <c r="L169" s="1895"/>
      <c r="M169" s="1896">
        <v>0</v>
      </c>
    </row>
    <row r="170" spans="2:13" ht="7.5" customHeight="1" x14ac:dyDescent="0.25">
      <c r="C170" s="1891"/>
      <c r="D170" s="1891"/>
      <c r="E170" s="1897"/>
      <c r="F170" s="1891"/>
      <c r="G170" s="1891"/>
      <c r="H170" s="1891"/>
      <c r="I170" s="1891"/>
      <c r="J170" s="1891"/>
      <c r="K170" s="1891"/>
      <c r="L170" s="1919"/>
      <c r="M170" s="1898"/>
    </row>
    <row r="171" spans="2:13" ht="15" customHeight="1" x14ac:dyDescent="0.25">
      <c r="C171" s="2544" t="s">
        <v>1235</v>
      </c>
      <c r="D171" s="2544"/>
      <c r="E171" s="2544"/>
      <c r="F171" s="2544"/>
      <c r="G171" s="2544"/>
      <c r="H171" s="2544"/>
      <c r="I171" s="2544"/>
      <c r="J171" s="2544"/>
      <c r="K171" s="2544"/>
      <c r="L171" s="2544"/>
      <c r="M171" s="2544"/>
    </row>
    <row r="172" spans="2:13" x14ac:dyDescent="0.25">
      <c r="C172" s="2544"/>
      <c r="D172" s="2544"/>
      <c r="E172" s="2544"/>
      <c r="F172" s="2544"/>
      <c r="G172" s="2544"/>
      <c r="H172" s="2544"/>
      <c r="I172" s="2544"/>
      <c r="J172" s="2544"/>
      <c r="K172" s="2544"/>
      <c r="L172" s="2544"/>
      <c r="M172" s="2544"/>
    </row>
    <row r="173" spans="2:13" x14ac:dyDescent="0.25">
      <c r="C173" s="2086"/>
      <c r="D173" s="2086"/>
      <c r="E173" s="2086"/>
      <c r="F173" s="2086"/>
      <c r="G173" s="2086"/>
      <c r="H173" s="2086"/>
      <c r="I173" s="2086"/>
      <c r="J173" s="2086"/>
      <c r="K173" s="2086"/>
      <c r="L173" s="2086"/>
      <c r="M173" s="2086"/>
    </row>
    <row r="174" spans="2:13" x14ac:dyDescent="0.25">
      <c r="E174" s="1888" t="s">
        <v>1182</v>
      </c>
      <c r="G174" s="2542"/>
      <c r="H174" s="2548"/>
      <c r="I174" s="2548"/>
      <c r="J174" s="2548"/>
      <c r="K174" s="2548"/>
      <c r="L174" s="2543"/>
    </row>
    <row r="175" spans="2:13" x14ac:dyDescent="0.25">
      <c r="G175" s="1921"/>
      <c r="H175" s="1921"/>
      <c r="I175" s="1921"/>
      <c r="J175" s="1921"/>
      <c r="K175" s="1921"/>
      <c r="L175" s="1921"/>
    </row>
    <row r="176" spans="2:13" x14ac:dyDescent="0.25">
      <c r="G176" s="1921"/>
      <c r="H176" s="1921"/>
      <c r="I176" s="1921"/>
      <c r="J176" s="1921"/>
      <c r="K176" s="1921"/>
      <c r="L176" s="1921"/>
    </row>
    <row r="177" spans="2:13" x14ac:dyDescent="0.25">
      <c r="B177" s="1891">
        <v>16</v>
      </c>
      <c r="C177" s="1892" t="s">
        <v>1236</v>
      </c>
      <c r="D177" s="1892"/>
      <c r="E177" s="1893"/>
      <c r="F177" s="1894"/>
      <c r="G177" s="1894"/>
      <c r="H177" s="1894"/>
      <c r="I177" s="1894"/>
      <c r="J177" s="1894"/>
      <c r="K177" s="1894"/>
      <c r="L177" s="1895"/>
      <c r="M177" s="1896">
        <v>0</v>
      </c>
    </row>
    <row r="178" spans="2:13" ht="7.5" customHeight="1" x14ac:dyDescent="0.25">
      <c r="C178" s="1891"/>
      <c r="D178" s="1891"/>
      <c r="E178" s="1897"/>
      <c r="F178" s="1891"/>
      <c r="G178" s="1891"/>
      <c r="H178" s="1891"/>
      <c r="I178" s="1891"/>
      <c r="J178" s="1891"/>
      <c r="K178" s="1891"/>
      <c r="L178" s="1919"/>
      <c r="M178" s="1898"/>
    </row>
    <row r="179" spans="2:13" ht="15" customHeight="1" x14ac:dyDescent="0.25">
      <c r="C179" s="2544" t="s">
        <v>1237</v>
      </c>
      <c r="D179" s="2544"/>
      <c r="E179" s="2544"/>
      <c r="F179" s="2544"/>
      <c r="G179" s="2544"/>
      <c r="H179" s="2544"/>
      <c r="I179" s="2544"/>
      <c r="J179" s="2544"/>
      <c r="K179" s="2544"/>
      <c r="L179" s="2544"/>
      <c r="M179" s="2544"/>
    </row>
    <row r="180" spans="2:13" x14ac:dyDescent="0.25">
      <c r="C180" s="2544"/>
      <c r="D180" s="2544"/>
      <c r="E180" s="2544"/>
      <c r="F180" s="2544"/>
      <c r="G180" s="2544"/>
      <c r="H180" s="2544"/>
      <c r="I180" s="2544"/>
      <c r="J180" s="2544"/>
      <c r="K180" s="2544"/>
      <c r="L180" s="2544"/>
      <c r="M180" s="2544"/>
    </row>
    <row r="181" spans="2:13" x14ac:dyDescent="0.25">
      <c r="C181" s="2086"/>
      <c r="D181" s="2086"/>
      <c r="E181" s="2086"/>
      <c r="F181" s="2086"/>
      <c r="G181" s="2086"/>
      <c r="H181" s="2086"/>
      <c r="I181" s="2086"/>
      <c r="J181" s="2086"/>
      <c r="K181" s="2086"/>
      <c r="L181" s="2086"/>
      <c r="M181" s="2086"/>
    </row>
    <row r="182" spans="2:13" x14ac:dyDescent="0.25">
      <c r="E182" s="1888" t="s">
        <v>1182</v>
      </c>
      <c r="G182" s="2542"/>
      <c r="H182" s="2548"/>
      <c r="I182" s="2548"/>
      <c r="J182" s="2548"/>
      <c r="K182" s="2548"/>
      <c r="L182" s="2543"/>
    </row>
    <row r="183" spans="2:13" x14ac:dyDescent="0.25">
      <c r="G183" s="1921"/>
      <c r="H183" s="1921"/>
      <c r="I183" s="1921"/>
      <c r="J183" s="1921"/>
      <c r="K183" s="1921"/>
      <c r="L183" s="1921"/>
    </row>
    <row r="184" spans="2:13" x14ac:dyDescent="0.25">
      <c r="G184" s="1921"/>
      <c r="H184" s="1921"/>
      <c r="I184" s="1921"/>
      <c r="J184" s="1921"/>
      <c r="K184" s="1921"/>
      <c r="L184" s="1921"/>
    </row>
    <row r="185" spans="2:13" x14ac:dyDescent="0.25">
      <c r="B185" s="1891">
        <v>17</v>
      </c>
      <c r="C185" s="1892" t="s">
        <v>1238</v>
      </c>
      <c r="D185" s="1892"/>
      <c r="E185" s="1893"/>
      <c r="F185" s="1894"/>
      <c r="G185" s="1894"/>
      <c r="H185" s="1894"/>
      <c r="I185" s="1894"/>
      <c r="J185" s="1894"/>
      <c r="K185" s="1894"/>
      <c r="L185" s="1895"/>
      <c r="M185" s="1896">
        <v>0</v>
      </c>
    </row>
    <row r="186" spans="2:13" ht="7.5" customHeight="1" x14ac:dyDescent="0.25">
      <c r="C186" s="1891"/>
      <c r="D186" s="1891"/>
      <c r="E186" s="1897"/>
      <c r="F186" s="1891"/>
      <c r="G186" s="1891"/>
      <c r="H186" s="1891"/>
      <c r="I186" s="1891"/>
      <c r="J186" s="1891"/>
      <c r="K186" s="1891"/>
      <c r="L186" s="1919"/>
      <c r="M186" s="1898"/>
    </row>
    <row r="187" spans="2:13" x14ac:dyDescent="0.25">
      <c r="C187" s="2586" t="s">
        <v>1239</v>
      </c>
      <c r="D187" s="2586"/>
      <c r="E187" s="2586"/>
      <c r="F187" s="2586"/>
      <c r="G187" s="2586"/>
      <c r="H187" s="2586"/>
      <c r="I187" s="2586"/>
      <c r="J187" s="2586"/>
      <c r="K187" s="2586"/>
      <c r="L187" s="2586"/>
      <c r="M187" s="2586"/>
    </row>
    <row r="188" spans="2:13" x14ac:dyDescent="0.25">
      <c r="C188" s="2086"/>
      <c r="D188" s="2086"/>
      <c r="E188" s="2086"/>
      <c r="F188" s="2086"/>
      <c r="G188" s="2086"/>
      <c r="H188" s="2086"/>
      <c r="I188" s="2086"/>
      <c r="J188" s="2086"/>
      <c r="K188" s="2086"/>
      <c r="L188" s="2086"/>
      <c r="M188" s="2086"/>
    </row>
    <row r="189" spans="2:13" x14ac:dyDescent="0.25">
      <c r="C189" s="2086"/>
      <c r="D189" s="2086"/>
      <c r="E189" s="1936" t="s">
        <v>1240</v>
      </c>
      <c r="F189" s="2086"/>
      <c r="G189" s="2587" t="s">
        <v>1241</v>
      </c>
      <c r="H189" s="2588"/>
      <c r="I189" s="2589"/>
      <c r="J189" s="2086"/>
      <c r="K189" s="2593" t="s">
        <v>1242</v>
      </c>
      <c r="L189" s="2594"/>
      <c r="M189" s="2086"/>
    </row>
    <row r="190" spans="2:13" x14ac:dyDescent="0.25">
      <c r="C190" s="2086"/>
      <c r="D190" s="2086"/>
      <c r="E190" s="2086"/>
      <c r="F190" s="2086"/>
      <c r="G190" s="2590"/>
      <c r="H190" s="2591"/>
      <c r="I190" s="2592"/>
      <c r="J190" s="2086"/>
      <c r="K190" s="2086"/>
      <c r="L190" s="2086"/>
      <c r="M190" s="2086"/>
    </row>
    <row r="191" spans="2:13" x14ac:dyDescent="0.25">
      <c r="G191" s="1921"/>
      <c r="H191" s="1921"/>
      <c r="I191" s="1921"/>
      <c r="J191" s="1921"/>
      <c r="K191" s="1921"/>
      <c r="L191" s="1921"/>
    </row>
    <row r="192" spans="2:13" x14ac:dyDescent="0.25">
      <c r="B192" s="1891">
        <v>18</v>
      </c>
      <c r="C192" s="1892" t="s">
        <v>1243</v>
      </c>
      <c r="D192" s="1892"/>
      <c r="E192" s="1893"/>
      <c r="F192" s="1894"/>
      <c r="G192" s="1894"/>
      <c r="H192" s="1894"/>
      <c r="I192" s="1894"/>
      <c r="J192" s="1894"/>
      <c r="K192" s="1894"/>
      <c r="L192" s="1895"/>
      <c r="M192" s="1896">
        <v>0</v>
      </c>
    </row>
    <row r="193" spans="2:13" ht="7.15" customHeight="1" x14ac:dyDescent="0.25">
      <c r="C193" s="1891"/>
      <c r="D193" s="1891"/>
      <c r="E193" s="1897"/>
      <c r="F193" s="1891"/>
      <c r="G193" s="1891"/>
      <c r="H193" s="1891"/>
      <c r="I193" s="1891"/>
      <c r="J193" s="1891"/>
      <c r="K193" s="1891"/>
      <c r="L193" s="1919"/>
      <c r="M193" s="1898"/>
    </row>
    <row r="194" spans="2:13" x14ac:dyDescent="0.25">
      <c r="C194" s="2544" t="s">
        <v>1244</v>
      </c>
      <c r="D194" s="2544"/>
      <c r="E194" s="2544"/>
      <c r="F194" s="2544"/>
      <c r="G194" s="2544"/>
      <c r="H194" s="2544"/>
      <c r="I194" s="2544"/>
      <c r="J194" s="2544"/>
      <c r="K194" s="2544"/>
      <c r="L194" s="2544"/>
      <c r="M194" s="2544"/>
    </row>
    <row r="195" spans="2:13" x14ac:dyDescent="0.25">
      <c r="C195" s="2544"/>
      <c r="D195" s="2544"/>
      <c r="E195" s="2544"/>
      <c r="F195" s="2544"/>
      <c r="G195" s="2544"/>
      <c r="H195" s="2544"/>
      <c r="I195" s="2544"/>
      <c r="J195" s="2544"/>
      <c r="K195" s="2544"/>
      <c r="L195" s="2544"/>
      <c r="M195" s="2544"/>
    </row>
    <row r="196" spans="2:13" x14ac:dyDescent="0.25">
      <c r="C196" s="2086"/>
      <c r="D196" s="2086"/>
      <c r="E196" s="2086"/>
      <c r="F196" s="2086"/>
      <c r="G196" s="2086"/>
      <c r="H196" s="2086"/>
      <c r="I196" s="2086"/>
      <c r="J196" s="2086"/>
      <c r="K196" s="2086"/>
      <c r="L196" s="2086"/>
      <c r="M196" s="2086"/>
    </row>
    <row r="197" spans="2:13" x14ac:dyDescent="0.25">
      <c r="C197" s="1891"/>
      <c r="D197" s="1891"/>
      <c r="E197" s="2542" t="s">
        <v>1169</v>
      </c>
      <c r="F197" s="2548"/>
      <c r="G197" s="2548"/>
      <c r="H197" s="2548"/>
      <c r="I197" s="2543"/>
      <c r="J197" s="1891"/>
      <c r="K197" s="1937"/>
      <c r="L197" s="1919"/>
      <c r="M197" s="1898"/>
    </row>
    <row r="198" spans="2:13" x14ac:dyDescent="0.25">
      <c r="C198" s="1891"/>
      <c r="D198" s="1891"/>
      <c r="E198" s="1921"/>
      <c r="F198" s="1921"/>
      <c r="G198" s="1921"/>
      <c r="H198" s="1921"/>
      <c r="I198" s="1921"/>
      <c r="J198" s="1891"/>
      <c r="K198" s="1937"/>
      <c r="L198" s="1919"/>
      <c r="M198" s="1898"/>
    </row>
    <row r="199" spans="2:13" x14ac:dyDescent="0.25">
      <c r="C199" s="1891"/>
      <c r="D199" s="1891"/>
      <c r="E199" s="1921"/>
      <c r="F199" s="1921"/>
      <c r="G199" s="1921"/>
      <c r="H199" s="1921"/>
      <c r="I199" s="1921"/>
      <c r="J199" s="1891"/>
      <c r="K199" s="1937"/>
      <c r="L199" s="1919"/>
      <c r="M199" s="1898"/>
    </row>
    <row r="200" spans="2:13" x14ac:dyDescent="0.25">
      <c r="B200" s="1891">
        <v>19</v>
      </c>
      <c r="C200" s="1892" t="s">
        <v>1245</v>
      </c>
      <c r="D200" s="1892"/>
      <c r="E200" s="1893"/>
      <c r="F200" s="1894"/>
      <c r="G200" s="1894"/>
      <c r="H200" s="1894"/>
      <c r="I200" s="1894"/>
      <c r="J200" s="1894"/>
      <c r="K200" s="1894"/>
      <c r="L200" s="1895"/>
      <c r="M200" s="1896">
        <v>0</v>
      </c>
    </row>
    <row r="201" spans="2:13" ht="7.5" customHeight="1" x14ac:dyDescent="0.25">
      <c r="C201" s="1891"/>
      <c r="D201" s="1891"/>
      <c r="E201" s="1897"/>
      <c r="F201" s="1891"/>
      <c r="G201" s="1891"/>
      <c r="H201" s="1891"/>
      <c r="I201" s="1891"/>
      <c r="J201" s="1891"/>
      <c r="K201" s="1891"/>
      <c r="L201" s="1919"/>
      <c r="M201" s="1898"/>
    </row>
    <row r="202" spans="2:13" ht="26.25" customHeight="1" x14ac:dyDescent="0.25">
      <c r="C202" s="2544" t="s">
        <v>1246</v>
      </c>
      <c r="D202" s="2544"/>
      <c r="E202" s="2544"/>
      <c r="F202" s="2544"/>
      <c r="G202" s="2544"/>
      <c r="H202" s="2544"/>
      <c r="I202" s="2544"/>
      <c r="J202" s="2544"/>
      <c r="K202" s="2544"/>
      <c r="L202" s="2544"/>
      <c r="M202" s="2544"/>
    </row>
    <row r="203" spans="2:13" x14ac:dyDescent="0.25">
      <c r="C203" s="2086"/>
      <c r="D203" s="2086"/>
      <c r="E203" s="1897" t="s">
        <v>1247</v>
      </c>
      <c r="F203" s="2086"/>
      <c r="G203" s="2086"/>
      <c r="H203" s="2086"/>
      <c r="I203" s="2086"/>
      <c r="J203" s="2086"/>
      <c r="K203" s="2086"/>
      <c r="L203" s="2086"/>
      <c r="M203" s="2086"/>
    </row>
    <row r="204" spans="2:13" x14ac:dyDescent="0.25">
      <c r="E204" s="1938" t="s">
        <v>1248</v>
      </c>
    </row>
    <row r="205" spans="2:13" x14ac:dyDescent="0.25">
      <c r="E205" s="1938"/>
    </row>
    <row r="206" spans="2:13" x14ac:dyDescent="0.25">
      <c r="E206" s="1938"/>
    </row>
    <row r="207" spans="2:13" x14ac:dyDescent="0.25">
      <c r="B207" s="1891">
        <v>20</v>
      </c>
      <c r="C207" s="1892" t="s">
        <v>1249</v>
      </c>
      <c r="D207" s="1892"/>
      <c r="E207" s="1893"/>
      <c r="F207" s="1894"/>
      <c r="G207" s="1894"/>
      <c r="H207" s="1894"/>
      <c r="I207" s="1894"/>
      <c r="J207" s="1894"/>
      <c r="K207" s="1894"/>
      <c r="L207" s="1895"/>
      <c r="M207" s="1896">
        <v>0</v>
      </c>
    </row>
    <row r="208" spans="2:13" ht="7.5" customHeight="1" x14ac:dyDescent="0.25">
      <c r="C208" s="1891"/>
      <c r="D208" s="1891"/>
      <c r="E208" s="1897"/>
      <c r="F208" s="1891"/>
      <c r="G208" s="1891"/>
      <c r="H208" s="1891"/>
      <c r="I208" s="1891"/>
      <c r="J208" s="1891"/>
      <c r="K208" s="1891"/>
      <c r="L208" s="1919"/>
      <c r="M208" s="1898"/>
    </row>
    <row r="209" spans="2:13" ht="15" customHeight="1" x14ac:dyDescent="0.25">
      <c r="C209" s="2544" t="s">
        <v>1250</v>
      </c>
      <c r="D209" s="2544"/>
      <c r="E209" s="2544"/>
      <c r="F209" s="2544"/>
      <c r="G209" s="2544"/>
      <c r="H209" s="2544"/>
      <c r="I209" s="2544"/>
      <c r="J209" s="2544"/>
      <c r="K209" s="2544"/>
      <c r="L209" s="2544"/>
      <c r="M209" s="2544"/>
    </row>
    <row r="210" spans="2:13" x14ac:dyDescent="0.25">
      <c r="C210" s="2544"/>
      <c r="D210" s="2544"/>
      <c r="E210" s="2544"/>
      <c r="F210" s="2544"/>
      <c r="G210" s="2544"/>
      <c r="H210" s="2544"/>
      <c r="I210" s="2544"/>
      <c r="J210" s="2544"/>
      <c r="K210" s="2544"/>
      <c r="L210" s="2544"/>
      <c r="M210" s="2544"/>
    </row>
    <row r="211" spans="2:13" x14ac:dyDescent="0.25">
      <c r="C211" s="2086"/>
      <c r="D211" s="2086"/>
      <c r="E211" s="2086"/>
      <c r="F211" s="2086"/>
      <c r="G211" s="2086"/>
      <c r="H211" s="2086"/>
      <c r="I211" s="2086"/>
      <c r="J211" s="2086"/>
      <c r="K211" s="2086"/>
      <c r="L211" s="2086"/>
      <c r="M211" s="2086"/>
    </row>
    <row r="212" spans="2:13" x14ac:dyDescent="0.25">
      <c r="C212" s="2086"/>
      <c r="D212" s="2086"/>
      <c r="E212" s="2086"/>
      <c r="F212" s="2086"/>
      <c r="G212" s="2086"/>
      <c r="H212" s="2086"/>
      <c r="I212" s="2086"/>
      <c r="J212" s="2086"/>
      <c r="K212" s="2086"/>
      <c r="L212" s="2086"/>
      <c r="M212" s="2086"/>
    </row>
    <row r="213" spans="2:13" x14ac:dyDescent="0.25">
      <c r="B213" s="1891">
        <v>21</v>
      </c>
      <c r="C213" s="1892" t="s">
        <v>1251</v>
      </c>
      <c r="D213" s="1892"/>
      <c r="E213" s="1893"/>
      <c r="F213" s="1894"/>
      <c r="G213" s="1894"/>
      <c r="H213" s="1894"/>
      <c r="I213" s="1894"/>
      <c r="J213" s="1894"/>
      <c r="K213" s="1894"/>
      <c r="L213" s="1895"/>
      <c r="M213" s="1896">
        <v>0</v>
      </c>
    </row>
    <row r="214" spans="2:13" ht="7.5" customHeight="1" x14ac:dyDescent="0.25">
      <c r="C214" s="1891"/>
      <c r="D214" s="1891"/>
      <c r="E214" s="1897"/>
      <c r="F214" s="1891"/>
      <c r="G214" s="1891"/>
      <c r="H214" s="1891"/>
      <c r="I214" s="1891"/>
      <c r="J214" s="1891"/>
      <c r="K214" s="1891"/>
      <c r="L214" s="1919"/>
      <c r="M214" s="1898"/>
    </row>
    <row r="215" spans="2:13" ht="15" customHeight="1" x14ac:dyDescent="0.25">
      <c r="C215" s="1897" t="s">
        <v>1252</v>
      </c>
      <c r="D215" s="1897"/>
      <c r="E215" s="1897"/>
      <c r="F215" s="1897"/>
      <c r="G215" s="1897"/>
      <c r="H215" s="1897"/>
      <c r="I215" s="1897"/>
      <c r="J215" s="1897"/>
      <c r="K215" s="1897"/>
      <c r="L215" s="1897"/>
      <c r="M215" s="1897"/>
    </row>
    <row r="216" spans="2:13" x14ac:dyDescent="0.25">
      <c r="C216" s="2086"/>
      <c r="D216" s="2086"/>
      <c r="E216" s="2086"/>
      <c r="F216" s="2086"/>
      <c r="G216" s="2086"/>
      <c r="H216" s="2086"/>
      <c r="I216" s="2086"/>
      <c r="J216" s="2086"/>
      <c r="K216" s="2086"/>
      <c r="L216" s="2086"/>
      <c r="M216" s="2086"/>
    </row>
    <row r="217" spans="2:13" x14ac:dyDescent="0.25">
      <c r="B217" s="1891">
        <v>22</v>
      </c>
      <c r="C217" s="1892" t="s">
        <v>1753</v>
      </c>
      <c r="D217" s="1892"/>
      <c r="E217" s="1893"/>
      <c r="F217" s="1894"/>
      <c r="G217" s="1894"/>
      <c r="H217" s="1894"/>
      <c r="I217" s="1894"/>
      <c r="J217" s="1894"/>
      <c r="K217" s="1894"/>
      <c r="L217" s="1895"/>
      <c r="M217" s="1896">
        <v>0</v>
      </c>
    </row>
    <row r="218" spans="2:13" ht="7.5" customHeight="1" x14ac:dyDescent="0.25">
      <c r="C218" s="1891"/>
      <c r="D218" s="1891"/>
      <c r="E218" s="1897"/>
      <c r="F218" s="1891"/>
      <c r="G218" s="1891"/>
      <c r="H218" s="1891"/>
      <c r="I218" s="1891"/>
      <c r="J218" s="1891"/>
      <c r="K218" s="1891"/>
      <c r="L218" s="1919"/>
      <c r="M218" s="1898"/>
    </row>
    <row r="219" spans="2:13" ht="15" customHeight="1" x14ac:dyDescent="0.25">
      <c r="C219" s="1897" t="s">
        <v>1754</v>
      </c>
      <c r="D219" s="1897"/>
      <c r="E219" s="1897"/>
      <c r="F219" s="1897"/>
      <c r="G219" s="1897"/>
      <c r="H219" s="1897"/>
      <c r="I219" s="1897"/>
      <c r="J219" s="1897"/>
      <c r="K219" s="1897"/>
      <c r="L219" s="1897"/>
      <c r="M219" s="1897"/>
    </row>
    <row r="220" spans="2:13" ht="4.5" customHeight="1" x14ac:dyDescent="0.25">
      <c r="C220" s="2086"/>
      <c r="D220" s="2086"/>
      <c r="E220" s="2086"/>
      <c r="F220" s="2086"/>
      <c r="G220" s="2086"/>
      <c r="H220" s="2086"/>
      <c r="I220" s="2086"/>
      <c r="J220" s="2086"/>
      <c r="K220" s="2086"/>
      <c r="L220" s="2086"/>
      <c r="M220" s="2086"/>
    </row>
    <row r="221" spans="2:13" x14ac:dyDescent="0.25">
      <c r="E221" s="1888" t="s">
        <v>1755</v>
      </c>
      <c r="I221" s="2568" t="s">
        <v>1756</v>
      </c>
      <c r="J221" s="2569"/>
      <c r="K221" s="2569"/>
      <c r="L221" s="2570"/>
    </row>
    <row r="222" spans="2:13" x14ac:dyDescent="0.25">
      <c r="E222" s="1888" t="s">
        <v>1188</v>
      </c>
      <c r="H222" s="1928"/>
      <c r="I222" s="2595">
        <v>0</v>
      </c>
      <c r="J222" s="2596"/>
      <c r="K222" s="2596"/>
      <c r="L222" s="2597"/>
    </row>
    <row r="223" spans="2:13" ht="15" customHeight="1" x14ac:dyDescent="0.25">
      <c r="E223" s="1890" t="s">
        <v>150</v>
      </c>
      <c r="F223" s="1890"/>
      <c r="G223" s="1890"/>
      <c r="H223" s="1956"/>
      <c r="I223" s="2595">
        <v>0</v>
      </c>
      <c r="J223" s="2596"/>
      <c r="K223" s="2596"/>
      <c r="L223" s="2597"/>
    </row>
    <row r="224" spans="2:13" x14ac:dyDescent="0.25">
      <c r="E224" s="1888" t="s">
        <v>1195</v>
      </c>
      <c r="G224" s="1929"/>
      <c r="H224" s="1928"/>
      <c r="I224" s="2599" t="e">
        <f>I222/I223</f>
        <v>#DIV/0!</v>
      </c>
      <c r="J224" s="2600"/>
      <c r="K224" s="2600"/>
      <c r="L224" s="2601"/>
    </row>
    <row r="225" spans="2:13" x14ac:dyDescent="0.25">
      <c r="C225" s="2086"/>
      <c r="D225" s="2086"/>
      <c r="E225" s="2086"/>
      <c r="F225" s="2086"/>
      <c r="G225" s="2086"/>
      <c r="H225" s="2086"/>
      <c r="I225" s="2086"/>
      <c r="J225" s="2086"/>
      <c r="K225" s="2086"/>
      <c r="L225" s="2086"/>
      <c r="M225" s="2086"/>
    </row>
    <row r="226" spans="2:13" x14ac:dyDescent="0.25">
      <c r="B226" s="1891" t="s">
        <v>1757</v>
      </c>
      <c r="C226" s="1892" t="s">
        <v>1253</v>
      </c>
      <c r="D226" s="1892"/>
      <c r="E226" s="1893"/>
      <c r="F226" s="1894"/>
      <c r="G226" s="1894"/>
      <c r="H226" s="1894"/>
      <c r="I226" s="1894"/>
      <c r="J226" s="1894"/>
      <c r="K226" s="1894"/>
      <c r="L226" s="1895"/>
      <c r="M226" s="1896">
        <v>0</v>
      </c>
    </row>
    <row r="227" spans="2:13" ht="7.5" customHeight="1" x14ac:dyDescent="0.25">
      <c r="C227" s="1891"/>
      <c r="D227" s="1891"/>
      <c r="E227" s="1897"/>
      <c r="F227" s="1891"/>
      <c r="G227" s="1891"/>
      <c r="H227" s="1891"/>
      <c r="I227" s="1891"/>
      <c r="J227" s="1891"/>
      <c r="K227" s="1891"/>
      <c r="L227" s="1919"/>
      <c r="M227" s="1898"/>
    </row>
    <row r="228" spans="2:13" ht="15" customHeight="1" x14ac:dyDescent="0.25">
      <c r="C228" s="2602" t="s">
        <v>1254</v>
      </c>
      <c r="D228" s="2602"/>
      <c r="E228" s="2602"/>
      <c r="F228" s="2602"/>
      <c r="G228" s="2602"/>
      <c r="H228" s="2602"/>
      <c r="I228" s="2602"/>
      <c r="J228" s="2602"/>
      <c r="K228" s="2602"/>
      <c r="L228" s="2602"/>
      <c r="M228" s="2602"/>
    </row>
    <row r="229" spans="2:13" x14ac:dyDescent="0.25">
      <c r="C229" s="2086"/>
      <c r="D229" s="2086"/>
      <c r="E229" s="2086"/>
      <c r="F229" s="2086"/>
      <c r="G229" s="2086"/>
      <c r="H229" s="2086"/>
      <c r="I229" s="2086"/>
      <c r="J229" s="2086"/>
      <c r="K229" s="2086"/>
      <c r="L229" s="2086"/>
      <c r="M229" s="2086"/>
    </row>
    <row r="230" spans="2:13" x14ac:dyDescent="0.25">
      <c r="C230" s="1936" t="s">
        <v>1255</v>
      </c>
      <c r="D230" s="2086"/>
      <c r="E230" s="2086"/>
      <c r="F230" s="2086"/>
      <c r="G230" s="2086"/>
      <c r="H230" s="2086"/>
      <c r="I230" s="2603"/>
      <c r="J230" s="2604"/>
      <c r="K230" s="2605"/>
      <c r="L230" s="2086"/>
      <c r="M230" s="2086"/>
    </row>
    <row r="231" spans="2:13" x14ac:dyDescent="0.25">
      <c r="C231" s="2598" t="s">
        <v>1855</v>
      </c>
      <c r="D231" s="2598"/>
      <c r="E231" s="2598"/>
      <c r="F231" s="2598"/>
      <c r="G231" s="2598"/>
      <c r="K231" s="1939">
        <v>0</v>
      </c>
    </row>
    <row r="232" spans="2:13" x14ac:dyDescent="0.25">
      <c r="C232" s="1936" t="s">
        <v>1256</v>
      </c>
      <c r="D232" s="1936"/>
      <c r="K232" s="1940" t="e">
        <f>1-K231/I230</f>
        <v>#DIV/0!</v>
      </c>
    </row>
    <row r="233" spans="2:13" ht="15" customHeight="1" thickBot="1" x14ac:dyDescent="0.3"/>
    <row r="234" spans="2:13" ht="19.5" customHeight="1" thickTop="1" thickBot="1" x14ac:dyDescent="0.3">
      <c r="B234" s="1941"/>
      <c r="C234" s="1942" t="s">
        <v>1257</v>
      </c>
      <c r="D234" s="1943"/>
      <c r="E234" s="1944"/>
      <c r="F234" s="1941"/>
      <c r="G234" s="1941"/>
      <c r="H234" s="1941"/>
      <c r="I234" s="1941"/>
      <c r="J234" s="1941"/>
      <c r="K234" s="1941"/>
      <c r="L234" s="1941"/>
      <c r="M234" s="1945">
        <f>M15+M33+M40+M63+M83+M93+M100+M108+M115+M126+M138+M146+M153+M161+M169+M177+M185+M192+M200+M207+M213+M217+M226</f>
        <v>0</v>
      </c>
    </row>
    <row r="235" spans="2:13" ht="15.75" thickTop="1" x14ac:dyDescent="0.25"/>
    <row r="236" spans="2:13" x14ac:dyDescent="0.25">
      <c r="B236" s="1891" t="s">
        <v>1758</v>
      </c>
      <c r="C236" s="1892" t="s">
        <v>1253</v>
      </c>
      <c r="D236" s="1892"/>
      <c r="E236" s="1893"/>
      <c r="F236" s="1894"/>
      <c r="G236" s="1894"/>
      <c r="H236" s="1894"/>
      <c r="I236" s="1894"/>
      <c r="J236" s="1894"/>
      <c r="K236" s="1894"/>
      <c r="L236" s="1895"/>
      <c r="M236" s="1896">
        <v>0</v>
      </c>
    </row>
    <row r="237" spans="2:13" ht="7.5" customHeight="1" x14ac:dyDescent="0.25">
      <c r="C237" s="1891"/>
      <c r="D237" s="1891"/>
      <c r="E237" s="1897"/>
      <c r="F237" s="1891"/>
      <c r="G237" s="1891"/>
      <c r="H237" s="1891"/>
      <c r="I237" s="1891"/>
      <c r="J237" s="1891"/>
      <c r="K237" s="1891"/>
      <c r="L237" s="1919"/>
      <c r="M237" s="1898"/>
    </row>
    <row r="238" spans="2:13" ht="15" customHeight="1" x14ac:dyDescent="0.25">
      <c r="C238" s="2602" t="s">
        <v>1258</v>
      </c>
      <c r="D238" s="2602"/>
      <c r="E238" s="2602"/>
      <c r="F238" s="2602"/>
      <c r="G238" s="2602"/>
      <c r="H238" s="2602"/>
      <c r="I238" s="2602"/>
      <c r="J238" s="2602"/>
      <c r="K238" s="2602"/>
      <c r="L238" s="2602"/>
      <c r="M238" s="2602"/>
    </row>
    <row r="239" spans="2:13" x14ac:dyDescent="0.25">
      <c r="C239" s="2086"/>
      <c r="D239" s="2086"/>
      <c r="E239" s="2086"/>
      <c r="F239" s="2086"/>
      <c r="G239" s="2086"/>
      <c r="H239" s="2086"/>
      <c r="I239" s="2086"/>
      <c r="J239" s="2086"/>
      <c r="K239" s="2086"/>
      <c r="L239" s="2086"/>
      <c r="M239" s="2086"/>
    </row>
    <row r="240" spans="2:13" x14ac:dyDescent="0.25">
      <c r="C240" s="2598" t="s">
        <v>1855</v>
      </c>
      <c r="D240" s="2598"/>
      <c r="E240" s="2598"/>
      <c r="F240" s="2598"/>
      <c r="G240" s="2598"/>
      <c r="H240" s="1936"/>
      <c r="K240" s="1939">
        <v>0</v>
      </c>
    </row>
    <row r="241" spans="2:13" x14ac:dyDescent="0.25">
      <c r="C241" s="2598" t="s">
        <v>1856</v>
      </c>
      <c r="D241" s="2598"/>
      <c r="E241" s="2598"/>
      <c r="F241" s="2598"/>
      <c r="G241" s="2598"/>
      <c r="K241" s="2109">
        <v>0</v>
      </c>
    </row>
    <row r="242" spans="2:13" x14ac:dyDescent="0.25">
      <c r="C242" s="1936" t="s">
        <v>1259</v>
      </c>
      <c r="D242" s="1936"/>
      <c r="K242" s="1946" t="e">
        <f>K240/K241</f>
        <v>#DIV/0!</v>
      </c>
    </row>
    <row r="243" spans="2:13" ht="15.75" thickBot="1" x14ac:dyDescent="0.3"/>
    <row r="244" spans="2:13" ht="19.5" customHeight="1" thickTop="1" thickBot="1" x14ac:dyDescent="0.3">
      <c r="B244" s="1941"/>
      <c r="C244" s="1942" t="s">
        <v>1260</v>
      </c>
      <c r="D244" s="1943"/>
      <c r="E244" s="1944"/>
      <c r="F244" s="1941"/>
      <c r="G244" s="1941"/>
      <c r="H244" s="1941"/>
      <c r="I244" s="1941"/>
      <c r="J244" s="1941"/>
      <c r="K244" s="1941"/>
      <c r="L244" s="1941"/>
      <c r="M244" s="1945"/>
    </row>
    <row r="245" spans="2:13" ht="15.75" thickTop="1" x14ac:dyDescent="0.25"/>
  </sheetData>
  <mergeCells count="72">
    <mergeCell ref="C240:G240"/>
    <mergeCell ref="C241:G241"/>
    <mergeCell ref="I224:L224"/>
    <mergeCell ref="C228:M228"/>
    <mergeCell ref="I230:K230"/>
    <mergeCell ref="C231:G231"/>
    <mergeCell ref="C238:M238"/>
    <mergeCell ref="C202:M202"/>
    <mergeCell ref="C209:M210"/>
    <mergeCell ref="I221:L221"/>
    <mergeCell ref="I222:L222"/>
    <mergeCell ref="I223:L223"/>
    <mergeCell ref="C187:M187"/>
    <mergeCell ref="G189:I190"/>
    <mergeCell ref="K189:L189"/>
    <mergeCell ref="C194:M195"/>
    <mergeCell ref="E197:I197"/>
    <mergeCell ref="G166:L166"/>
    <mergeCell ref="C171:M172"/>
    <mergeCell ref="G174:L174"/>
    <mergeCell ref="C179:M180"/>
    <mergeCell ref="G182:L182"/>
    <mergeCell ref="C148:M148"/>
    <mergeCell ref="G150:L150"/>
    <mergeCell ref="C155:M156"/>
    <mergeCell ref="G158:L158"/>
    <mergeCell ref="C163:M164"/>
    <mergeCell ref="C128:M128"/>
    <mergeCell ref="F130:L130"/>
    <mergeCell ref="F133:K134"/>
    <mergeCell ref="C140:M140"/>
    <mergeCell ref="G142:J142"/>
    <mergeCell ref="C117:M117"/>
    <mergeCell ref="I120:L121"/>
    <mergeCell ref="I122:L122"/>
    <mergeCell ref="I123:L123"/>
    <mergeCell ref="I124:L124"/>
    <mergeCell ref="K98:L98"/>
    <mergeCell ref="I104:L104"/>
    <mergeCell ref="I105:L105"/>
    <mergeCell ref="I106:L106"/>
    <mergeCell ref="E112:F112"/>
    <mergeCell ref="H88:L88"/>
    <mergeCell ref="K89:L89"/>
    <mergeCell ref="K90:L90"/>
    <mergeCell ref="C95:M95"/>
    <mergeCell ref="H97:L97"/>
    <mergeCell ref="G74:L74"/>
    <mergeCell ref="G75:L75"/>
    <mergeCell ref="G76:L76"/>
    <mergeCell ref="G77:L77"/>
    <mergeCell ref="C85:M85"/>
    <mergeCell ref="G67:L67"/>
    <mergeCell ref="G69:L69"/>
    <mergeCell ref="G70:L70"/>
    <mergeCell ref="G71:L71"/>
    <mergeCell ref="G72:L72"/>
    <mergeCell ref="C42:M42"/>
    <mergeCell ref="E45:M45"/>
    <mergeCell ref="E51:M51"/>
    <mergeCell ref="E53:M53"/>
    <mergeCell ref="C65:M65"/>
    <mergeCell ref="H18:M18"/>
    <mergeCell ref="H19:M19"/>
    <mergeCell ref="H21:M21"/>
    <mergeCell ref="H22:M22"/>
    <mergeCell ref="E37:F37"/>
    <mergeCell ref="A1:M1"/>
    <mergeCell ref="B2:M2"/>
    <mergeCell ref="B4:M12"/>
    <mergeCell ref="L13:L14"/>
    <mergeCell ref="M13:M14"/>
  </mergeCells>
  <conditionalFormatting sqref="K189:L189">
    <cfRule type="expression" dxfId="6" priority="7">
      <formula>G189="in King County and is not eligible for these points."</formula>
    </cfRule>
  </conditionalFormatting>
  <conditionalFormatting sqref="M146">
    <cfRule type="expression" dxfId="5" priority="6">
      <formula>$G$142&lt;&gt;""</formula>
    </cfRule>
  </conditionalFormatting>
  <conditionalFormatting sqref="M153">
    <cfRule type="expression" dxfId="4" priority="5">
      <formula>$G$142&lt;&gt;""</formula>
    </cfRule>
  </conditionalFormatting>
  <conditionalFormatting sqref="M161">
    <cfRule type="expression" dxfId="3" priority="4">
      <formula>$G$142&lt;&gt;""</formula>
    </cfRule>
  </conditionalFormatting>
  <conditionalFormatting sqref="M169">
    <cfRule type="expression" dxfId="2" priority="3">
      <formula>$G$142&lt;&gt;""</formula>
    </cfRule>
  </conditionalFormatting>
  <conditionalFormatting sqref="M177">
    <cfRule type="expression" dxfId="1" priority="2">
      <formula>$G$142&lt;&gt;""</formula>
    </cfRule>
  </conditionalFormatting>
  <conditionalFormatting sqref="M185">
    <cfRule type="expression" dxfId="0" priority="1">
      <formula>$G$142&lt;&gt;""</formula>
    </cfRule>
  </conditionalFormatting>
  <dataValidations count="27">
    <dataValidation type="list" allowBlank="1" showInputMessage="1" showErrorMessage="1" sqref="G182:L182">
      <formula1>nine_percent_kc_opp_area</formula1>
    </dataValidation>
    <dataValidation type="list" allowBlank="1" showInputMessage="1" showErrorMessage="1" sqref="H97">
      <formula1>nine_percent_KC_HTF</formula1>
    </dataValidation>
    <dataValidation type="decimal" operator="notBetween" allowBlank="1" showInputMessage="1" showErrorMessage="1" error="Award must be at least $750,000." sqref="K98">
      <formula1>1</formula1>
      <formula2>749999</formula2>
    </dataValidation>
    <dataValidation type="list" allowBlank="1" showErrorMessage="1" prompt="_x000a_" sqref="H19:M19">
      <formula1>nine_perc_lower_income_county_setasides</formula1>
    </dataValidation>
    <dataValidation type="list" allowBlank="1" showErrorMessage="1" prompt="Select Set-Aside Combination_x000a_" sqref="H18:M18">
      <formula1>nine_perc_lower_income_counties</formula1>
    </dataValidation>
    <dataValidation type="list" allowBlank="1" showInputMessage="1" showErrorMessage="1" sqref="K189:L189">
      <formula1>nine_percent_job_centers</formula1>
    </dataValidation>
    <dataValidation type="list" allowBlank="1" showInputMessage="1" showErrorMessage="1" sqref="G174:L174">
      <formula1>nine_percent_king_county_tod</formula1>
    </dataValidation>
    <dataValidation type="list" allowBlank="1" showInputMessage="1" showErrorMessage="1" sqref="G150:L150">
      <formula1>nine_percent_location_efficient_projects</formula1>
    </dataValidation>
    <dataValidation type="list" allowBlank="1" showInputMessage="1" showErrorMessage="1" sqref="G76:L76 G71:L71">
      <formula1>nine_percent_local_funding_types</formula1>
    </dataValidation>
    <dataValidation type="list" allowBlank="1" showInputMessage="1" showErrorMessage="1" sqref="G75:L75 G70:L70">
      <formula1>nine_percent_local_funding_sources</formula1>
    </dataValidation>
    <dataValidation type="list" allowBlank="1" showInputMessage="1" showErrorMessage="1" sqref="G68:L68">
      <formula1>local_funding_counties</formula1>
    </dataValidation>
    <dataValidation type="list" allowBlank="1" showInputMessage="1" showErrorMessage="1" sqref="H21:M21">
      <formula1>nine_perc_higher_income_counties</formula1>
    </dataValidation>
    <dataValidation type="list" allowBlank="1" showInputMessage="1" showErrorMessage="1" sqref="E53:M53 E51:M51">
      <formula1>nine_percent_special_needs</formula1>
    </dataValidation>
    <dataValidation type="list" allowBlank="1" showInputMessage="1" showErrorMessage="1" sqref="E45:M45">
      <formula1>nine_percent_homeless</formula1>
    </dataValidation>
    <dataValidation type="list" allowBlank="1" showInputMessage="1" showErrorMessage="1" sqref="H22:M22">
      <formula1>nine_perc_higher_income_county_setasides</formula1>
    </dataValidation>
    <dataValidation type="list" allowBlank="1" showInputMessage="1" showErrorMessage="1" sqref="H20">
      <formula1>Inc_Lower</formula1>
    </dataValidation>
    <dataValidation type="list" allowBlank="1" showInputMessage="1" showErrorMessage="1" sqref="F130">
      <formula1>nine_percent_historic</formula1>
    </dataValidation>
    <dataValidation type="list" allowBlank="1" showInputMessage="1" showErrorMessage="1" sqref="E113:F113">
      <formula1>DevFees</formula1>
    </dataValidation>
    <dataValidation type="list" allowBlank="1" showInputMessage="1" sqref="E37:F37">
      <formula1>nine_percent_years</formula1>
    </dataValidation>
    <dataValidation type="list" allowBlank="1" showInputMessage="1" showErrorMessage="1" sqref="E26:E29">
      <formula1>nine_pecent_inc_percent</formula1>
    </dataValidation>
    <dataValidation type="list" allowBlank="1" showInputMessage="1" showErrorMessage="1" sqref="G67:L67 G166:L166 G158:L158">
      <formula1>nine_percent_local_funding_counties</formula1>
    </dataValidation>
    <dataValidation type="list" allowBlank="1" showInputMessage="1" showErrorMessage="1" sqref="H88">
      <formula1>nine_percent_federal_funding_sources</formula1>
    </dataValidation>
    <dataValidation type="list" allowBlank="1" showInputMessage="1" showErrorMessage="1" sqref="E112:F112">
      <formula1>nine_percent_dev_fees</formula1>
    </dataValidation>
    <dataValidation type="list" allowBlank="1" showInputMessage="1" showErrorMessage="1" sqref="I120:L121">
      <formula1>nine_percent_at_risk</formula1>
    </dataValidation>
    <dataValidation type="list" allowBlank="1" showInputMessage="1" showErrorMessage="1" sqref="G142">
      <formula1>nine_percent_eligible_tribes</formula1>
    </dataValidation>
    <dataValidation type="list" allowBlank="1" showInputMessage="1" showErrorMessage="1" sqref="G189">
      <formula1>nine_percent_in_within</formula1>
    </dataValidation>
    <dataValidation type="list" allowBlank="1" showInputMessage="1" showErrorMessage="1" sqref="E197:I197">
      <formula1>nine_percent_np_sponsor</formula1>
    </dataValidation>
  </dataValidations>
  <pageMargins left="0.7" right="0.7" top="0.75" bottom="0.75" header="0.3" footer="0.3"/>
  <pageSetup scale="80" firstPageNumber="2" orientation="portrait" r:id="rId1"/>
  <headerFooter>
    <oddFooter>&amp;L&amp;A - &amp;P&amp;R2015 WSHFC 9% Addendum</oddFooter>
  </headerFooter>
  <rowBreaks count="3" manualBreakCount="3">
    <brk id="62" max="12" man="1"/>
    <brk id="125" max="12" man="1"/>
    <brk id="184" max="12" man="1"/>
  </rowBreaks>
  <colBreaks count="1" manualBreakCount="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5"/>
  <sheetViews>
    <sheetView zoomScaleNormal="100" workbookViewId="0">
      <selection activeCell="Q229" sqref="Q229"/>
    </sheetView>
  </sheetViews>
  <sheetFormatPr defaultColWidth="8.85546875" defaultRowHeight="15" x14ac:dyDescent="0.25"/>
  <cols>
    <col min="1" max="1" width="1.5703125" style="1778" customWidth="1"/>
    <col min="2" max="2" width="3.42578125" style="1778" customWidth="1"/>
    <col min="3" max="3" width="2.140625" style="1778" customWidth="1"/>
    <col min="4" max="4" width="2.85546875" style="1778" customWidth="1"/>
    <col min="5" max="5" width="10.5703125" style="1778" customWidth="1"/>
    <col min="6" max="6" width="9.140625" style="1778" customWidth="1"/>
    <col min="7" max="7" width="10.85546875" style="1778" customWidth="1"/>
    <col min="8" max="8" width="11.5703125" style="1778" customWidth="1"/>
    <col min="9" max="9" width="9.85546875" style="1778" customWidth="1"/>
    <col min="10" max="10" width="7.42578125" style="1778" customWidth="1"/>
    <col min="11" max="11" width="15.42578125" style="1778" customWidth="1"/>
    <col min="12" max="12" width="12" style="1778" bestFit="1" customWidth="1"/>
    <col min="13" max="13" width="9.140625" style="1778" customWidth="1"/>
    <col min="14" max="14" width="3.28515625" style="1778" customWidth="1"/>
    <col min="15" max="16384" width="8.85546875" style="1778"/>
  </cols>
  <sheetData>
    <row r="1" spans="1:13" s="1777" customFormat="1" ht="18.75" customHeight="1" x14ac:dyDescent="0.2">
      <c r="A1" s="2524" t="s">
        <v>1857</v>
      </c>
      <c r="B1" s="2524"/>
      <c r="C1" s="2524"/>
      <c r="D1" s="2524"/>
      <c r="E1" s="2524"/>
      <c r="F1" s="2524"/>
      <c r="G1" s="2524"/>
      <c r="H1" s="2524"/>
      <c r="I1" s="2524"/>
      <c r="J1" s="2524"/>
      <c r="K1" s="2524"/>
      <c r="L1" s="2524"/>
      <c r="M1" s="2524"/>
    </row>
    <row r="2" spans="1:13" ht="18.75" x14ac:dyDescent="0.3">
      <c r="B2" s="2606" t="s">
        <v>1626</v>
      </c>
      <c r="C2" s="2606"/>
      <c r="D2" s="2606"/>
      <c r="E2" s="2606"/>
      <c r="F2" s="2606"/>
      <c r="G2" s="2606"/>
      <c r="H2" s="2606"/>
      <c r="I2" s="2606"/>
      <c r="J2" s="2606"/>
      <c r="K2" s="2606"/>
      <c r="L2" s="2606"/>
      <c r="M2" s="2606"/>
    </row>
    <row r="3" spans="1:13" x14ac:dyDescent="0.25">
      <c r="B3" s="1779"/>
      <c r="C3" s="1779"/>
      <c r="D3" s="1779"/>
      <c r="E3" s="1779"/>
      <c r="F3" s="1779"/>
      <c r="G3" s="1779"/>
      <c r="H3" s="1779"/>
      <c r="I3" s="1779"/>
      <c r="J3" s="1779"/>
      <c r="K3" s="1779"/>
      <c r="L3" s="1779"/>
      <c r="M3" s="1779"/>
    </row>
    <row r="4" spans="1:13" ht="4.5" customHeight="1" x14ac:dyDescent="0.25">
      <c r="B4" s="1780"/>
      <c r="C4" s="1781"/>
      <c r="D4" s="1781"/>
      <c r="E4" s="1781"/>
      <c r="F4" s="1781"/>
      <c r="G4" s="1781"/>
      <c r="H4" s="1781"/>
      <c r="I4" s="1781"/>
      <c r="J4" s="1781"/>
      <c r="K4" s="1781"/>
      <c r="L4" s="1781"/>
      <c r="M4" s="1782"/>
    </row>
    <row r="5" spans="1:13" s="1783" customFormat="1" x14ac:dyDescent="0.25">
      <c r="B5" s="2607" t="s">
        <v>1627</v>
      </c>
      <c r="C5" s="2608"/>
      <c r="D5" s="2608"/>
      <c r="E5" s="2608"/>
      <c r="F5" s="2608"/>
      <c r="G5" s="2608"/>
      <c r="H5" s="2608"/>
      <c r="I5" s="2608"/>
      <c r="J5" s="2608"/>
      <c r="K5" s="2608"/>
      <c r="L5" s="2608"/>
      <c r="M5" s="2609"/>
    </row>
    <row r="6" spans="1:13" s="1783" customFormat="1" x14ac:dyDescent="0.25">
      <c r="B6" s="2607" t="s">
        <v>1628</v>
      </c>
      <c r="C6" s="2608"/>
      <c r="D6" s="2608"/>
      <c r="E6" s="2608"/>
      <c r="F6" s="2610" t="s">
        <v>1629</v>
      </c>
      <c r="G6" s="2610"/>
      <c r="H6" s="2610"/>
      <c r="I6" s="2080"/>
      <c r="J6" s="2080"/>
      <c r="K6" s="2080"/>
      <c r="L6" s="2080"/>
      <c r="M6" s="2081"/>
    </row>
    <row r="7" spans="1:13" s="1783" customFormat="1" ht="6.75" customHeight="1" x14ac:dyDescent="0.25">
      <c r="B7" s="2079"/>
      <c r="C7" s="2080"/>
      <c r="D7" s="2080"/>
      <c r="E7" s="2080"/>
      <c r="F7" s="2082"/>
      <c r="G7" s="2082"/>
      <c r="H7" s="2082"/>
      <c r="I7" s="2080"/>
      <c r="J7" s="2080"/>
      <c r="K7" s="2080"/>
      <c r="L7" s="2080"/>
      <c r="M7" s="2081"/>
    </row>
    <row r="8" spans="1:13" x14ac:dyDescent="0.25">
      <c r="B8" s="2611" t="s">
        <v>1630</v>
      </c>
      <c r="C8" s="2612"/>
      <c r="D8" s="2612"/>
      <c r="E8" s="2612"/>
      <c r="F8" s="2612"/>
      <c r="G8" s="2612"/>
      <c r="H8" s="2612"/>
      <c r="I8" s="2612"/>
      <c r="J8" s="2612"/>
      <c r="K8" s="2612"/>
      <c r="L8" s="2612"/>
      <c r="M8" s="2613"/>
    </row>
    <row r="9" spans="1:13" ht="15.75" thickBot="1" x14ac:dyDescent="0.3">
      <c r="B9" s="1784"/>
      <c r="C9" s="1785" t="s">
        <v>1631</v>
      </c>
      <c r="D9" s="1784"/>
      <c r="E9" s="1784"/>
      <c r="F9" s="1784"/>
      <c r="G9" s="1784"/>
      <c r="H9" s="1784"/>
      <c r="I9" s="1784"/>
      <c r="J9" s="1784"/>
      <c r="K9" s="1784"/>
      <c r="L9" s="1784"/>
      <c r="M9" s="1784"/>
    </row>
    <row r="10" spans="1:13" ht="15" customHeight="1" x14ac:dyDescent="0.25">
      <c r="L10" s="2614"/>
      <c r="M10" s="2616" t="s">
        <v>1148</v>
      </c>
    </row>
    <row r="11" spans="1:13" x14ac:dyDescent="0.25">
      <c r="E11" s="1786"/>
      <c r="L11" s="2615"/>
      <c r="M11" s="2616"/>
    </row>
    <row r="12" spans="1:13" x14ac:dyDescent="0.25">
      <c r="B12" s="1787" t="s">
        <v>1632</v>
      </c>
      <c r="C12" s="1788" t="s">
        <v>1633</v>
      </c>
      <c r="D12" s="1788"/>
      <c r="F12" s="1789"/>
      <c r="G12" s="1789"/>
      <c r="H12" s="1789"/>
      <c r="I12" s="1789"/>
      <c r="J12" s="1789"/>
      <c r="K12" s="1789"/>
      <c r="L12" s="1790" t="s">
        <v>1634</v>
      </c>
      <c r="M12" s="1791">
        <v>6</v>
      </c>
    </row>
    <row r="13" spans="1:13" ht="7.5" customHeight="1" x14ac:dyDescent="0.25">
      <c r="C13" s="1789"/>
      <c r="D13" s="1789"/>
      <c r="E13" s="1788"/>
      <c r="F13" s="1789"/>
      <c r="G13" s="1789"/>
      <c r="H13" s="1789"/>
      <c r="I13" s="1789"/>
      <c r="J13" s="1789"/>
      <c r="K13" s="1789"/>
      <c r="L13" s="1792"/>
      <c r="M13" s="1789"/>
    </row>
    <row r="14" spans="1:13" x14ac:dyDescent="0.25">
      <c r="C14" s="1789" t="s">
        <v>1150</v>
      </c>
      <c r="E14" s="1788"/>
      <c r="F14" s="1789"/>
      <c r="G14" s="1789"/>
      <c r="H14" s="1789"/>
      <c r="I14" s="1789"/>
      <c r="J14" s="1789"/>
      <c r="K14" s="1789"/>
      <c r="L14" s="1792"/>
      <c r="M14" s="1789"/>
    </row>
    <row r="15" spans="1:13" ht="6.75" customHeight="1" x14ac:dyDescent="0.25">
      <c r="C15" s="1789"/>
      <c r="E15" s="1788"/>
      <c r="F15" s="1789"/>
      <c r="G15" s="1789"/>
      <c r="H15" s="1789"/>
      <c r="I15" s="1789"/>
      <c r="J15" s="1789"/>
      <c r="K15" s="1789"/>
      <c r="L15" s="1792"/>
      <c r="M15" s="1789"/>
    </row>
    <row r="16" spans="1:13" x14ac:dyDescent="0.25">
      <c r="C16" s="1789"/>
      <c r="D16" s="1793"/>
      <c r="E16" s="2617" t="s">
        <v>1483</v>
      </c>
      <c r="F16" s="2618"/>
      <c r="G16" s="2618"/>
      <c r="H16" s="2618"/>
      <c r="I16" s="2618"/>
      <c r="J16" s="2618"/>
      <c r="K16" s="2618"/>
      <c r="L16" s="2619"/>
      <c r="M16" s="1794"/>
    </row>
    <row r="17" spans="2:13" x14ac:dyDescent="0.25">
      <c r="C17" s="1789"/>
      <c r="D17" s="1793"/>
    </row>
    <row r="18" spans="2:13" x14ac:dyDescent="0.25">
      <c r="E18" s="1795" t="s">
        <v>1157</v>
      </c>
      <c r="F18" s="1796"/>
      <c r="G18" s="1796"/>
      <c r="H18" s="1796"/>
      <c r="I18" s="1796"/>
      <c r="J18" s="1796"/>
      <c r="K18" s="1796"/>
      <c r="L18" s="1797"/>
      <c r="M18" s="1798"/>
    </row>
    <row r="19" spans="2:13" ht="28.5" customHeight="1" x14ac:dyDescent="0.25">
      <c r="E19" s="1799" t="s">
        <v>1158</v>
      </c>
      <c r="F19" s="2084"/>
      <c r="G19" s="1800" t="s">
        <v>1159</v>
      </c>
      <c r="H19" s="2084"/>
      <c r="I19" s="1800" t="s">
        <v>1160</v>
      </c>
      <c r="L19" s="1801"/>
      <c r="M19" s="1798"/>
    </row>
    <row r="20" spans="2:13" x14ac:dyDescent="0.25">
      <c r="E20" s="1802">
        <v>0</v>
      </c>
      <c r="F20" s="1803" t="s">
        <v>1161</v>
      </c>
      <c r="G20" s="1880" t="s">
        <v>1163</v>
      </c>
      <c r="H20" s="1804" t="s">
        <v>375</v>
      </c>
      <c r="I20" s="1805">
        <v>20</v>
      </c>
      <c r="L20" s="1801"/>
      <c r="M20" s="1798"/>
    </row>
    <row r="21" spans="2:13" x14ac:dyDescent="0.25">
      <c r="E21" s="1802">
        <v>0</v>
      </c>
      <c r="F21" s="1803" t="s">
        <v>1161</v>
      </c>
      <c r="G21" s="1880" t="s">
        <v>1164</v>
      </c>
      <c r="H21" s="1804" t="s">
        <v>375</v>
      </c>
      <c r="I21" s="1805">
        <v>20</v>
      </c>
      <c r="L21" s="1801"/>
      <c r="M21" s="1798"/>
    </row>
    <row r="22" spans="2:13" x14ac:dyDescent="0.25">
      <c r="E22" s="1802">
        <v>0</v>
      </c>
      <c r="F22" s="1806" t="s">
        <v>1161</v>
      </c>
      <c r="G22" s="1880" t="s">
        <v>1165</v>
      </c>
      <c r="H22" s="1804" t="s">
        <v>375</v>
      </c>
      <c r="I22" s="1805">
        <v>36</v>
      </c>
      <c r="L22" s="1801"/>
      <c r="M22" s="1798"/>
    </row>
    <row r="23" spans="2:13" x14ac:dyDescent="0.25">
      <c r="E23" s="1807"/>
      <c r="F23" s="2620" t="s">
        <v>1635</v>
      </c>
      <c r="G23" s="2621"/>
      <c r="H23" s="2622"/>
      <c r="I23" s="1808">
        <f>SUM(I20:I22)</f>
        <v>76</v>
      </c>
      <c r="J23" s="1809" t="s">
        <v>1166</v>
      </c>
      <c r="K23" s="1810"/>
      <c r="L23" s="1811"/>
      <c r="M23" s="1798"/>
    </row>
    <row r="24" spans="2:13" ht="15.75" thickBot="1" x14ac:dyDescent="0.3">
      <c r="B24" s="1812"/>
      <c r="C24" s="1812"/>
      <c r="D24" s="1812"/>
      <c r="E24" s="1812"/>
      <c r="F24" s="1812"/>
      <c r="G24" s="1812"/>
      <c r="H24" s="1812"/>
      <c r="I24" s="1813"/>
      <c r="J24" s="1814"/>
      <c r="K24" s="1812"/>
      <c r="L24" s="1812"/>
      <c r="M24" s="1812"/>
    </row>
    <row r="25" spans="2:13" x14ac:dyDescent="0.25">
      <c r="I25" s="1815"/>
      <c r="J25" s="1788"/>
    </row>
    <row r="26" spans="2:13" x14ac:dyDescent="0.25">
      <c r="B26" s="1787" t="s">
        <v>1636</v>
      </c>
      <c r="C26" s="1788" t="s">
        <v>1637</v>
      </c>
      <c r="D26" s="1788"/>
      <c r="F26" s="1789"/>
      <c r="G26" s="1789"/>
      <c r="H26" s="1789"/>
      <c r="I26" s="1789"/>
      <c r="J26" s="1789"/>
      <c r="K26" s="1789"/>
      <c r="L26" s="1790" t="s">
        <v>1638</v>
      </c>
      <c r="M26" s="1816">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11</v>
      </c>
    </row>
    <row r="27" spans="2:13" ht="7.5" customHeight="1" x14ac:dyDescent="0.25">
      <c r="C27" s="1789"/>
      <c r="D27" s="1789"/>
      <c r="E27" s="1788"/>
      <c r="F27" s="1789"/>
      <c r="G27" s="1789"/>
      <c r="H27" s="1789"/>
      <c r="I27" s="1789"/>
      <c r="J27" s="1789"/>
      <c r="K27" s="1789"/>
      <c r="L27" s="1817"/>
      <c r="M27" s="1792"/>
    </row>
    <row r="28" spans="2:13" x14ac:dyDescent="0.25">
      <c r="C28" s="1788" t="s">
        <v>1449</v>
      </c>
      <c r="D28" s="1788"/>
    </row>
    <row r="29" spans="2:13" ht="4.5" customHeight="1" x14ac:dyDescent="0.25">
      <c r="C29" s="1788"/>
      <c r="D29" s="1788"/>
    </row>
    <row r="30" spans="2:13" x14ac:dyDescent="0.25">
      <c r="E30" s="2623" t="s">
        <v>1727</v>
      </c>
      <c r="F30" s="2624"/>
      <c r="G30" s="1818" t="s">
        <v>1634</v>
      </c>
      <c r="H30" s="1786"/>
      <c r="I30" s="1819"/>
      <c r="J30" s="1804"/>
    </row>
    <row r="31" spans="2:13" ht="15.75" thickBot="1" x14ac:dyDescent="0.3">
      <c r="B31" s="1812"/>
      <c r="C31" s="1812"/>
      <c r="D31" s="1812"/>
      <c r="E31" s="1820"/>
      <c r="F31" s="1820"/>
      <c r="G31" s="1821"/>
      <c r="H31" s="1822"/>
      <c r="I31" s="1823"/>
      <c r="J31" s="1824"/>
      <c r="K31" s="1812"/>
      <c r="L31" s="1812"/>
      <c r="M31" s="1812"/>
    </row>
    <row r="33" spans="2:14" x14ac:dyDescent="0.25">
      <c r="B33" s="1787" t="s">
        <v>1639</v>
      </c>
      <c r="C33" s="1788" t="s">
        <v>1640</v>
      </c>
      <c r="D33" s="1788"/>
      <c r="F33" s="1789"/>
      <c r="G33" s="1789"/>
      <c r="H33" s="1789"/>
      <c r="I33" s="1789"/>
      <c r="J33" s="1789"/>
      <c r="K33" s="1789"/>
      <c r="L33" s="1790" t="s">
        <v>1638</v>
      </c>
      <c r="M33" s="1816">
        <f>SUM(L42,L43,L48,L49,L54,L55,)</f>
        <v>5</v>
      </c>
    </row>
    <row r="34" spans="2:14" ht="7.5" customHeight="1" x14ac:dyDescent="0.25">
      <c r="C34" s="1789"/>
      <c r="D34" s="1789"/>
      <c r="E34" s="1788"/>
      <c r="F34" s="1789"/>
      <c r="G34" s="1789"/>
      <c r="H34" s="1789"/>
      <c r="I34" s="1789"/>
      <c r="J34" s="1789"/>
      <c r="K34" s="1789"/>
      <c r="L34" s="1789"/>
      <c r="M34" s="1789"/>
    </row>
    <row r="35" spans="2:14" ht="10.5" customHeight="1" x14ac:dyDescent="0.25">
      <c r="C35" s="2625" t="s">
        <v>1450</v>
      </c>
      <c r="D35" s="2625"/>
      <c r="E35" s="2625"/>
      <c r="F35" s="2625"/>
      <c r="G35" s="2625"/>
      <c r="H35" s="2625"/>
      <c r="I35" s="2625"/>
      <c r="J35" s="2625"/>
      <c r="K35" s="2625"/>
      <c r="L35" s="2625"/>
      <c r="M35" s="2625"/>
    </row>
    <row r="36" spans="2:14" ht="15" customHeight="1" x14ac:dyDescent="0.25">
      <c r="C36" s="2625"/>
      <c r="D36" s="2625"/>
      <c r="E36" s="2625"/>
      <c r="F36" s="2625"/>
      <c r="G36" s="2625"/>
      <c r="H36" s="2625"/>
      <c r="I36" s="2625"/>
      <c r="J36" s="2625"/>
      <c r="K36" s="2625"/>
      <c r="L36" s="2625"/>
      <c r="M36" s="2625"/>
      <c r="N36" s="2084"/>
    </row>
    <row r="37" spans="2:14" ht="4.5" customHeight="1" x14ac:dyDescent="0.25">
      <c r="E37" s="2084"/>
      <c r="F37" s="2084"/>
      <c r="G37" s="2084"/>
      <c r="H37" s="2084"/>
      <c r="I37" s="1788" t="s">
        <v>315</v>
      </c>
      <c r="J37" s="2084"/>
      <c r="K37" s="2084"/>
      <c r="L37" s="2084"/>
      <c r="M37" s="2084"/>
      <c r="N37" s="2084"/>
    </row>
    <row r="38" spans="2:14" ht="17.25" customHeight="1" x14ac:dyDescent="0.25">
      <c r="E38" s="2084"/>
      <c r="F38" s="2084"/>
      <c r="G38" s="2084"/>
      <c r="H38" s="2084"/>
      <c r="I38" s="1825" t="s">
        <v>1641</v>
      </c>
      <c r="J38" s="2084"/>
      <c r="K38" s="2084"/>
      <c r="L38" s="2084"/>
      <c r="M38" s="2084"/>
      <c r="N38" s="2084"/>
    </row>
    <row r="39" spans="2:14" ht="16.149999999999999" customHeight="1" x14ac:dyDescent="0.25">
      <c r="C39" s="1788" t="s">
        <v>1451</v>
      </c>
      <c r="D39" s="1788"/>
      <c r="F39" s="1786"/>
      <c r="G39" s="1786"/>
      <c r="H39" s="1786"/>
      <c r="I39" s="1786"/>
      <c r="J39" s="1786"/>
    </row>
    <row r="40" spans="2:14" ht="6.75" customHeight="1" x14ac:dyDescent="0.25">
      <c r="C40" s="1788"/>
      <c r="D40" s="1788"/>
      <c r="F40" s="1786"/>
      <c r="G40" s="1786"/>
      <c r="H40" s="1786"/>
      <c r="I40" s="1786"/>
      <c r="J40" s="1786"/>
    </row>
    <row r="41" spans="2:14" ht="5.25" customHeight="1" x14ac:dyDescent="0.25">
      <c r="E41" s="1826"/>
      <c r="F41" s="1826"/>
      <c r="G41" s="1826"/>
      <c r="H41" s="1826"/>
      <c r="I41" s="1826"/>
      <c r="J41" s="1826"/>
      <c r="K41" s="1826"/>
      <c r="L41" s="1826"/>
      <c r="M41" s="1826"/>
    </row>
    <row r="42" spans="2:14" ht="16.149999999999999" customHeight="1" x14ac:dyDescent="0.25">
      <c r="E42" s="1826" t="s">
        <v>1452</v>
      </c>
      <c r="G42" s="1826"/>
      <c r="H42" s="1826"/>
      <c r="J42" s="1826" t="s">
        <v>1173</v>
      </c>
      <c r="K42" s="1827">
        <v>0</v>
      </c>
      <c r="L42" s="1828"/>
      <c r="M42" s="1826" t="s">
        <v>1642</v>
      </c>
    </row>
    <row r="43" spans="2:14" ht="16.149999999999999" customHeight="1" x14ac:dyDescent="0.25">
      <c r="E43" s="1826" t="s">
        <v>1453</v>
      </c>
      <c r="G43" s="1826"/>
      <c r="H43" s="1826"/>
      <c r="J43" s="1826" t="s">
        <v>1173</v>
      </c>
      <c r="K43" s="1827">
        <v>0</v>
      </c>
      <c r="L43" s="1828"/>
      <c r="M43" s="1826" t="s">
        <v>1642</v>
      </c>
    </row>
    <row r="44" spans="2:14" ht="16.149999999999999" customHeight="1" x14ac:dyDescent="0.25">
      <c r="E44" s="1826"/>
      <c r="F44" s="1826"/>
      <c r="G44" s="1826"/>
      <c r="H44" s="1826"/>
      <c r="I44" s="1826"/>
      <c r="J44" s="1826"/>
      <c r="K44" s="1826"/>
      <c r="L44" s="1826"/>
      <c r="M44" s="1826"/>
    </row>
    <row r="45" spans="2:14" ht="16.149999999999999" customHeight="1" x14ac:dyDescent="0.25">
      <c r="C45" s="1788" t="s">
        <v>1454</v>
      </c>
      <c r="D45" s="1788"/>
      <c r="F45" s="1786"/>
      <c r="G45" s="1786"/>
      <c r="H45" s="1786"/>
      <c r="I45" s="1786"/>
      <c r="J45" s="1786"/>
    </row>
    <row r="46" spans="2:14" ht="7.5" customHeight="1" x14ac:dyDescent="0.25">
      <c r="C46" s="1788"/>
      <c r="D46" s="1788"/>
      <c r="F46" s="1786"/>
      <c r="G46" s="1786"/>
      <c r="H46" s="1786"/>
      <c r="I46" s="1786"/>
      <c r="J46" s="1786"/>
    </row>
    <row r="47" spans="2:14" ht="6" customHeight="1" x14ac:dyDescent="0.25">
      <c r="E47" s="1829"/>
      <c r="F47" s="1830"/>
      <c r="G47" s="1830"/>
      <c r="H47" s="1830"/>
      <c r="I47" s="1830"/>
      <c r="J47" s="1830"/>
      <c r="K47" s="1829"/>
      <c r="L47" s="1829"/>
      <c r="M47" s="1829"/>
    </row>
    <row r="48" spans="2:14" ht="16.149999999999999" customHeight="1" x14ac:dyDescent="0.25">
      <c r="E48" s="1826" t="s">
        <v>1455</v>
      </c>
      <c r="G48" s="1826"/>
      <c r="H48" s="1826"/>
      <c r="I48" s="1826"/>
      <c r="J48" s="1826" t="s">
        <v>1173</v>
      </c>
      <c r="K48" s="1827">
        <v>0</v>
      </c>
      <c r="L48" s="1828"/>
      <c r="M48" s="1826" t="s">
        <v>1642</v>
      </c>
    </row>
    <row r="49" spans="1:29" ht="16.149999999999999" customHeight="1" x14ac:dyDescent="0.25">
      <c r="E49" s="1831" t="s">
        <v>1177</v>
      </c>
      <c r="H49" s="1831"/>
      <c r="I49" s="1831"/>
      <c r="J49" s="1831" t="s">
        <v>1173</v>
      </c>
      <c r="K49" s="1827">
        <v>0</v>
      </c>
      <c r="L49" s="1828"/>
      <c r="M49" s="1826" t="s">
        <v>1642</v>
      </c>
    </row>
    <row r="50" spans="1:29" s="1832" customFormat="1" ht="16.149999999999999" customHeight="1" x14ac:dyDescent="0.25">
      <c r="A50" s="1778"/>
      <c r="B50" s="1778"/>
      <c r="C50" s="1778"/>
      <c r="D50" s="1826"/>
      <c r="E50" s="1826"/>
      <c r="F50" s="1826"/>
      <c r="G50" s="1826"/>
      <c r="H50" s="1826"/>
      <c r="I50" s="1826"/>
      <c r="J50" s="1826"/>
      <c r="K50" s="1826"/>
      <c r="L50" s="1826"/>
      <c r="M50" s="1778"/>
      <c r="N50" s="1778"/>
      <c r="O50" s="1778"/>
      <c r="P50" s="1778"/>
      <c r="Q50" s="1778"/>
      <c r="R50" s="1778"/>
      <c r="S50" s="1826"/>
      <c r="T50" s="1826"/>
      <c r="U50" s="1826"/>
      <c r="V50" s="1826"/>
      <c r="W50" s="1826"/>
      <c r="X50" s="1826"/>
      <c r="Y50" s="1826"/>
      <c r="Z50" s="1826"/>
      <c r="AA50" s="1826"/>
      <c r="AB50" s="1778"/>
      <c r="AC50" s="1778"/>
    </row>
    <row r="51" spans="1:29" ht="16.149999999999999" customHeight="1" x14ac:dyDescent="0.25">
      <c r="C51" s="1778" t="s">
        <v>1456</v>
      </c>
      <c r="D51" s="1826"/>
      <c r="E51" s="1826"/>
      <c r="F51" s="1826"/>
      <c r="G51" s="1826"/>
      <c r="H51" s="1826"/>
      <c r="I51" s="1826"/>
      <c r="J51" s="1826"/>
      <c r="K51" s="1826"/>
      <c r="L51" s="1826"/>
      <c r="S51" s="1826"/>
      <c r="T51" s="1826"/>
      <c r="U51" s="1826"/>
      <c r="V51" s="1826"/>
      <c r="W51" s="1826"/>
      <c r="X51" s="1826"/>
      <c r="Y51" s="1826"/>
      <c r="Z51" s="1826"/>
      <c r="AA51" s="1826"/>
    </row>
    <row r="52" spans="1:29" ht="6.75" customHeight="1" x14ac:dyDescent="0.25">
      <c r="C52" s="1833"/>
      <c r="D52" s="1833"/>
      <c r="E52" s="1826"/>
      <c r="F52" s="1826"/>
      <c r="H52" s="1826"/>
      <c r="I52" s="1826"/>
      <c r="J52" s="1826"/>
      <c r="K52" s="1826"/>
      <c r="L52" s="1834"/>
      <c r="M52" s="1826"/>
    </row>
    <row r="53" spans="1:29" s="1832" customFormat="1" ht="6" customHeight="1" x14ac:dyDescent="0.25">
      <c r="D53" s="1826"/>
      <c r="E53" s="1826"/>
      <c r="F53" s="1826"/>
      <c r="G53" s="1826"/>
      <c r="H53" s="1826"/>
      <c r="I53" s="1826"/>
      <c r="J53" s="1826"/>
      <c r="K53" s="1826"/>
      <c r="L53" s="1826"/>
      <c r="M53" s="1826"/>
      <c r="N53" s="1826"/>
      <c r="O53" s="1826"/>
    </row>
    <row r="54" spans="1:29" ht="16.149999999999999" customHeight="1" x14ac:dyDescent="0.25">
      <c r="E54" s="1826"/>
      <c r="F54" s="1826" t="s">
        <v>1457</v>
      </c>
      <c r="G54" s="1826"/>
      <c r="H54" s="1826"/>
      <c r="I54" s="1826"/>
      <c r="J54" s="1826"/>
      <c r="K54" s="1826"/>
      <c r="L54" s="1828">
        <v>5</v>
      </c>
      <c r="M54" s="1826" t="s">
        <v>1642</v>
      </c>
      <c r="N54" s="1826"/>
      <c r="O54" s="1826"/>
      <c r="P54" s="1826"/>
      <c r="Q54" s="1826"/>
      <c r="R54" s="1826"/>
      <c r="S54" s="1826"/>
    </row>
    <row r="55" spans="1:29" ht="16.149999999999999" customHeight="1" x14ac:dyDescent="0.35">
      <c r="E55" s="1826"/>
      <c r="F55" s="1826" t="s">
        <v>1643</v>
      </c>
      <c r="G55" s="1826"/>
      <c r="H55" s="1826"/>
      <c r="I55" s="1826"/>
      <c r="J55" s="1826"/>
      <c r="K55" s="1826"/>
      <c r="L55" s="1828"/>
      <c r="M55" s="1826" t="s">
        <v>1642</v>
      </c>
      <c r="N55" s="1826"/>
      <c r="O55" s="1826"/>
      <c r="P55" s="1826"/>
      <c r="Q55" s="1826"/>
      <c r="R55" s="1826"/>
      <c r="S55" s="1826"/>
    </row>
    <row r="56" spans="1:29" ht="16.149999999999999" customHeight="1" x14ac:dyDescent="0.25">
      <c r="E56" s="1826"/>
      <c r="F56" s="1835" t="s">
        <v>1644</v>
      </c>
      <c r="G56" s="1826"/>
      <c r="H56" s="1826"/>
      <c r="I56" s="1826"/>
      <c r="J56" s="1826"/>
      <c r="K56" s="1826"/>
      <c r="L56" s="1826"/>
      <c r="M56" s="1826"/>
      <c r="N56" s="1826"/>
      <c r="O56" s="1826"/>
      <c r="P56" s="1826"/>
      <c r="Q56" s="1826"/>
      <c r="R56" s="1826"/>
      <c r="S56" s="1826"/>
    </row>
    <row r="57" spans="1:29" ht="16.149999999999999" customHeight="1" thickBot="1" x14ac:dyDescent="0.3">
      <c r="C57" s="1812"/>
      <c r="D57" s="1812"/>
      <c r="E57" s="1820"/>
      <c r="F57" s="1820"/>
      <c r="G57" s="1820"/>
      <c r="H57" s="1820"/>
      <c r="I57" s="1820"/>
      <c r="J57" s="1820"/>
      <c r="K57" s="1820"/>
      <c r="L57" s="1820"/>
      <c r="M57" s="1820"/>
      <c r="N57" s="1826"/>
      <c r="O57" s="1826"/>
      <c r="P57" s="1826"/>
      <c r="Q57" s="1826"/>
      <c r="R57" s="1826"/>
      <c r="S57" s="1826"/>
    </row>
    <row r="58" spans="1:29" ht="16.149999999999999" customHeight="1" x14ac:dyDescent="0.25">
      <c r="E58" s="1826"/>
      <c r="F58" s="1836"/>
      <c r="H58" s="1826"/>
      <c r="I58" s="1826" t="s">
        <v>1645</v>
      </c>
      <c r="J58" s="1826"/>
      <c r="K58" s="1826"/>
      <c r="L58" s="1834"/>
      <c r="M58" s="1826"/>
    </row>
    <row r="59" spans="1:29" x14ac:dyDescent="0.25">
      <c r="B59" s="1787" t="s">
        <v>1646</v>
      </c>
      <c r="C59" s="1788" t="s">
        <v>1647</v>
      </c>
      <c r="D59" s="1788"/>
      <c r="F59" s="1789"/>
      <c r="G59" s="1789"/>
      <c r="H59" s="1789"/>
      <c r="I59" s="1789"/>
      <c r="J59" s="1789"/>
      <c r="K59" s="1789"/>
      <c r="L59" s="1790" t="s">
        <v>1638</v>
      </c>
      <c r="M59" s="1837">
        <f>IF(J67&gt;=0.7599,10,IF(J67&gt;0.5099,8,IF(J67&gt;0.2599,6,IF(J67&gt;0.1599,4,IF(J67&gt;0.0002,2,IF(J67&gt;=0,0))))))</f>
        <v>2</v>
      </c>
    </row>
    <row r="60" spans="1:29" ht="10.5" customHeight="1" x14ac:dyDescent="0.25">
      <c r="C60" s="1789"/>
      <c r="D60" s="1789"/>
      <c r="E60" s="1788"/>
      <c r="F60" s="1789"/>
      <c r="G60" s="1789"/>
      <c r="H60" s="1789"/>
      <c r="I60" s="1789"/>
      <c r="J60" s="1789"/>
      <c r="K60" s="1789"/>
      <c r="L60" s="1817"/>
      <c r="M60" s="1792"/>
    </row>
    <row r="61" spans="1:29" ht="6.75" customHeight="1" x14ac:dyDescent="0.25">
      <c r="C61" s="1788"/>
      <c r="D61" s="1788"/>
      <c r="E61" s="1833"/>
    </row>
    <row r="62" spans="1:29" x14ac:dyDescent="0.25">
      <c r="E62" s="2623" t="s">
        <v>1728</v>
      </c>
      <c r="F62" s="2626"/>
      <c r="G62" s="2626"/>
      <c r="H62" s="2626"/>
      <c r="I62" s="2626"/>
      <c r="J62" s="2626"/>
      <c r="K62" s="2626"/>
      <c r="L62" s="2624"/>
      <c r="M62" s="1838"/>
    </row>
    <row r="63" spans="1:29" x14ac:dyDescent="0.25">
      <c r="E63" s="1839"/>
      <c r="H63" s="1839"/>
      <c r="K63" s="1839"/>
    </row>
    <row r="64" spans="1:29" x14ac:dyDescent="0.25">
      <c r="F64" s="1833" t="s">
        <v>1458</v>
      </c>
    </row>
    <row r="65" spans="1:13" x14ac:dyDescent="0.25">
      <c r="F65" s="1778" t="s">
        <v>1459</v>
      </c>
      <c r="H65" s="1840"/>
      <c r="J65" s="1841">
        <v>8</v>
      </c>
      <c r="K65" s="1839"/>
    </row>
    <row r="66" spans="1:13" x14ac:dyDescent="0.25">
      <c r="F66" s="1778" t="s">
        <v>1460</v>
      </c>
      <c r="G66" s="1842"/>
      <c r="H66" s="1840"/>
      <c r="J66" s="1843">
        <v>76</v>
      </c>
      <c r="K66" s="1839"/>
    </row>
    <row r="67" spans="1:13" x14ac:dyDescent="0.25">
      <c r="F67" s="1778" t="s">
        <v>1461</v>
      </c>
      <c r="G67" s="1842"/>
      <c r="H67" s="1840"/>
      <c r="J67" s="1844">
        <f>IFERROR(J65/J66,0)</f>
        <v>0.10526315789473684</v>
      </c>
      <c r="K67" s="1845"/>
      <c r="L67" s="1846"/>
      <c r="M67" s="1847"/>
    </row>
    <row r="68" spans="1:13" ht="17.25" customHeight="1" thickBot="1" x14ac:dyDescent="0.3">
      <c r="C68" s="1812"/>
      <c r="D68" s="1812"/>
      <c r="E68" s="1848"/>
      <c r="F68" s="1812"/>
      <c r="G68" s="1812"/>
      <c r="H68" s="1849"/>
      <c r="I68" s="1850"/>
      <c r="J68" s="1851"/>
      <c r="K68" s="1851"/>
      <c r="L68" s="1851"/>
      <c r="M68" s="1851"/>
    </row>
    <row r="69" spans="1:13" ht="17.25" customHeight="1" x14ac:dyDescent="0.25">
      <c r="E69" s="1839"/>
      <c r="H69" s="1842"/>
      <c r="I69" s="1840"/>
      <c r="J69" s="1846"/>
      <c r="K69" s="1846"/>
      <c r="L69" s="1846"/>
      <c r="M69" s="1846"/>
    </row>
    <row r="70" spans="1:13" x14ac:dyDescent="0.25">
      <c r="B70" s="1787" t="s">
        <v>1648</v>
      </c>
      <c r="C70" s="1788" t="s">
        <v>1649</v>
      </c>
      <c r="D70" s="1788"/>
      <c r="F70" s="1789"/>
      <c r="G70" s="1789"/>
      <c r="H70" s="1789"/>
      <c r="I70" s="1789"/>
      <c r="J70" s="1789"/>
      <c r="K70" s="1789"/>
      <c r="L70" s="1790" t="s">
        <v>1638</v>
      </c>
      <c r="M70" s="1816">
        <f>IF(E72="Yes",1,0)</f>
        <v>0</v>
      </c>
    </row>
    <row r="71" spans="1:13" ht="13.5" customHeight="1" x14ac:dyDescent="0.25">
      <c r="C71" s="1852"/>
      <c r="D71" s="1852"/>
      <c r="E71" s="1852"/>
      <c r="F71" s="1852"/>
      <c r="G71" s="1852"/>
      <c r="H71" s="1852"/>
      <c r="I71" s="1852"/>
      <c r="J71" s="1852"/>
      <c r="K71" s="1852"/>
    </row>
    <row r="72" spans="1:13" x14ac:dyDescent="0.25">
      <c r="C72" s="1788"/>
      <c r="D72" s="1833"/>
      <c r="E72" s="2623" t="s">
        <v>559</v>
      </c>
      <c r="F72" s="2626"/>
      <c r="G72" s="2626"/>
      <c r="H72" s="2626"/>
      <c r="I72" s="2626"/>
      <c r="J72" s="2626"/>
      <c r="K72" s="2626"/>
      <c r="L72" s="2624"/>
      <c r="M72" s="1853"/>
    </row>
    <row r="73" spans="1:13" x14ac:dyDescent="0.25">
      <c r="G73" s="1839"/>
      <c r="J73" s="1839"/>
      <c r="M73" s="1853"/>
    </row>
    <row r="74" spans="1:13" x14ac:dyDescent="0.25">
      <c r="E74" s="2627" t="s">
        <v>1650</v>
      </c>
      <c r="F74" s="2628"/>
      <c r="G74" s="2628"/>
      <c r="H74" s="2628"/>
      <c r="I74" s="2628"/>
      <c r="J74" s="2628"/>
      <c r="K74" s="2628"/>
      <c r="L74" s="1783"/>
    </row>
    <row r="75" spans="1:13" x14ac:dyDescent="0.25">
      <c r="E75" s="2628"/>
      <c r="F75" s="2628"/>
      <c r="G75" s="2628"/>
      <c r="H75" s="2628"/>
      <c r="I75" s="2628"/>
      <c r="J75" s="2628"/>
      <c r="K75" s="2628"/>
      <c r="L75" s="1783"/>
    </row>
    <row r="76" spans="1:13" x14ac:dyDescent="0.25">
      <c r="E76" s="2628"/>
      <c r="F76" s="2628"/>
      <c r="G76" s="2628"/>
      <c r="H76" s="2628"/>
      <c r="I76" s="2628"/>
      <c r="J76" s="2628"/>
      <c r="K76" s="2628"/>
      <c r="L76" s="1783"/>
    </row>
    <row r="77" spans="1:13" x14ac:dyDescent="0.25">
      <c r="B77" s="1789"/>
      <c r="E77" s="2628"/>
      <c r="F77" s="2628"/>
      <c r="G77" s="2628"/>
      <c r="H77" s="2628"/>
      <c r="I77" s="2628"/>
      <c r="J77" s="2628"/>
      <c r="K77" s="2628"/>
      <c r="L77" s="1783"/>
    </row>
    <row r="78" spans="1:13" s="1853" customFormat="1" ht="15.75" thickBot="1" x14ac:dyDescent="0.3">
      <c r="A78" s="1778"/>
      <c r="B78" s="1778"/>
      <c r="C78" s="1812"/>
      <c r="D78" s="1848"/>
      <c r="E78" s="1812"/>
      <c r="F78" s="1812"/>
      <c r="G78" s="1849"/>
      <c r="H78" s="1850"/>
      <c r="I78" s="1851"/>
      <c r="J78" s="1851"/>
      <c r="K78" s="1851"/>
      <c r="L78" s="1851"/>
      <c r="M78" s="1854"/>
    </row>
    <row r="79" spans="1:13" x14ac:dyDescent="0.25">
      <c r="E79" s="1839"/>
      <c r="H79" s="1842"/>
      <c r="I79" s="1840"/>
      <c r="J79" s="1846"/>
      <c r="K79" s="1846"/>
      <c r="L79" s="1846"/>
      <c r="M79" s="1846"/>
    </row>
    <row r="80" spans="1:13" x14ac:dyDescent="0.25">
      <c r="B80" s="1789" t="s">
        <v>1651</v>
      </c>
      <c r="C80" s="1788" t="s">
        <v>1652</v>
      </c>
      <c r="D80" s="1788"/>
      <c r="F80" s="1789"/>
      <c r="G80" s="1789"/>
      <c r="H80" s="1789"/>
      <c r="I80" s="1789"/>
      <c r="J80" s="1789"/>
      <c r="K80" s="1789"/>
      <c r="L80" s="1790" t="s">
        <v>1638</v>
      </c>
      <c r="M80" s="1837">
        <f>IF(I89&gt;0.1499,10,IF(I89&gt;0.0999,5,IF(I89&gt;0.0499,3,IF(I89&gt;=0,0))))</f>
        <v>10</v>
      </c>
    </row>
    <row r="81" spans="1:16" ht="7.5" customHeight="1" x14ac:dyDescent="0.25">
      <c r="C81" s="1789"/>
      <c r="D81" s="1789"/>
      <c r="E81" s="1788"/>
      <c r="F81" s="1789"/>
      <c r="G81" s="1789"/>
      <c r="H81" s="1789"/>
      <c r="I81" s="1789"/>
      <c r="J81" s="1789"/>
      <c r="K81" s="1789"/>
      <c r="L81" s="1817"/>
      <c r="M81" s="1792"/>
    </row>
    <row r="82" spans="1:16" ht="25.5" customHeight="1" x14ac:dyDescent="0.25">
      <c r="C82" s="2629" t="s">
        <v>1462</v>
      </c>
      <c r="D82" s="2629"/>
      <c r="E82" s="2629"/>
      <c r="F82" s="2629"/>
      <c r="G82" s="2629"/>
      <c r="H82" s="2629"/>
      <c r="I82" s="2629"/>
      <c r="J82" s="2629"/>
      <c r="K82" s="2629"/>
      <c r="L82" s="2629"/>
      <c r="M82" s="2629"/>
    </row>
    <row r="83" spans="1:16" ht="9" customHeight="1" x14ac:dyDescent="0.25">
      <c r="C83" s="1788"/>
      <c r="D83" s="1788"/>
    </row>
    <row r="84" spans="1:16" ht="15" customHeight="1" x14ac:dyDescent="0.25">
      <c r="C84" s="1788"/>
      <c r="D84" s="1788"/>
      <c r="E84" s="2623" t="s">
        <v>1489</v>
      </c>
      <c r="F84" s="2626"/>
      <c r="G84" s="2626"/>
      <c r="H84" s="2626"/>
      <c r="I84" s="2626"/>
      <c r="J84" s="2626"/>
      <c r="K84" s="2626"/>
      <c r="L84" s="2624"/>
      <c r="M84" s="1855"/>
    </row>
    <row r="85" spans="1:16" ht="13.5" customHeight="1" x14ac:dyDescent="0.25">
      <c r="C85" s="1788"/>
      <c r="D85" s="1788"/>
      <c r="E85" s="1853"/>
      <c r="F85" s="1853"/>
      <c r="G85" s="1853"/>
      <c r="H85" s="1853"/>
      <c r="I85" s="1853"/>
      <c r="J85" s="1853"/>
      <c r="K85" s="1853"/>
      <c r="L85" s="1853"/>
      <c r="M85" s="1853"/>
    </row>
    <row r="86" spans="1:16" x14ac:dyDescent="0.25">
      <c r="F86" s="1833" t="s">
        <v>1463</v>
      </c>
    </row>
    <row r="87" spans="1:16" x14ac:dyDescent="0.25">
      <c r="F87" s="1778" t="s">
        <v>1464</v>
      </c>
      <c r="H87" s="1840"/>
      <c r="I87" s="2630">
        <v>11635532</v>
      </c>
      <c r="J87" s="2631"/>
      <c r="K87" s="1853"/>
      <c r="L87" s="1853"/>
    </row>
    <row r="88" spans="1:16" x14ac:dyDescent="0.25">
      <c r="F88" s="1778" t="s">
        <v>150</v>
      </c>
      <c r="G88" s="1842"/>
      <c r="H88" s="1856"/>
      <c r="I88" s="2632">
        <v>23524925</v>
      </c>
      <c r="J88" s="2633"/>
      <c r="K88" s="1839"/>
      <c r="L88" s="1853"/>
    </row>
    <row r="89" spans="1:16" x14ac:dyDescent="0.25">
      <c r="F89" s="1778" t="s">
        <v>1195</v>
      </c>
      <c r="G89" s="1842"/>
      <c r="H89" s="1840"/>
      <c r="I89" s="2634">
        <f>IFERROR(I87/I88,0)</f>
        <v>0.49460442488126954</v>
      </c>
      <c r="J89" s="2635"/>
      <c r="K89" s="1853"/>
      <c r="L89" s="1853"/>
    </row>
    <row r="90" spans="1:16" ht="15.75" thickBot="1" x14ac:dyDescent="0.3">
      <c r="D90" s="1812"/>
      <c r="E90" s="1812"/>
      <c r="F90" s="1812"/>
      <c r="G90" s="1849"/>
      <c r="H90" s="1850"/>
      <c r="I90" s="1857"/>
      <c r="J90" s="1857"/>
      <c r="K90" s="1854"/>
      <c r="L90" s="1854"/>
      <c r="M90" s="1812"/>
    </row>
    <row r="91" spans="1:16" ht="15" customHeight="1" x14ac:dyDescent="0.25"/>
    <row r="92" spans="1:16" s="1853" customFormat="1" x14ac:dyDescent="0.25">
      <c r="A92" s="1789"/>
      <c r="B92" s="1789" t="s">
        <v>1653</v>
      </c>
      <c r="C92" s="1788" t="s">
        <v>1654</v>
      </c>
      <c r="D92" s="1778"/>
      <c r="E92" s="1789"/>
      <c r="F92" s="1789"/>
      <c r="G92" s="1789"/>
      <c r="H92" s="1789"/>
      <c r="I92" s="1789"/>
      <c r="J92" s="1789"/>
      <c r="K92" s="1858"/>
      <c r="L92" s="1790" t="s">
        <v>1638</v>
      </c>
      <c r="M92" s="1837">
        <f>IF(I103&gt;=0.14,7,IF(I103&gt;=0.12,6,IF(I103&gt;=0.1,5,IF(I103&gt;=0.08,4,IF(I103&gt;=0.06,3,IF(I103&gt;=0.04,2,IF(I103&gt;=0.02,1,IF(I103&lt;=0.0199,0))))))))</f>
        <v>0</v>
      </c>
      <c r="P92" s="1853" t="s">
        <v>315</v>
      </c>
    </row>
    <row r="93" spans="1:16" s="1853" customFormat="1" x14ac:dyDescent="0.25">
      <c r="A93" s="1778"/>
      <c r="B93" s="1789"/>
      <c r="C93" s="1789"/>
      <c r="D93" s="1788"/>
      <c r="E93" s="1789"/>
      <c r="F93" s="1789"/>
      <c r="G93" s="1789"/>
      <c r="H93" s="1789"/>
      <c r="I93" s="1789"/>
      <c r="J93" s="1789"/>
      <c r="K93" s="1817"/>
      <c r="L93" s="1792"/>
    </row>
    <row r="94" spans="1:16" s="1853" customFormat="1" ht="27.75" customHeight="1" x14ac:dyDescent="0.25">
      <c r="A94" s="1778"/>
      <c r="B94" s="2084"/>
      <c r="C94" s="2629" t="s">
        <v>1655</v>
      </c>
      <c r="D94" s="2629"/>
      <c r="E94" s="2629"/>
      <c r="F94" s="2629"/>
      <c r="G94" s="2629"/>
      <c r="H94" s="2629"/>
      <c r="I94" s="2629"/>
      <c r="J94" s="2629"/>
      <c r="K94" s="2629"/>
      <c r="L94" s="2629"/>
      <c r="M94" s="2629"/>
    </row>
    <row r="95" spans="1:16" s="1853" customFormat="1" x14ac:dyDescent="0.25">
      <c r="A95" s="1778"/>
      <c r="B95" s="1788"/>
      <c r="C95" s="1788"/>
      <c r="D95" s="1778"/>
      <c r="E95" s="1778"/>
      <c r="F95" s="1778"/>
      <c r="G95" s="1778"/>
      <c r="H95" s="1778"/>
      <c r="I95" s="1859" t="s">
        <v>1656</v>
      </c>
      <c r="J95" s="1778"/>
      <c r="K95" s="1778"/>
      <c r="L95" s="1778"/>
      <c r="M95" s="2084"/>
    </row>
    <row r="96" spans="1:16" s="1853" customFormat="1" x14ac:dyDescent="0.25">
      <c r="A96" s="1778"/>
      <c r="B96" s="1778"/>
      <c r="C96" s="1778"/>
      <c r="D96" s="1778"/>
      <c r="E96" s="2623" t="s">
        <v>1169</v>
      </c>
      <c r="F96" s="2626"/>
      <c r="G96" s="2626"/>
      <c r="H96" s="2626"/>
      <c r="I96" s="2626"/>
      <c r="J96" s="2626"/>
      <c r="K96" s="2626"/>
      <c r="L96" s="2624"/>
      <c r="M96" s="1792"/>
    </row>
    <row r="97" spans="1:13" x14ac:dyDescent="0.25">
      <c r="M97" s="1788"/>
    </row>
    <row r="98" spans="1:13" x14ac:dyDescent="0.25">
      <c r="E98" s="1833" t="s">
        <v>1465</v>
      </c>
      <c r="M98" s="2084"/>
    </row>
    <row r="99" spans="1:13" x14ac:dyDescent="0.25">
      <c r="E99" s="1778" t="s">
        <v>1467</v>
      </c>
      <c r="G99" s="1840"/>
      <c r="I99" s="2632">
        <v>11000000</v>
      </c>
      <c r="J99" s="2633"/>
      <c r="K99" s="1839"/>
      <c r="M99" s="1860"/>
    </row>
    <row r="100" spans="1:13" ht="12.75" customHeight="1" x14ac:dyDescent="0.25">
      <c r="E100" s="1778" t="s">
        <v>1466</v>
      </c>
      <c r="F100" s="1842"/>
      <c r="G100" s="1840"/>
      <c r="I100" s="2632"/>
      <c r="J100" s="2633"/>
      <c r="K100" s="1839"/>
    </row>
    <row r="101" spans="1:13" ht="12.75" customHeight="1" x14ac:dyDescent="0.25">
      <c r="E101" s="1778" t="s">
        <v>1468</v>
      </c>
      <c r="F101" s="1842"/>
      <c r="G101" s="1840"/>
      <c r="I101" s="2632">
        <f>I99+I100</f>
        <v>11000000</v>
      </c>
      <c r="J101" s="2633"/>
    </row>
    <row r="102" spans="1:13" x14ac:dyDescent="0.25">
      <c r="F102" s="1842"/>
      <c r="G102" s="1840"/>
      <c r="H102" s="1846"/>
      <c r="I102" s="1846"/>
      <c r="J102" s="1861" t="s">
        <v>315</v>
      </c>
      <c r="K102" s="1861"/>
      <c r="M102" s="1860"/>
    </row>
    <row r="103" spans="1:13" x14ac:dyDescent="0.25">
      <c r="A103" s="1853"/>
      <c r="B103" s="1853"/>
      <c r="C103" s="1853"/>
      <c r="D103" s="1853"/>
      <c r="E103" s="1853" t="s">
        <v>1469</v>
      </c>
      <c r="F103" s="1842"/>
      <c r="G103" s="1840"/>
      <c r="H103" s="1846"/>
      <c r="I103" s="2636">
        <f>IFERROR(I100/I101,0)</f>
        <v>0</v>
      </c>
      <c r="J103" s="2637"/>
      <c r="K103" s="1846"/>
      <c r="L103" s="1853"/>
      <c r="M103" s="1792"/>
    </row>
    <row r="104" spans="1:13" ht="15.75" thickBot="1" x14ac:dyDescent="0.3">
      <c r="C104" s="1812"/>
      <c r="D104" s="1812"/>
      <c r="E104" s="1812"/>
      <c r="F104" s="1812"/>
      <c r="G104" s="1812"/>
      <c r="H104" s="1812"/>
      <c r="I104" s="1812"/>
      <c r="J104" s="1812"/>
      <c r="K104" s="1812"/>
      <c r="L104" s="1812"/>
      <c r="M104" s="1812"/>
    </row>
    <row r="106" spans="1:13" x14ac:dyDescent="0.25">
      <c r="B106" s="1862" t="s">
        <v>1657</v>
      </c>
      <c r="C106" s="1788" t="s">
        <v>1658</v>
      </c>
      <c r="L106" s="1790" t="s">
        <v>1638</v>
      </c>
      <c r="M106" s="1837">
        <f>IF(I113&lt;=-0.25,5,IF(I113&lt;=-0.2,4,IF(I113&lt;=-0.15,3,IF(I113&lt;=-0.1,2,IF(I113&lt;=-0.05,1,IF(I113&gt;=0,0))))))</f>
        <v>0</v>
      </c>
    </row>
    <row r="108" spans="1:13" s="1853" customFormat="1" ht="27.75" customHeight="1" x14ac:dyDescent="0.25">
      <c r="A108" s="1778"/>
      <c r="B108" s="2084"/>
      <c r="C108" s="2629" t="s">
        <v>1659</v>
      </c>
      <c r="D108" s="2629"/>
      <c r="E108" s="2629"/>
      <c r="F108" s="2629"/>
      <c r="G108" s="2629"/>
      <c r="H108" s="2629"/>
      <c r="I108" s="2629"/>
      <c r="J108" s="2629"/>
      <c r="K108" s="2629"/>
      <c r="L108" s="2629"/>
      <c r="M108" s="2629"/>
    </row>
    <row r="110" spans="1:13" x14ac:dyDescent="0.25">
      <c r="F110" s="1833"/>
    </row>
    <row r="111" spans="1:13" x14ac:dyDescent="0.25">
      <c r="F111" s="1778" t="s">
        <v>1660</v>
      </c>
      <c r="H111" s="1840"/>
      <c r="I111" s="2632">
        <v>20702727</v>
      </c>
      <c r="J111" s="2633"/>
      <c r="K111" s="1839" t="s">
        <v>1819</v>
      </c>
    </row>
    <row r="112" spans="1:13" x14ac:dyDescent="0.25">
      <c r="F112" s="1778" t="s">
        <v>150</v>
      </c>
      <c r="G112" s="1842"/>
      <c r="H112" s="1856"/>
      <c r="I112" s="2632">
        <v>22258112</v>
      </c>
      <c r="J112" s="2633"/>
      <c r="K112" s="1839"/>
    </row>
    <row r="113" spans="2:14" x14ac:dyDescent="0.25">
      <c r="F113" s="1778" t="s">
        <v>1661</v>
      </c>
      <c r="G113" s="1842"/>
      <c r="H113" s="1840"/>
      <c r="I113" s="2636">
        <f>IFERROR(I112/I111-1,0)</f>
        <v>7.5129474489037174E-2</v>
      </c>
      <c r="J113" s="2637"/>
      <c r="K113" s="1853"/>
    </row>
    <row r="114" spans="2:14" x14ac:dyDescent="0.25">
      <c r="G114" s="1842"/>
      <c r="H114" s="1840"/>
      <c r="I114" s="1840"/>
      <c r="J114" s="1840"/>
      <c r="K114" s="1853"/>
    </row>
    <row r="115" spans="2:14" ht="15.75" thickBot="1" x14ac:dyDescent="0.3">
      <c r="C115" s="1812"/>
      <c r="D115" s="1812"/>
      <c r="E115" s="1812"/>
      <c r="F115" s="1812"/>
      <c r="G115" s="1849"/>
      <c r="H115" s="1850"/>
      <c r="I115" s="1850"/>
      <c r="J115" s="1850"/>
      <c r="K115" s="1854"/>
      <c r="L115" s="1812"/>
      <c r="M115" s="1812"/>
    </row>
    <row r="116" spans="2:14" x14ac:dyDescent="0.25">
      <c r="G116" s="1842"/>
      <c r="H116" s="1840"/>
      <c r="I116" s="1840"/>
      <c r="J116" s="1840"/>
      <c r="K116" s="1853"/>
    </row>
    <row r="117" spans="2:14" x14ac:dyDescent="0.25">
      <c r="B117" s="1862" t="s">
        <v>1662</v>
      </c>
      <c r="C117" s="1788" t="s">
        <v>1663</v>
      </c>
      <c r="D117" s="1788"/>
      <c r="F117" s="1789"/>
      <c r="G117" s="1789"/>
      <c r="H117" s="1789"/>
      <c r="I117" s="1789"/>
      <c r="J117" s="1789"/>
      <c r="K117" s="1789"/>
      <c r="L117" s="1790" t="s">
        <v>1638</v>
      </c>
      <c r="M117" s="1816">
        <f>IF(E121="15% - 0 Points",0,0)+IF(E121="14% - 1 point",1,0)+IF(E121="13% - 2 points",2,0)+IF(E121="12% - 3 points",3,0)+IF(E121="11% - 4 points",4,0)+IF(E121="10% - 5 Points",5,0)</f>
        <v>5</v>
      </c>
    </row>
    <row r="118" spans="2:14" ht="7.5" customHeight="1" x14ac:dyDescent="0.25">
      <c r="C118" s="1789"/>
      <c r="D118" s="1789"/>
      <c r="E118" s="1788"/>
      <c r="F118" s="1789"/>
      <c r="G118" s="1789"/>
      <c r="H118" s="1789"/>
      <c r="I118" s="1789"/>
      <c r="J118" s="1789"/>
      <c r="K118" s="1789"/>
      <c r="L118" s="1817"/>
      <c r="M118" s="1792"/>
    </row>
    <row r="119" spans="2:14" x14ac:dyDescent="0.25">
      <c r="C119" s="1788" t="s">
        <v>1207</v>
      </c>
      <c r="D119" s="1788"/>
      <c r="E119" s="1788"/>
      <c r="F119" s="1788"/>
      <c r="G119" s="1788"/>
      <c r="H119" s="1788"/>
      <c r="I119" s="1788"/>
      <c r="J119" s="1788"/>
      <c r="K119" s="1788"/>
      <c r="L119" s="1788"/>
      <c r="M119" s="1788"/>
    </row>
    <row r="120" spans="2:14" ht="14.25" customHeight="1" x14ac:dyDescent="0.25">
      <c r="D120" s="2084"/>
      <c r="E120" s="2084"/>
      <c r="F120" s="2084"/>
      <c r="G120" s="2084"/>
      <c r="H120" s="2084"/>
      <c r="I120" s="2084"/>
      <c r="J120" s="2084"/>
      <c r="K120" s="2084"/>
      <c r="L120" s="2084"/>
      <c r="M120" s="2084"/>
      <c r="N120" s="2084"/>
    </row>
    <row r="121" spans="2:14" ht="18" customHeight="1" x14ac:dyDescent="0.25">
      <c r="E121" s="2638" t="s">
        <v>1733</v>
      </c>
      <c r="F121" s="2639"/>
      <c r="G121" s="1788"/>
      <c r="H121" s="1788"/>
      <c r="I121" s="1788"/>
      <c r="J121" s="1788"/>
      <c r="K121" s="1788"/>
      <c r="L121" s="1788"/>
      <c r="M121" s="1788"/>
    </row>
    <row r="122" spans="2:14" ht="15" customHeight="1" x14ac:dyDescent="0.25">
      <c r="E122" s="1788"/>
      <c r="F122" s="1788"/>
      <c r="G122" s="1788"/>
      <c r="H122" s="1788"/>
      <c r="I122" s="1788"/>
      <c r="J122" s="1788"/>
      <c r="K122" s="1788"/>
      <c r="L122" s="1788"/>
      <c r="M122" s="1788"/>
    </row>
    <row r="123" spans="2:14" ht="15" customHeight="1" thickBot="1" x14ac:dyDescent="0.3">
      <c r="C123" s="1812"/>
      <c r="D123" s="1812"/>
      <c r="E123" s="1814"/>
      <c r="F123" s="1814"/>
      <c r="G123" s="1814"/>
      <c r="H123" s="1814"/>
      <c r="I123" s="1814"/>
      <c r="J123" s="1814"/>
      <c r="K123" s="1814"/>
      <c r="L123" s="1814"/>
      <c r="M123" s="1814"/>
    </row>
    <row r="124" spans="2:14" ht="15" customHeight="1" x14ac:dyDescent="0.25">
      <c r="E124" s="1788"/>
      <c r="F124" s="1788"/>
      <c r="G124" s="1788"/>
      <c r="H124" s="1788"/>
      <c r="I124" s="1788"/>
      <c r="J124" s="1788"/>
      <c r="K124" s="1788"/>
      <c r="L124" s="1788"/>
      <c r="M124" s="1788"/>
    </row>
    <row r="125" spans="2:14" x14ac:dyDescent="0.25">
      <c r="B125" s="1787" t="s">
        <v>1664</v>
      </c>
      <c r="C125" s="1788" t="s">
        <v>1665</v>
      </c>
      <c r="D125" s="1788"/>
      <c r="F125" s="1789"/>
      <c r="G125" s="1789"/>
      <c r="H125" s="1789"/>
      <c r="I125" s="1789"/>
      <c r="J125" s="1789"/>
      <c r="K125" s="1789"/>
      <c r="L125" s="1790" t="s">
        <v>1634</v>
      </c>
      <c r="M125" s="1791"/>
    </row>
    <row r="126" spans="2:14" ht="7.5" customHeight="1" x14ac:dyDescent="0.25">
      <c r="C126" s="1789"/>
      <c r="D126" s="1789"/>
      <c r="F126" s="1789"/>
      <c r="G126" s="1789"/>
      <c r="H126" s="1789"/>
      <c r="I126" s="1789"/>
      <c r="J126" s="1789"/>
      <c r="K126" s="1789"/>
      <c r="L126" s="1817"/>
      <c r="M126" s="1792"/>
    </row>
    <row r="127" spans="2:14" x14ac:dyDescent="0.25">
      <c r="C127" s="1788" t="s">
        <v>1470</v>
      </c>
      <c r="D127" s="1788"/>
      <c r="E127" s="1788"/>
      <c r="F127" s="1788"/>
      <c r="G127" s="1788"/>
      <c r="H127" s="1788"/>
      <c r="I127" s="1788"/>
      <c r="J127" s="1788"/>
      <c r="K127" s="1788"/>
      <c r="L127" s="1788"/>
      <c r="M127" s="1788"/>
    </row>
    <row r="128" spans="2:14" ht="18.75" customHeight="1" x14ac:dyDescent="0.25"/>
    <row r="129" spans="1:14" ht="14.25" customHeight="1" x14ac:dyDescent="0.25">
      <c r="F129" s="1826" t="s">
        <v>1472</v>
      </c>
      <c r="H129" s="1826"/>
      <c r="I129" s="1826"/>
      <c r="J129" s="1826"/>
      <c r="K129" s="1827">
        <v>0</v>
      </c>
      <c r="L129" s="1778" t="s">
        <v>1173</v>
      </c>
    </row>
    <row r="130" spans="1:14" ht="14.25" customHeight="1" x14ac:dyDescent="0.25">
      <c r="F130" s="1826" t="s">
        <v>1473</v>
      </c>
      <c r="H130" s="1826"/>
      <c r="I130" s="1826"/>
      <c r="J130" s="1826"/>
      <c r="K130" s="1827">
        <v>0</v>
      </c>
      <c r="L130" s="1778" t="s">
        <v>1173</v>
      </c>
    </row>
    <row r="131" spans="1:14" ht="14.25" customHeight="1" x14ac:dyDescent="0.25">
      <c r="G131" s="1863" t="s">
        <v>1666</v>
      </c>
      <c r="K131" s="1864">
        <v>0</v>
      </c>
      <c r="M131" s="1778" t="s">
        <v>315</v>
      </c>
    </row>
    <row r="132" spans="1:14" x14ac:dyDescent="0.25">
      <c r="C132" s="1788"/>
      <c r="D132" s="1788"/>
      <c r="E132" s="1826"/>
      <c r="F132" s="1831" t="s">
        <v>1471</v>
      </c>
      <c r="H132" s="1831"/>
      <c r="I132" s="1831"/>
      <c r="J132" s="1831"/>
      <c r="K132" s="1827">
        <v>0</v>
      </c>
      <c r="L132" s="1826" t="s">
        <v>1173</v>
      </c>
    </row>
    <row r="133" spans="1:14" s="1853" customFormat="1" x14ac:dyDescent="0.25">
      <c r="C133" s="1788"/>
      <c r="D133" s="1788"/>
      <c r="E133" s="1826"/>
      <c r="F133" s="1831" t="s">
        <v>1667</v>
      </c>
      <c r="G133" s="1786"/>
      <c r="H133" s="1831"/>
      <c r="I133" s="1831"/>
      <c r="J133" s="1826"/>
      <c r="K133" s="1816">
        <v>0</v>
      </c>
      <c r="L133" s="1839"/>
    </row>
    <row r="134" spans="1:14" s="1853" customFormat="1" x14ac:dyDescent="0.25">
      <c r="C134" s="1788"/>
      <c r="D134" s="1788"/>
      <c r="E134" s="1826"/>
      <c r="F134" s="1826" t="s">
        <v>1668</v>
      </c>
      <c r="I134" s="1826"/>
      <c r="J134" s="1826"/>
      <c r="K134" s="1865">
        <f>IFERROR(K132/K129,0)</f>
        <v>0</v>
      </c>
      <c r="L134" s="1826"/>
    </row>
    <row r="135" spans="1:14" x14ac:dyDescent="0.25">
      <c r="C135" s="1788"/>
      <c r="D135" s="1788"/>
      <c r="E135" s="1826"/>
      <c r="F135" s="1826"/>
      <c r="H135" s="1826"/>
      <c r="I135" s="1826"/>
      <c r="J135" s="1826"/>
      <c r="K135" s="1826"/>
      <c r="L135" s="1834"/>
      <c r="M135" s="1853"/>
      <c r="N135" s="1853"/>
    </row>
    <row r="136" spans="1:14" ht="15.75" thickBot="1" x14ac:dyDescent="0.3">
      <c r="C136" s="1814"/>
      <c r="D136" s="1814"/>
      <c r="E136" s="1820"/>
      <c r="F136" s="1820"/>
      <c r="G136" s="1812"/>
      <c r="H136" s="1820"/>
      <c r="I136" s="1820"/>
      <c r="J136" s="1820"/>
      <c r="K136" s="1820"/>
      <c r="L136" s="1866"/>
      <c r="M136" s="1820"/>
    </row>
    <row r="137" spans="1:14" x14ac:dyDescent="0.25">
      <c r="C137" s="1788"/>
      <c r="D137" s="1788"/>
      <c r="E137" s="1826"/>
      <c r="F137" s="1826"/>
      <c r="H137" s="1826"/>
      <c r="I137" s="1826"/>
      <c r="J137" s="1826"/>
      <c r="K137" s="1826"/>
      <c r="L137" s="1834"/>
      <c r="M137" s="1826"/>
    </row>
    <row r="138" spans="1:14" x14ac:dyDescent="0.25">
      <c r="B138" s="1787" t="s">
        <v>1669</v>
      </c>
      <c r="C138" s="1788" t="s">
        <v>1670</v>
      </c>
      <c r="D138" s="1788"/>
      <c r="F138" s="1789"/>
      <c r="G138" s="1789"/>
      <c r="H138" s="1789"/>
      <c r="I138" s="1789"/>
      <c r="J138" s="1789"/>
      <c r="K138" s="1789"/>
      <c r="L138" s="1790" t="s">
        <v>1634</v>
      </c>
      <c r="M138" s="1791"/>
    </row>
    <row r="139" spans="1:14" ht="7.5" customHeight="1" x14ac:dyDescent="0.25"/>
    <row r="140" spans="1:14" s="1853" customFormat="1" ht="27.75" customHeight="1" x14ac:dyDescent="0.25">
      <c r="A140" s="1778"/>
      <c r="B140" s="2084"/>
      <c r="C140" s="2629" t="s">
        <v>1671</v>
      </c>
      <c r="D140" s="2629"/>
      <c r="E140" s="2629"/>
      <c r="F140" s="2629"/>
      <c r="G140" s="2629"/>
      <c r="H140" s="2629"/>
      <c r="I140" s="2629"/>
      <c r="J140" s="2629"/>
      <c r="K140" s="2629"/>
      <c r="L140" s="2629"/>
      <c r="M140" s="2629"/>
    </row>
    <row r="141" spans="1:14" s="1853" customFormat="1" ht="12" customHeight="1" x14ac:dyDescent="0.25">
      <c r="A141" s="1778"/>
      <c r="B141" s="2084"/>
      <c r="C141" s="2084"/>
      <c r="D141" s="2084"/>
      <c r="E141" s="2084"/>
      <c r="F141" s="2084"/>
      <c r="G141" s="2084"/>
      <c r="H141" s="2084"/>
      <c r="I141" s="2084"/>
      <c r="J141" s="2084"/>
      <c r="K141" s="2084"/>
      <c r="L141" s="2084"/>
      <c r="M141" s="2084"/>
    </row>
    <row r="142" spans="1:14" ht="15.75" thickBot="1" x14ac:dyDescent="0.3">
      <c r="C142" s="1814"/>
      <c r="D142" s="1814"/>
      <c r="E142" s="1814"/>
      <c r="F142" s="1814"/>
      <c r="G142" s="1814"/>
      <c r="H142" s="1814"/>
      <c r="I142" s="1814"/>
      <c r="J142" s="1814"/>
      <c r="K142" s="1814"/>
      <c r="L142" s="1814"/>
      <c r="M142" s="1814"/>
    </row>
    <row r="143" spans="1:14" x14ac:dyDescent="0.25">
      <c r="C143" s="1788"/>
      <c r="D143" s="1788"/>
      <c r="E143" s="1788"/>
      <c r="F143" s="1788"/>
      <c r="G143" s="1788"/>
      <c r="H143" s="1788"/>
      <c r="I143" s="1788"/>
      <c r="J143" s="1788"/>
      <c r="K143" s="1788"/>
      <c r="L143" s="1788"/>
      <c r="M143" s="1788"/>
    </row>
    <row r="144" spans="1:14" x14ac:dyDescent="0.25">
      <c r="B144" s="1787" t="s">
        <v>1672</v>
      </c>
      <c r="C144" s="1788" t="s">
        <v>1673</v>
      </c>
      <c r="D144" s="1788"/>
      <c r="F144" s="1789"/>
      <c r="G144" s="1789"/>
      <c r="H144" s="1789"/>
      <c r="I144" s="1789"/>
      <c r="J144" s="1789"/>
      <c r="K144" s="1789"/>
      <c r="L144" s="1790" t="s">
        <v>1634</v>
      </c>
      <c r="M144" s="1791"/>
    </row>
    <row r="145" spans="1:13" ht="7.5" customHeight="1" x14ac:dyDescent="0.25"/>
    <row r="146" spans="1:13" s="1853" customFormat="1" ht="27.75" customHeight="1" x14ac:dyDescent="0.25">
      <c r="A146" s="1778"/>
      <c r="B146" s="2084"/>
      <c r="C146" s="2629" t="s">
        <v>1674</v>
      </c>
      <c r="D146" s="2629"/>
      <c r="E146" s="2629"/>
      <c r="F146" s="2629"/>
      <c r="G146" s="2629"/>
      <c r="H146" s="2629"/>
      <c r="I146" s="2629"/>
      <c r="J146" s="2629"/>
      <c r="K146" s="2629"/>
      <c r="L146" s="2629"/>
      <c r="M146" s="2629"/>
    </row>
    <row r="147" spans="1:13" s="1853" customFormat="1" ht="12" customHeight="1" x14ac:dyDescent="0.25">
      <c r="A147" s="1778"/>
      <c r="B147" s="2084"/>
      <c r="C147" s="2084"/>
      <c r="D147" s="2084"/>
      <c r="E147" s="2084"/>
      <c r="F147" s="2084"/>
      <c r="G147" s="2084"/>
      <c r="H147" s="2084"/>
      <c r="I147" s="2084"/>
      <c r="J147" s="2084"/>
      <c r="K147" s="2084"/>
      <c r="L147" s="2084"/>
      <c r="M147" s="2084"/>
    </row>
    <row r="148" spans="1:13" s="1853" customFormat="1" ht="94.5" customHeight="1" x14ac:dyDescent="0.25">
      <c r="A148" s="1778"/>
      <c r="B148" s="2084"/>
      <c r="C148" s="2084"/>
      <c r="D148" s="2084"/>
      <c r="E148" s="2640" t="s">
        <v>1675</v>
      </c>
      <c r="F148" s="2641"/>
      <c r="G148" s="2641"/>
      <c r="H148" s="2641"/>
      <c r="I148" s="2641"/>
      <c r="J148" s="2641"/>
      <c r="K148" s="2641"/>
      <c r="L148" s="2642"/>
      <c r="M148" s="2084"/>
    </row>
    <row r="149" spans="1:13" s="1853" customFormat="1" ht="12" customHeight="1" x14ac:dyDescent="0.25">
      <c r="A149" s="1778"/>
      <c r="B149" s="2084"/>
      <c r="C149" s="2084"/>
      <c r="D149" s="2084"/>
      <c r="E149" s="2084"/>
      <c r="F149" s="2084"/>
      <c r="G149" s="2084"/>
      <c r="H149" s="2084"/>
      <c r="I149" s="2084"/>
      <c r="J149" s="2084"/>
      <c r="K149" s="2084"/>
      <c r="L149" s="2084"/>
      <c r="M149" s="2084"/>
    </row>
    <row r="150" spans="1:13" ht="15.75" thickBot="1" x14ac:dyDescent="0.3">
      <c r="C150" s="1814"/>
      <c r="D150" s="1814"/>
      <c r="E150" s="1814"/>
      <c r="F150" s="1814"/>
      <c r="G150" s="1814"/>
      <c r="H150" s="1814"/>
      <c r="I150" s="1814"/>
      <c r="J150" s="1814"/>
      <c r="K150" s="1814"/>
      <c r="L150" s="1814"/>
      <c r="M150" s="1814"/>
    </row>
    <row r="151" spans="1:13" x14ac:dyDescent="0.25">
      <c r="C151" s="1788"/>
      <c r="D151" s="1788"/>
      <c r="E151" s="1788"/>
      <c r="F151" s="1788"/>
      <c r="G151" s="1788"/>
      <c r="H151" s="1788"/>
      <c r="I151" s="1788"/>
      <c r="J151" s="1788"/>
      <c r="K151" s="1788"/>
      <c r="L151" s="1788"/>
      <c r="M151" s="1788"/>
    </row>
    <row r="152" spans="1:13" x14ac:dyDescent="0.25">
      <c r="B152" s="1787" t="s">
        <v>1676</v>
      </c>
      <c r="C152" s="1788" t="s">
        <v>1677</v>
      </c>
      <c r="D152" s="1788"/>
      <c r="F152" s="1789"/>
      <c r="G152" s="1789"/>
      <c r="H152" s="1789"/>
      <c r="I152" s="1789"/>
      <c r="J152" s="1789"/>
      <c r="K152" s="1789"/>
      <c r="L152" s="1790" t="s">
        <v>1638</v>
      </c>
      <c r="M152" s="1816">
        <f>IF(E156="Option 1: Grayfield Site - 3 points",3)+IF(E156="Option 2: Adaptive Reuse Site - 3 points",3)+IF(E156="Option 3: Historic Property being financed by the federal Historic Tax Credit (RTC) - 3 points",3)+IF(E156="Option 4: Brownfield site - 6 points",6)</f>
        <v>0</v>
      </c>
    </row>
    <row r="153" spans="1:13" ht="7.5" customHeight="1" x14ac:dyDescent="0.25"/>
    <row r="154" spans="1:13" s="1853" customFormat="1" ht="27.75" customHeight="1" x14ac:dyDescent="0.25">
      <c r="A154" s="1778"/>
      <c r="B154" s="2084"/>
      <c r="C154" s="2629" t="s">
        <v>1678</v>
      </c>
      <c r="D154" s="2629"/>
      <c r="E154" s="2629"/>
      <c r="F154" s="2629"/>
      <c r="G154" s="2629"/>
      <c r="H154" s="2629"/>
      <c r="I154" s="2629"/>
      <c r="J154" s="2629"/>
      <c r="K154" s="2629"/>
      <c r="L154" s="2629"/>
      <c r="M154" s="2629"/>
    </row>
    <row r="155" spans="1:13" s="1853" customFormat="1" ht="12" customHeight="1" x14ac:dyDescent="0.25">
      <c r="A155" s="1778"/>
      <c r="B155" s="2084"/>
      <c r="C155" s="2084"/>
      <c r="D155" s="2084"/>
      <c r="E155" s="2084"/>
      <c r="F155" s="2084"/>
      <c r="G155" s="2084"/>
      <c r="H155" s="2084"/>
      <c r="I155" s="2084"/>
      <c r="J155" s="2084"/>
      <c r="K155" s="2084"/>
      <c r="L155" s="2084"/>
      <c r="M155" s="2084"/>
    </row>
    <row r="156" spans="1:13" s="1853" customFormat="1" ht="12" customHeight="1" x14ac:dyDescent="0.25">
      <c r="A156" s="1778"/>
      <c r="B156" s="2084"/>
      <c r="C156" s="2084"/>
      <c r="D156" s="2084"/>
      <c r="E156" s="2623" t="s">
        <v>1169</v>
      </c>
      <c r="F156" s="2626"/>
      <c r="G156" s="2626"/>
      <c r="H156" s="2626"/>
      <c r="I156" s="2626"/>
      <c r="J156" s="2626"/>
      <c r="K156" s="2626"/>
      <c r="L156" s="2624"/>
      <c r="M156" s="2084"/>
    </row>
    <row r="157" spans="1:13" s="1853" customFormat="1" ht="12" customHeight="1" x14ac:dyDescent="0.25">
      <c r="A157" s="1778"/>
      <c r="B157" s="2084"/>
      <c r="C157" s="2084"/>
      <c r="D157" s="2084"/>
      <c r="E157" s="2084"/>
      <c r="F157" s="2084"/>
      <c r="G157" s="2084"/>
      <c r="H157" s="2084"/>
      <c r="I157" s="2084"/>
      <c r="J157" s="2084"/>
      <c r="K157" s="2084"/>
      <c r="L157" s="2084"/>
      <c r="M157" s="2084"/>
    </row>
    <row r="158" spans="1:13" s="1853" customFormat="1" ht="12" customHeight="1" thickBot="1" x14ac:dyDescent="0.3">
      <c r="A158" s="1778"/>
      <c r="B158" s="2084"/>
      <c r="C158" s="1867"/>
      <c r="D158" s="1867"/>
      <c r="E158" s="1867"/>
      <c r="F158" s="1867"/>
      <c r="G158" s="1867"/>
      <c r="H158" s="1867"/>
      <c r="I158" s="1867"/>
      <c r="J158" s="1867"/>
      <c r="K158" s="1867"/>
      <c r="L158" s="1867"/>
      <c r="M158" s="1867"/>
    </row>
    <row r="159" spans="1:13" s="1853" customFormat="1" ht="12" customHeight="1" x14ac:dyDescent="0.25">
      <c r="A159" s="1778"/>
      <c r="B159" s="2084"/>
      <c r="C159" s="2084"/>
      <c r="D159" s="2084"/>
      <c r="E159" s="2084"/>
      <c r="F159" s="2084"/>
      <c r="G159" s="2084"/>
      <c r="H159" s="2084"/>
      <c r="I159" s="2084"/>
      <c r="J159" s="2084"/>
      <c r="K159" s="2084"/>
      <c r="L159" s="2084"/>
      <c r="M159" s="2084"/>
    </row>
    <row r="160" spans="1:13" x14ac:dyDescent="0.25">
      <c r="A160" s="1787"/>
      <c r="B160" s="1787" t="s">
        <v>1679</v>
      </c>
      <c r="C160" s="1868" t="s">
        <v>1680</v>
      </c>
      <c r="E160" s="1789"/>
      <c r="F160" s="1789"/>
      <c r="G160" s="1789"/>
      <c r="H160" s="1789"/>
      <c r="I160" s="1789"/>
      <c r="J160" s="1789"/>
      <c r="K160" s="1858"/>
      <c r="L160" s="1790" t="s">
        <v>1634</v>
      </c>
      <c r="M160" s="1791"/>
    </row>
    <row r="161" spans="2:13" ht="14.25" customHeight="1" x14ac:dyDescent="0.25">
      <c r="M161" s="2084"/>
    </row>
    <row r="162" spans="2:13" ht="24.75" customHeight="1" x14ac:dyDescent="0.25">
      <c r="B162" s="2084"/>
      <c r="C162" s="2629" t="s">
        <v>1474</v>
      </c>
      <c r="D162" s="2628"/>
      <c r="E162" s="2628"/>
      <c r="F162" s="2628"/>
      <c r="G162" s="2628"/>
      <c r="H162" s="2628"/>
      <c r="I162" s="2628"/>
      <c r="J162" s="2628"/>
      <c r="K162" s="2628"/>
      <c r="L162" s="2084"/>
    </row>
    <row r="163" spans="2:13" x14ac:dyDescent="0.25">
      <c r="B163" s="1788"/>
    </row>
    <row r="164" spans="2:13" x14ac:dyDescent="0.25">
      <c r="E164" s="2623" t="s">
        <v>1169</v>
      </c>
      <c r="F164" s="2626"/>
      <c r="G164" s="2626"/>
      <c r="H164" s="2626"/>
      <c r="I164" s="2626"/>
      <c r="J164" s="2626"/>
      <c r="K164" s="2626"/>
      <c r="L164" s="2624"/>
      <c r="M164" s="1826"/>
    </row>
    <row r="165" spans="2:13" x14ac:dyDescent="0.25">
      <c r="E165" s="1955"/>
      <c r="F165" s="1955"/>
      <c r="G165" s="1955"/>
      <c r="H165" s="1955"/>
      <c r="I165" s="1955"/>
      <c r="J165" s="1955"/>
      <c r="K165" s="1955"/>
      <c r="L165" s="1955"/>
      <c r="M165" s="1826"/>
    </row>
    <row r="166" spans="2:13" ht="15.75" thickBot="1" x14ac:dyDescent="0.3">
      <c r="C166" s="1812"/>
      <c r="D166" s="1812"/>
      <c r="E166" s="1812"/>
      <c r="F166" s="1812"/>
      <c r="G166" s="1812"/>
      <c r="H166" s="1812"/>
      <c r="I166" s="1812"/>
      <c r="J166" s="1812"/>
      <c r="K166" s="1866"/>
      <c r="L166" s="1820"/>
      <c r="M166" s="1826"/>
    </row>
    <row r="167" spans="2:13" x14ac:dyDescent="0.25">
      <c r="K167" s="1834"/>
      <c r="L167" s="1826"/>
      <c r="M167" s="1826"/>
    </row>
    <row r="168" spans="2:13" x14ac:dyDescent="0.25">
      <c r="B168" s="1787" t="s">
        <v>1681</v>
      </c>
      <c r="C168" s="1788" t="s">
        <v>1682</v>
      </c>
      <c r="D168" s="1788"/>
      <c r="E168" s="1788"/>
      <c r="F168" s="1788"/>
      <c r="G168" s="1788"/>
      <c r="H168" s="1788"/>
      <c r="I168" s="1788"/>
      <c r="J168" s="1788"/>
      <c r="K168" s="1788"/>
      <c r="L168" s="1790" t="s">
        <v>1634</v>
      </c>
      <c r="M168" s="1791"/>
    </row>
    <row r="169" spans="2:13" ht="9.75" customHeight="1" x14ac:dyDescent="0.25"/>
    <row r="170" spans="2:13" ht="29.25" customHeight="1" x14ac:dyDescent="0.25">
      <c r="C170" s="2629" t="s">
        <v>1683</v>
      </c>
      <c r="D170" s="2628"/>
      <c r="E170" s="2628"/>
      <c r="F170" s="2628"/>
      <c r="G170" s="2628"/>
      <c r="H170" s="2628"/>
      <c r="I170" s="2628"/>
      <c r="J170" s="2628"/>
      <c r="K170" s="2628"/>
      <c r="L170" s="2084"/>
      <c r="M170" s="1792"/>
    </row>
    <row r="171" spans="2:13" ht="12" customHeight="1" thickBot="1" x14ac:dyDescent="0.3">
      <c r="C171" s="1814"/>
      <c r="D171" s="1812"/>
      <c r="E171" s="1812"/>
      <c r="F171" s="1812"/>
      <c r="G171" s="1812"/>
      <c r="H171" s="1812"/>
      <c r="I171" s="1812"/>
      <c r="J171" s="1812"/>
      <c r="K171" s="1812"/>
      <c r="L171" s="1812"/>
      <c r="M171" s="2084"/>
    </row>
    <row r="172" spans="2:13" x14ac:dyDescent="0.25">
      <c r="L172" s="1834"/>
      <c r="M172" s="1792"/>
    </row>
    <row r="173" spans="2:13" x14ac:dyDescent="0.25">
      <c r="B173" s="1787" t="s">
        <v>1684</v>
      </c>
      <c r="C173" s="1788" t="s">
        <v>1685</v>
      </c>
      <c r="D173" s="1788"/>
      <c r="F173" s="1789"/>
      <c r="G173" s="1789"/>
      <c r="L173" s="1790" t="s">
        <v>1634</v>
      </c>
      <c r="M173" s="1791">
        <v>3</v>
      </c>
    </row>
    <row r="174" spans="2:13" ht="7.5" customHeight="1" x14ac:dyDescent="0.25">
      <c r="B174" s="1787"/>
      <c r="C174" s="1788"/>
      <c r="D174" s="1788"/>
      <c r="F174" s="1789"/>
      <c r="G174" s="1789"/>
      <c r="H174" s="1789"/>
      <c r="I174" s="1789"/>
      <c r="J174" s="1789"/>
      <c r="K174" s="1789"/>
      <c r="L174" s="1858"/>
      <c r="M174" s="1792"/>
    </row>
    <row r="175" spans="2:13" ht="27" customHeight="1" x14ac:dyDescent="0.25">
      <c r="C175" s="2629" t="s">
        <v>1686</v>
      </c>
      <c r="D175" s="2628"/>
      <c r="E175" s="2628"/>
      <c r="F175" s="2628"/>
      <c r="G175" s="2628"/>
      <c r="H175" s="2628"/>
      <c r="I175" s="2628"/>
      <c r="J175" s="2628"/>
      <c r="K175" s="2628"/>
      <c r="L175" s="1817"/>
      <c r="M175" s="2084"/>
    </row>
    <row r="176" spans="2:13" ht="8.25" customHeight="1" x14ac:dyDescent="0.25">
      <c r="C176" s="2084"/>
      <c r="D176" s="2084"/>
      <c r="E176" s="2084"/>
      <c r="F176" s="2084"/>
      <c r="G176" s="2084"/>
      <c r="H176" s="2084"/>
      <c r="I176" s="2084"/>
      <c r="J176" s="2084"/>
      <c r="K176" s="2084"/>
      <c r="L176" s="2084"/>
      <c r="M176" s="2084"/>
    </row>
    <row r="177" spans="2:13" ht="9.75" customHeight="1" thickBot="1" x14ac:dyDescent="0.3">
      <c r="C177" s="1867"/>
      <c r="D177" s="1867"/>
      <c r="E177" s="1867"/>
      <c r="F177" s="1867"/>
      <c r="G177" s="1867"/>
      <c r="H177" s="1867"/>
      <c r="I177" s="1867"/>
      <c r="J177" s="1867"/>
      <c r="K177" s="1867"/>
      <c r="L177" s="1867"/>
      <c r="M177" s="1792"/>
    </row>
    <row r="178" spans="2:13" ht="9.75" customHeight="1" x14ac:dyDescent="0.25">
      <c r="C178" s="2084"/>
      <c r="D178" s="2084"/>
      <c r="E178" s="2084"/>
      <c r="F178" s="2084"/>
      <c r="G178" s="2084"/>
      <c r="H178" s="2084"/>
      <c r="I178" s="2084"/>
      <c r="J178" s="2084"/>
      <c r="K178" s="2084"/>
      <c r="L178" s="2084"/>
      <c r="M178" s="1792"/>
    </row>
    <row r="179" spans="2:13" ht="15.75" customHeight="1" x14ac:dyDescent="0.25">
      <c r="B179" s="1787" t="s">
        <v>1687</v>
      </c>
      <c r="C179" s="1788" t="s">
        <v>1688</v>
      </c>
      <c r="D179" s="1788"/>
      <c r="F179" s="1789"/>
      <c r="G179" s="1789"/>
      <c r="H179" s="1789"/>
      <c r="I179" s="1789"/>
      <c r="J179" s="1789"/>
      <c r="K179" s="1789"/>
      <c r="L179" s="1790" t="s">
        <v>1634</v>
      </c>
      <c r="M179" s="1791"/>
    </row>
    <row r="180" spans="2:13" ht="10.5" customHeight="1" x14ac:dyDescent="0.25">
      <c r="B180" s="1787"/>
      <c r="C180" s="1788"/>
      <c r="D180" s="1788"/>
      <c r="F180" s="1789"/>
      <c r="G180" s="1789"/>
      <c r="H180" s="1789"/>
      <c r="I180" s="1789"/>
      <c r="J180" s="1789"/>
      <c r="K180" s="1789"/>
      <c r="L180" s="1858"/>
      <c r="M180" s="2084"/>
    </row>
    <row r="181" spans="2:13" ht="27" customHeight="1" x14ac:dyDescent="0.25">
      <c r="B181" s="1787"/>
      <c r="C181" s="2629" t="s">
        <v>1689</v>
      </c>
      <c r="D181" s="2628"/>
      <c r="E181" s="2628"/>
      <c r="F181" s="2628"/>
      <c r="G181" s="2628"/>
      <c r="H181" s="2628"/>
      <c r="I181" s="2628"/>
      <c r="J181" s="2628"/>
      <c r="K181" s="2628"/>
      <c r="L181" s="1858"/>
      <c r="M181" s="2084"/>
    </row>
    <row r="182" spans="2:13" ht="8.25" customHeight="1" thickBot="1" x14ac:dyDescent="0.3">
      <c r="B182" s="1787"/>
      <c r="C182" s="1814"/>
      <c r="D182" s="1814"/>
      <c r="E182" s="1812"/>
      <c r="F182" s="1869"/>
      <c r="G182" s="1869"/>
      <c r="H182" s="1869"/>
      <c r="I182" s="1869"/>
      <c r="J182" s="1869"/>
      <c r="K182" s="1869"/>
      <c r="L182" s="1870"/>
      <c r="M182" s="2084"/>
    </row>
    <row r="183" spans="2:13" ht="9.75" customHeight="1" x14ac:dyDescent="0.25">
      <c r="C183" s="2084"/>
      <c r="D183" s="2084"/>
      <c r="E183" s="2084"/>
      <c r="F183" s="2084"/>
      <c r="G183" s="2084"/>
      <c r="H183" s="2084"/>
      <c r="I183" s="2084"/>
      <c r="J183" s="2084"/>
      <c r="K183" s="2084"/>
      <c r="L183" s="2084"/>
      <c r="M183" s="1792"/>
    </row>
    <row r="184" spans="2:13" ht="15.75" customHeight="1" x14ac:dyDescent="0.25">
      <c r="B184" s="1787" t="s">
        <v>1690</v>
      </c>
      <c r="C184" s="1788" t="s">
        <v>1691</v>
      </c>
      <c r="D184" s="1788"/>
      <c r="F184" s="1789"/>
      <c r="G184" s="1789"/>
      <c r="H184" s="1789"/>
      <c r="I184" s="1789"/>
      <c r="J184" s="1789"/>
      <c r="K184" s="1789"/>
      <c r="L184" s="1790" t="s">
        <v>1634</v>
      </c>
      <c r="M184" s="1791"/>
    </row>
    <row r="185" spans="2:13" ht="10.5" customHeight="1" x14ac:dyDescent="0.25">
      <c r="B185" s="1787"/>
      <c r="C185" s="1788"/>
      <c r="D185" s="1788"/>
      <c r="F185" s="1789"/>
      <c r="G185" s="1789"/>
      <c r="H185" s="1789"/>
      <c r="I185" s="1789"/>
      <c r="J185" s="1789"/>
      <c r="K185" s="1789"/>
      <c r="L185" s="1858"/>
      <c r="M185" s="2084"/>
    </row>
    <row r="186" spans="2:13" ht="27" customHeight="1" x14ac:dyDescent="0.25">
      <c r="B186" s="1787"/>
      <c r="C186" s="2629" t="s">
        <v>1692</v>
      </c>
      <c r="D186" s="2628"/>
      <c r="E186" s="2628"/>
      <c r="F186" s="2628"/>
      <c r="G186" s="2628"/>
      <c r="H186" s="2628"/>
      <c r="I186" s="2628"/>
      <c r="J186" s="2628"/>
      <c r="K186" s="2628"/>
      <c r="L186" s="1858"/>
      <c r="M186" s="2084"/>
    </row>
    <row r="187" spans="2:13" ht="8.25" customHeight="1" thickBot="1" x14ac:dyDescent="0.3">
      <c r="B187" s="1787"/>
      <c r="C187" s="1814"/>
      <c r="D187" s="1814"/>
      <c r="E187" s="1812"/>
      <c r="F187" s="1869"/>
      <c r="G187" s="1869"/>
      <c r="H187" s="1869"/>
      <c r="I187" s="1869"/>
      <c r="J187" s="1869"/>
      <c r="K187" s="1869"/>
      <c r="L187" s="1870"/>
      <c r="M187" s="2084"/>
    </row>
    <row r="188" spans="2:13" x14ac:dyDescent="0.25">
      <c r="C188" s="1789"/>
      <c r="D188" s="1789"/>
      <c r="E188" s="1826"/>
      <c r="F188" s="1826"/>
      <c r="G188" s="1826"/>
      <c r="H188" s="1826"/>
      <c r="I188" s="1826"/>
      <c r="J188" s="1789"/>
      <c r="K188" s="1858"/>
      <c r="L188" s="1817"/>
    </row>
    <row r="189" spans="2:13" x14ac:dyDescent="0.25">
      <c r="B189" s="1787" t="s">
        <v>1693</v>
      </c>
      <c r="C189" s="1788" t="s">
        <v>1694</v>
      </c>
      <c r="D189" s="1788"/>
      <c r="F189" s="1789"/>
      <c r="G189" s="1789"/>
      <c r="H189" s="1789"/>
      <c r="I189" s="1789"/>
      <c r="J189" s="1789"/>
      <c r="K189" s="1789"/>
      <c r="L189" s="1790" t="s">
        <v>1638</v>
      </c>
      <c r="M189" s="1816">
        <f>IF(E193="No Points Taken",0,3)</f>
        <v>3</v>
      </c>
    </row>
    <row r="190" spans="2:13" ht="5.25" customHeight="1" x14ac:dyDescent="0.25">
      <c r="C190" s="1789"/>
      <c r="D190" s="1789"/>
      <c r="E190" s="1788"/>
      <c r="F190" s="1789"/>
      <c r="G190" s="1789"/>
      <c r="H190" s="1789"/>
      <c r="I190" s="1789"/>
      <c r="J190" s="1789"/>
      <c r="K190" s="1789"/>
      <c r="L190" s="1817"/>
      <c r="M190" s="1817"/>
    </row>
    <row r="191" spans="2:13" ht="21" customHeight="1" x14ac:dyDescent="0.25">
      <c r="C191" s="1788" t="s">
        <v>1695</v>
      </c>
      <c r="D191" s="1788"/>
      <c r="E191" s="1788"/>
      <c r="F191" s="1788"/>
      <c r="G191" s="1788"/>
      <c r="H191" s="1788"/>
      <c r="I191" s="1788"/>
      <c r="J191" s="1788"/>
      <c r="K191" s="1788"/>
      <c r="L191" s="1788"/>
      <c r="M191" s="1792"/>
    </row>
    <row r="192" spans="2:13" ht="15" customHeight="1" x14ac:dyDescent="0.25">
      <c r="C192" s="2084"/>
      <c r="D192" s="2084"/>
      <c r="E192" s="2084"/>
      <c r="F192" s="2084"/>
      <c r="G192" s="2084"/>
      <c r="H192" s="2084"/>
      <c r="I192" s="2084"/>
      <c r="J192" s="2084"/>
      <c r="K192" s="2084"/>
      <c r="L192" s="2084"/>
      <c r="M192" s="2084"/>
    </row>
    <row r="193" spans="1:13" x14ac:dyDescent="0.25">
      <c r="E193" s="2623" t="s">
        <v>1739</v>
      </c>
      <c r="F193" s="2626"/>
      <c r="G193" s="2626"/>
      <c r="H193" s="2626"/>
      <c r="I193" s="2626"/>
      <c r="J193" s="2626"/>
      <c r="K193" s="2626"/>
      <c r="L193" s="2624"/>
      <c r="M193" s="2084"/>
    </row>
    <row r="194" spans="1:13" ht="15.75" thickBot="1" x14ac:dyDescent="0.3">
      <c r="C194" s="1812"/>
      <c r="D194" s="1812"/>
      <c r="E194" s="1812"/>
      <c r="F194" s="1812"/>
      <c r="G194" s="1820"/>
      <c r="H194" s="1820"/>
      <c r="I194" s="1820"/>
      <c r="J194" s="1820"/>
      <c r="K194" s="1820"/>
      <c r="L194" s="1820"/>
    </row>
    <row r="195" spans="1:13" ht="15" customHeight="1" x14ac:dyDescent="0.25">
      <c r="G195" s="1826"/>
      <c r="H195" s="1826"/>
      <c r="I195" s="1826"/>
      <c r="J195" s="1826"/>
      <c r="K195" s="1826"/>
      <c r="L195" s="1826"/>
      <c r="M195" s="1792"/>
    </row>
    <row r="196" spans="1:13" ht="12" customHeight="1" x14ac:dyDescent="0.25">
      <c r="B196" s="1787" t="s">
        <v>1696</v>
      </c>
      <c r="C196" s="1788" t="s">
        <v>1697</v>
      </c>
      <c r="D196" s="1788"/>
      <c r="F196" s="1789"/>
      <c r="G196" s="1789"/>
      <c r="H196" s="1789"/>
      <c r="I196" s="1789"/>
      <c r="J196" s="1789"/>
      <c r="K196" s="1789"/>
      <c r="L196" s="1790" t="s">
        <v>1634</v>
      </c>
      <c r="M196" s="1791">
        <v>4</v>
      </c>
    </row>
    <row r="197" spans="1:13" ht="15.75" customHeight="1" x14ac:dyDescent="0.25">
      <c r="C197" s="1871" t="s">
        <v>1698</v>
      </c>
      <c r="D197" s="1789"/>
      <c r="E197" s="1788"/>
      <c r="F197" s="1789"/>
      <c r="G197" s="1789"/>
      <c r="H197" s="1789"/>
      <c r="I197" s="1789"/>
      <c r="J197" s="1789"/>
      <c r="K197" s="1789"/>
      <c r="L197" s="1817"/>
      <c r="M197" s="2084"/>
    </row>
    <row r="198" spans="1:13" ht="12.75" customHeight="1" x14ac:dyDescent="0.25">
      <c r="C198" s="1789"/>
      <c r="F198" s="1872" t="s">
        <v>1699</v>
      </c>
      <c r="G198" s="1789"/>
      <c r="H198" s="1789"/>
      <c r="I198" s="1789"/>
      <c r="J198" s="1789"/>
      <c r="K198" s="1789"/>
      <c r="L198" s="1817"/>
      <c r="M198" s="2084"/>
    </row>
    <row r="199" spans="1:13" ht="12.75" customHeight="1" x14ac:dyDescent="0.25">
      <c r="C199" s="1789"/>
      <c r="F199" s="1872" t="s">
        <v>1700</v>
      </c>
      <c r="G199" s="1789"/>
      <c r="H199" s="1789"/>
      <c r="I199" s="1789"/>
      <c r="J199" s="1789"/>
      <c r="K199" s="1789"/>
      <c r="L199" s="1817"/>
      <c r="M199" s="2084"/>
    </row>
    <row r="200" spans="1:13" ht="15.75" thickBot="1" x14ac:dyDescent="0.3">
      <c r="C200" s="1812"/>
      <c r="D200" s="1812"/>
      <c r="E200" s="1867"/>
      <c r="F200" s="1812"/>
      <c r="G200" s="1812"/>
      <c r="H200" s="1812"/>
      <c r="I200" s="1812"/>
      <c r="J200" s="1812"/>
      <c r="K200" s="1812"/>
      <c r="L200" s="1812"/>
    </row>
    <row r="201" spans="1:13" ht="16.149999999999999" customHeight="1" x14ac:dyDescent="0.25">
      <c r="C201" s="2084"/>
      <c r="D201" s="2084"/>
      <c r="F201" s="2084"/>
      <c r="G201" s="2084"/>
      <c r="H201" s="2084"/>
      <c r="I201" s="2084"/>
      <c r="J201" s="2084"/>
      <c r="K201" s="2084"/>
      <c r="L201" s="2084"/>
      <c r="M201" s="1826"/>
    </row>
    <row r="202" spans="1:13" ht="16.149999999999999" customHeight="1" x14ac:dyDescent="0.25">
      <c r="B202" s="1787" t="s">
        <v>1701</v>
      </c>
      <c r="C202" s="1788" t="s">
        <v>1702</v>
      </c>
      <c r="D202" s="1788"/>
      <c r="E202" s="1788"/>
      <c r="F202" s="1789"/>
      <c r="G202" s="1789"/>
      <c r="H202" s="1789"/>
      <c r="I202" s="1789"/>
      <c r="J202" s="1789"/>
      <c r="K202" s="1789"/>
      <c r="L202" s="1790" t="s">
        <v>1634</v>
      </c>
      <c r="M202" s="1791">
        <v>1</v>
      </c>
    </row>
    <row r="203" spans="1:13" ht="9.75" customHeight="1" x14ac:dyDescent="0.25">
      <c r="A203" s="2629"/>
      <c r="B203" s="2629"/>
      <c r="C203" s="2629"/>
      <c r="D203" s="2629"/>
      <c r="E203" s="2629"/>
      <c r="F203" s="2629"/>
      <c r="G203" s="2629"/>
      <c r="H203" s="2629"/>
      <c r="I203" s="2629"/>
      <c r="J203" s="2629"/>
      <c r="K203" s="2629"/>
      <c r="L203" s="1817"/>
      <c r="M203" s="1826"/>
    </row>
    <row r="204" spans="1:13" ht="39" customHeight="1" x14ac:dyDescent="0.25">
      <c r="C204" s="1826"/>
      <c r="D204" s="2629" t="s">
        <v>1703</v>
      </c>
      <c r="E204" s="2628"/>
      <c r="F204" s="2628"/>
      <c r="G204" s="2628"/>
      <c r="H204" s="2628"/>
      <c r="I204" s="2628"/>
      <c r="J204" s="2628"/>
      <c r="K204" s="2628"/>
      <c r="L204" s="1826"/>
    </row>
    <row r="205" spans="1:13" x14ac:dyDescent="0.25">
      <c r="C205" s="1826"/>
      <c r="F205" s="1873" t="s">
        <v>580</v>
      </c>
      <c r="G205" s="1826" t="s">
        <v>1475</v>
      </c>
      <c r="H205" s="1826"/>
      <c r="I205" s="1826"/>
      <c r="J205" s="1826"/>
      <c r="K205" s="1826"/>
      <c r="L205" s="1826"/>
    </row>
    <row r="206" spans="1:13" x14ac:dyDescent="0.25">
      <c r="C206" s="1826"/>
      <c r="F206" s="1873"/>
      <c r="G206" s="1826" t="s">
        <v>1704</v>
      </c>
      <c r="H206" s="1826"/>
      <c r="I206" s="1826"/>
      <c r="J206" s="1826"/>
      <c r="K206" s="1826"/>
      <c r="L206" s="1826"/>
    </row>
    <row r="207" spans="1:13" x14ac:dyDescent="0.25">
      <c r="C207" s="1826"/>
      <c r="F207" s="1873"/>
      <c r="G207" s="1826" t="s">
        <v>1476</v>
      </c>
      <c r="H207" s="1826"/>
      <c r="I207" s="1826"/>
      <c r="J207" s="1826"/>
      <c r="K207" s="1826"/>
      <c r="L207" s="1826"/>
    </row>
    <row r="208" spans="1:13" x14ac:dyDescent="0.25">
      <c r="C208" s="1826"/>
      <c r="F208" s="1873"/>
      <c r="G208" s="1826" t="s">
        <v>1705</v>
      </c>
      <c r="H208" s="1826"/>
      <c r="I208" s="1826"/>
      <c r="J208" s="1826"/>
      <c r="K208" s="1826"/>
      <c r="L208" s="1826"/>
    </row>
    <row r="209" spans="1:13" x14ac:dyDescent="0.25">
      <c r="C209" s="1826"/>
      <c r="F209" s="1873"/>
      <c r="G209" s="1826" t="s">
        <v>1477</v>
      </c>
      <c r="H209" s="1826"/>
      <c r="I209" s="1826"/>
      <c r="J209" s="1826"/>
      <c r="K209" s="1826"/>
    </row>
    <row r="210" spans="1:13" x14ac:dyDescent="0.25">
      <c r="C210" s="1789"/>
      <c r="F210" s="1873"/>
      <c r="G210" s="1778" t="s">
        <v>1478</v>
      </c>
      <c r="H210" s="1826"/>
      <c r="I210" s="1826"/>
      <c r="J210" s="1826"/>
      <c r="K210" s="1789"/>
    </row>
    <row r="211" spans="1:13" ht="15.75" thickBot="1" x14ac:dyDescent="0.3">
      <c r="C211" s="1869"/>
      <c r="D211" s="1812"/>
      <c r="E211" s="1812"/>
      <c r="F211" s="1812"/>
      <c r="G211" s="1812"/>
      <c r="H211" s="1820"/>
      <c r="I211" s="1820"/>
      <c r="J211" s="1820"/>
      <c r="K211" s="1869"/>
      <c r="L211" s="1812"/>
    </row>
    <row r="212" spans="1:13" ht="16.149999999999999" customHeight="1" x14ac:dyDescent="0.25">
      <c r="C212" s="2084"/>
      <c r="D212" s="2084"/>
      <c r="F212" s="2084"/>
      <c r="G212" s="2084"/>
      <c r="H212" s="2084"/>
      <c r="I212" s="2084"/>
      <c r="J212" s="2084"/>
      <c r="K212" s="2084"/>
      <c r="L212" s="2084"/>
      <c r="M212" s="1826"/>
    </row>
    <row r="213" spans="1:13" ht="16.149999999999999" customHeight="1" x14ac:dyDescent="0.25">
      <c r="B213" s="1787" t="s">
        <v>1706</v>
      </c>
      <c r="C213" s="1788" t="s">
        <v>1707</v>
      </c>
      <c r="D213" s="1788"/>
      <c r="E213" s="1788"/>
      <c r="F213" s="1789"/>
      <c r="G213" s="1789"/>
      <c r="H213" s="1789"/>
      <c r="I213" s="1789"/>
      <c r="J213" s="1789"/>
      <c r="K213" s="1789"/>
      <c r="L213" s="1790" t="s">
        <v>1634</v>
      </c>
      <c r="M213" s="1874">
        <v>2</v>
      </c>
    </row>
    <row r="214" spans="1:13" ht="9.75" customHeight="1" x14ac:dyDescent="0.25">
      <c r="A214" s="2629"/>
      <c r="B214" s="2629"/>
      <c r="C214" s="2629"/>
      <c r="D214" s="2629"/>
      <c r="E214" s="2629"/>
      <c r="F214" s="2629"/>
      <c r="G214" s="2629"/>
      <c r="H214" s="2629"/>
      <c r="I214" s="2629"/>
      <c r="J214" s="2629"/>
      <c r="K214" s="2629"/>
      <c r="L214" s="1817"/>
      <c r="M214" s="1875"/>
    </row>
    <row r="215" spans="1:13" ht="39" customHeight="1" x14ac:dyDescent="0.25">
      <c r="C215" s="1826"/>
      <c r="D215" s="2629" t="s">
        <v>1708</v>
      </c>
      <c r="E215" s="2628"/>
      <c r="F215" s="2628"/>
      <c r="G215" s="2628"/>
      <c r="H215" s="2628"/>
      <c r="I215" s="2628"/>
      <c r="J215" s="2628"/>
      <c r="K215" s="2628"/>
      <c r="L215" s="1826"/>
      <c r="M215" s="1876"/>
    </row>
    <row r="216" spans="1:13" ht="13.5" customHeight="1" x14ac:dyDescent="0.25">
      <c r="C216" s="1826"/>
      <c r="D216" s="1871" t="s">
        <v>1698</v>
      </c>
      <c r="L216" s="1826"/>
      <c r="M216" s="1876"/>
    </row>
    <row r="217" spans="1:13" ht="8.25" customHeight="1" x14ac:dyDescent="0.25">
      <c r="C217" s="1826"/>
      <c r="D217" s="1871"/>
      <c r="L217" s="1826"/>
      <c r="M217" s="1876"/>
    </row>
    <row r="218" spans="1:13" x14ac:dyDescent="0.25">
      <c r="C218" s="1826"/>
      <c r="F218" s="1873" t="s">
        <v>580</v>
      </c>
      <c r="G218" s="1778" t="s">
        <v>1709</v>
      </c>
      <c r="H218" s="1826"/>
      <c r="I218" s="1826"/>
      <c r="J218" s="1826"/>
      <c r="K218" s="1826"/>
      <c r="L218" s="1826"/>
      <c r="M218" s="1876"/>
    </row>
    <row r="219" spans="1:13" x14ac:dyDescent="0.25">
      <c r="C219" s="1826"/>
      <c r="F219" s="1873"/>
      <c r="G219" s="1826" t="s">
        <v>1710</v>
      </c>
      <c r="H219" s="1826"/>
      <c r="I219" s="1826"/>
      <c r="J219" s="1826"/>
      <c r="K219" s="1826"/>
      <c r="L219" s="1826"/>
      <c r="M219" s="1876"/>
    </row>
    <row r="220" spans="1:13" ht="15.75" thickBot="1" x14ac:dyDescent="0.3">
      <c r="C220" s="1820"/>
      <c r="D220" s="1812"/>
      <c r="E220" s="1812"/>
      <c r="F220" s="1820"/>
      <c r="G220" s="1820"/>
      <c r="H220" s="1820"/>
      <c r="I220" s="1820"/>
      <c r="J220" s="1820"/>
      <c r="K220" s="1820"/>
      <c r="L220" s="1820"/>
      <c r="M220" s="1876"/>
    </row>
    <row r="221" spans="1:13" x14ac:dyDescent="0.25">
      <c r="C221" s="2084"/>
      <c r="D221" s="1789"/>
      <c r="E221" s="2084"/>
      <c r="F221" s="2084"/>
      <c r="G221" s="2084"/>
      <c r="H221" s="2084"/>
      <c r="I221" s="2084"/>
      <c r="J221" s="2084"/>
      <c r="K221" s="2084"/>
      <c r="M221" s="1876"/>
    </row>
    <row r="222" spans="1:13" ht="16.149999999999999" customHeight="1" x14ac:dyDescent="0.25">
      <c r="B222" s="1787" t="s">
        <v>1711</v>
      </c>
      <c r="C222" s="1788" t="s">
        <v>1712</v>
      </c>
      <c r="D222" s="1788"/>
      <c r="E222" s="1788"/>
      <c r="F222" s="1789"/>
      <c r="G222" s="1789"/>
      <c r="H222" s="1789"/>
      <c r="I222" s="1789"/>
      <c r="J222" s="1789"/>
      <c r="K222" s="1789"/>
      <c r="L222" s="1790" t="s">
        <v>1634</v>
      </c>
      <c r="M222" s="1874"/>
    </row>
    <row r="223" spans="1:13" ht="9.75" customHeight="1" x14ac:dyDescent="0.25">
      <c r="A223" s="2629"/>
      <c r="B223" s="2629"/>
      <c r="C223" s="2629"/>
      <c r="D223" s="2629"/>
      <c r="E223" s="2629"/>
      <c r="F223" s="2629"/>
      <c r="G223" s="2629"/>
      <c r="H223" s="2629"/>
      <c r="I223" s="2629"/>
      <c r="J223" s="2629"/>
      <c r="K223" s="2629"/>
      <c r="L223" s="1817"/>
      <c r="M223" s="1826"/>
    </row>
    <row r="224" spans="1:13" ht="14.25" customHeight="1" x14ac:dyDescent="0.25">
      <c r="C224" s="1826"/>
      <c r="D224" s="2629" t="s">
        <v>1713</v>
      </c>
      <c r="E224" s="2628"/>
      <c r="F224" s="2628"/>
      <c r="G224" s="2628"/>
      <c r="H224" s="2628"/>
      <c r="I224" s="2628"/>
      <c r="J224" s="2628"/>
      <c r="K224" s="2628"/>
      <c r="L224" s="1826"/>
    </row>
    <row r="225" spans="1:13" ht="13.5" customHeight="1" x14ac:dyDescent="0.25">
      <c r="C225" s="1826"/>
      <c r="D225" s="1871"/>
      <c r="L225" s="1826"/>
    </row>
    <row r="226" spans="1:13" s="1853" customFormat="1" ht="12" customHeight="1" x14ac:dyDescent="0.25">
      <c r="A226" s="1778"/>
      <c r="B226" s="2084"/>
      <c r="C226" s="2084"/>
      <c r="D226" s="2084"/>
      <c r="E226" s="2623" t="s">
        <v>1169</v>
      </c>
      <c r="F226" s="2626"/>
      <c r="G226" s="2626"/>
      <c r="H226" s="2626"/>
      <c r="I226" s="2626"/>
      <c r="J226" s="2626"/>
      <c r="K226" s="2626"/>
      <c r="L226" s="2624"/>
      <c r="M226" s="2084"/>
    </row>
    <row r="227" spans="1:13" s="1853" customFormat="1" ht="12" customHeight="1" x14ac:dyDescent="0.25">
      <c r="A227" s="1778"/>
      <c r="B227" s="2084"/>
      <c r="C227" s="2084"/>
      <c r="D227" s="2084"/>
      <c r="E227" s="2623" t="s">
        <v>1169</v>
      </c>
      <c r="F227" s="2626"/>
      <c r="G227" s="2626"/>
      <c r="H227" s="2626"/>
      <c r="I227" s="2626"/>
      <c r="J227" s="2626"/>
      <c r="K227" s="2626"/>
      <c r="L227" s="2624"/>
      <c r="M227" s="2084"/>
    </row>
    <row r="228" spans="1:13" ht="15.75" thickBot="1" x14ac:dyDescent="0.3">
      <c r="C228" s="1820"/>
      <c r="D228" s="1812"/>
      <c r="E228" s="1812"/>
      <c r="F228" s="1812"/>
      <c r="G228" s="1820"/>
      <c r="H228" s="1820"/>
      <c r="I228" s="1820"/>
      <c r="J228" s="1820"/>
      <c r="K228" s="1820"/>
      <c r="L228" s="1820"/>
    </row>
    <row r="229" spans="1:13" x14ac:dyDescent="0.25">
      <c r="C229" s="1826"/>
      <c r="G229" s="1826"/>
      <c r="H229" s="1826"/>
      <c r="I229" s="1826"/>
      <c r="J229" s="1826"/>
      <c r="K229" s="1826"/>
      <c r="L229" s="1826"/>
    </row>
    <row r="230" spans="1:13" x14ac:dyDescent="0.25">
      <c r="B230" s="1787" t="s">
        <v>1714</v>
      </c>
      <c r="C230" s="1788" t="s">
        <v>1715</v>
      </c>
      <c r="D230" s="1788"/>
      <c r="F230" s="1789"/>
      <c r="G230" s="1789"/>
      <c r="L230" s="1790" t="s">
        <v>1634</v>
      </c>
      <c r="M230" s="1791"/>
    </row>
    <row r="231" spans="1:13" ht="7.5" customHeight="1" x14ac:dyDescent="0.25">
      <c r="B231" s="1787"/>
      <c r="C231" s="1788"/>
      <c r="D231" s="1788"/>
      <c r="F231" s="1789"/>
      <c r="G231" s="1789"/>
      <c r="H231" s="1789"/>
      <c r="I231" s="1789"/>
      <c r="J231" s="1789"/>
      <c r="K231" s="1789"/>
      <c r="L231" s="1858"/>
      <c r="M231" s="1792"/>
    </row>
    <row r="232" spans="1:13" ht="27" customHeight="1" x14ac:dyDescent="0.25">
      <c r="C232" s="2629" t="s">
        <v>1716</v>
      </c>
      <c r="D232" s="2628"/>
      <c r="E232" s="2628"/>
      <c r="F232" s="2628"/>
      <c r="G232" s="2628"/>
      <c r="H232" s="2628"/>
      <c r="I232" s="2628"/>
      <c r="J232" s="2628"/>
      <c r="K232" s="2628"/>
      <c r="L232" s="1817"/>
      <c r="M232" s="2084"/>
    </row>
    <row r="233" spans="1:13" ht="15.75" thickBot="1" x14ac:dyDescent="0.3"/>
    <row r="234" spans="1:13" ht="28.5" customHeight="1" thickTop="1" thickBot="1" x14ac:dyDescent="0.3">
      <c r="B234" s="1877"/>
      <c r="C234" s="1878" t="s">
        <v>1479</v>
      </c>
      <c r="D234" s="1878"/>
      <c r="E234" s="1877"/>
      <c r="F234" s="1877"/>
      <c r="G234" s="1877"/>
      <c r="H234" s="1877"/>
      <c r="I234" s="1877"/>
      <c r="J234" s="1877"/>
      <c r="K234" s="1877"/>
      <c r="L234" s="1877"/>
      <c r="M234" s="1879">
        <f>SUM(M230,M222,M213,M202,M196,M189,M184,M179,M168,M173,M160,M152,M144,M138,M125,M117,M106,M92,M80,M70,M59,M33,M26,M12,)</f>
        <v>52</v>
      </c>
    </row>
    <row r="235" spans="1:13" ht="15.75" thickTop="1" x14ac:dyDescent="0.25"/>
  </sheetData>
  <sheetProtection formatCells="0" formatColumns="0" formatRows="0"/>
  <mergeCells count="52">
    <mergeCell ref="C232:K232"/>
    <mergeCell ref="E193:L193"/>
    <mergeCell ref="A203:K203"/>
    <mergeCell ref="D204:K204"/>
    <mergeCell ref="A214:K214"/>
    <mergeCell ref="D215:K215"/>
    <mergeCell ref="A223:K223"/>
    <mergeCell ref="C181:K181"/>
    <mergeCell ref="C186:K186"/>
    <mergeCell ref="D224:K224"/>
    <mergeCell ref="E226:L226"/>
    <mergeCell ref="E227:L227"/>
    <mergeCell ref="E156:L156"/>
    <mergeCell ref="C162:K162"/>
    <mergeCell ref="E164:L164"/>
    <mergeCell ref="C170:K170"/>
    <mergeCell ref="C175:K175"/>
    <mergeCell ref="E121:F121"/>
    <mergeCell ref="C140:M140"/>
    <mergeCell ref="C146:M146"/>
    <mergeCell ref="E148:L148"/>
    <mergeCell ref="C154:M154"/>
    <mergeCell ref="I103:J103"/>
    <mergeCell ref="C108:M108"/>
    <mergeCell ref="I111:J111"/>
    <mergeCell ref="I112:J112"/>
    <mergeCell ref="I113:J113"/>
    <mergeCell ref="C94:M94"/>
    <mergeCell ref="E96:L96"/>
    <mergeCell ref="I99:J99"/>
    <mergeCell ref="I100:J100"/>
    <mergeCell ref="I101:J101"/>
    <mergeCell ref="C82:M82"/>
    <mergeCell ref="E84:L84"/>
    <mergeCell ref="I87:J87"/>
    <mergeCell ref="I88:J88"/>
    <mergeCell ref="I89:J89"/>
    <mergeCell ref="E30:F30"/>
    <mergeCell ref="C35:M36"/>
    <mergeCell ref="E62:L62"/>
    <mergeCell ref="E72:L72"/>
    <mergeCell ref="E74:K77"/>
    <mergeCell ref="B8:M8"/>
    <mergeCell ref="L10:L11"/>
    <mergeCell ref="M10:M11"/>
    <mergeCell ref="E16:L16"/>
    <mergeCell ref="F23:H23"/>
    <mergeCell ref="A1:M1"/>
    <mergeCell ref="B2:M2"/>
    <mergeCell ref="B5:M5"/>
    <mergeCell ref="B6:E6"/>
    <mergeCell ref="F6:H6"/>
  </mergeCells>
  <dataValidations count="14">
    <dataValidation type="list" allowBlank="1" showInputMessage="1" showErrorMessage="1" sqref="F228:F229">
      <formula1>$D$28:$D$29</formula1>
    </dataValidation>
    <dataValidation type="list" allowBlank="1" showInputMessage="1" showErrorMessage="1" sqref="L56">
      <formula1>$D$16:$D$17</formula1>
    </dataValidation>
    <dataValidation type="list" allowBlank="1" showInputMessage="1" showErrorMessage="1" sqref="D164:D165">
      <formula1>location_eff</formula1>
    </dataValidation>
    <dataValidation allowBlank="1" showErrorMessage="1" sqref="M16"/>
    <dataValidation type="list" allowBlank="1" showInputMessage="1" showErrorMessage="1" sqref="E84:L84">
      <formula1>four_perc_leveraging_public_resources</formula1>
    </dataValidation>
    <dataValidation type="list" allowBlank="1" showInputMessage="1" showErrorMessage="1" sqref="E164">
      <formula1>four_perc_efficient_location</formula1>
    </dataValidation>
    <dataValidation type="list" allowBlank="1" showInputMessage="1" showErrorMessage="1" sqref="E193:L193">
      <formula1>four_perc_np_sponsor</formula1>
    </dataValidation>
    <dataValidation type="list" allowBlank="1" showInputMessage="1" showErrorMessage="1" sqref="E121:F121">
      <formula1>four_perc_dev_fees</formula1>
    </dataValidation>
    <dataValidation type="list" allowBlank="1" showInputMessage="1" showErrorMessage="1" sqref="E62:L62">
      <formula1>four_perc_project_based_rental_assistance</formula1>
    </dataValidation>
    <dataValidation type="list" allowBlank="1" showErrorMessage="1" sqref="E16:L16">
      <formula1>four_perc_lih_commit</formula1>
    </dataValidation>
    <dataValidation type="list" allowBlank="1" showInputMessage="1" sqref="E30:F30">
      <formula1>four_perc_Years</formula1>
    </dataValidation>
    <dataValidation type="list" allowBlank="1" showInputMessage="1" showErrorMessage="1" sqref="E96:L96">
      <formula1>four_perc_leveraging_taxable_bonds</formula1>
    </dataValidation>
    <dataValidation type="list" allowBlank="1" showInputMessage="1" showErrorMessage="1" sqref="E156:L156">
      <formula1>four_perc_property_type</formula1>
    </dataValidation>
    <dataValidation type="list" allowBlank="1" showInputMessage="1" showErrorMessage="1" sqref="F205:F210 F218:F219">
      <formula1>Enable</formula1>
    </dataValidation>
  </dataValidations>
  <hyperlinks>
    <hyperlink ref="F6" r:id="rId1" display="2016 Bond/Tax Credit Polices"/>
    <hyperlink ref="F6:H6" r:id="rId2" display="2017 Bond/Tax Credit Polices"/>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7">
        <x14:dataValidation type="list" allowBlank="1" showInputMessage="1" showErrorMessage="1">
          <x14:formula1>
            <xm:f>'4% LIHTC ScoringLists'!$D$46:$D$48</xm:f>
          </x14:formula1>
          <xm:sqref>M222</xm:sqref>
        </x14:dataValidation>
        <x14:dataValidation type="list" allowBlank="1" showInputMessage="1" showErrorMessage="1">
          <x14:formula1>
            <xm:f>'4% LIHTC ScoringLists'!$B$112:$B$113</xm:f>
          </x14:formula1>
          <xm:sqref>E226:L226</xm:sqref>
        </x14:dataValidation>
        <x14:dataValidation type="list" allowBlank="1" showInputMessage="1" showErrorMessage="1">
          <x14:formula1>
            <xm:f>'4% LIHTC ScoringLists'!$B$114:$B$115</xm:f>
          </x14:formula1>
          <xm:sqref>E227:L227</xm:sqref>
        </x14:dataValidation>
        <x14:dataValidation type="list" allowBlank="1" showInputMessage="1" showErrorMessage="1">
          <x14:formula1>
            <xm:f>'4% LIHTC ScoringLists'!$D$34:$D$41</xm:f>
          </x14:formula1>
          <xm:sqref>M202</xm:sqref>
        </x14:dataValidation>
        <x14:dataValidation type="list" allowBlank="1" showInputMessage="1" showErrorMessage="1">
          <x14:formula1>
            <xm:f>'4% LIHTC ScoringLists'!$D$30:$D$32</xm:f>
          </x14:formula1>
          <xm:sqref>M196</xm:sqref>
        </x14:dataValidation>
        <x14:dataValidation type="list" allowBlank="1" showInputMessage="1" showErrorMessage="1">
          <x14:formula1>
            <xm:f>'4% LIHTC ScoringLists'!$D$22:$D$23</xm:f>
          </x14:formula1>
          <xm:sqref>M184</xm:sqref>
        </x14:dataValidation>
        <x14:dataValidation type="list" allowBlank="1" showInputMessage="1" showErrorMessage="1">
          <x14:formula1>
            <xm:f>'4% LIHTC ScoringLists'!$D$28:$D$29</xm:f>
          </x14:formula1>
          <xm:sqref>M168 M213</xm:sqref>
        </x14:dataValidation>
        <x14:dataValidation type="list" allowBlank="1" showInputMessage="1" showErrorMessage="1">
          <x14:formula1>
            <xm:f>'4% LIHTC ScoringLists'!$D$25:$D$26</xm:f>
          </x14:formula1>
          <xm:sqref>M160 M179 M173</xm:sqref>
        </x14:dataValidation>
        <x14:dataValidation type="list" allowBlank="1" showInputMessage="1" showErrorMessage="1">
          <x14:formula1>
            <xm:f>'4% LIHTC ScoringLists'!$B$68:$B$72</xm:f>
          </x14:formula1>
          <xm:sqref>E157:L158</xm:sqref>
        </x14:dataValidation>
        <x14:dataValidation type="list" allowBlank="1" showInputMessage="1" showErrorMessage="1">
          <x14:formula1>
            <xm:f>'4% LIHTC ScoringLists'!$B$50:$B$57</xm:f>
          </x14:formula1>
          <xm:sqref>D96</xm:sqref>
        </x14:dataValidation>
        <x14:dataValidation type="list" allowBlank="1" showInputMessage="1" showErrorMessage="1">
          <x14:formula1>
            <xm:f>'4% LIHTC ScoringLists'!#REF!</xm:f>
          </x14:formula1>
          <xm:sqref>E122:E124</xm:sqref>
        </x14:dataValidation>
        <x14:dataValidation type="list" allowBlank="1" showInputMessage="1" showErrorMessage="1">
          <x14:formula1>
            <xm:f>'4% LIHTC ScoringLists'!$D$16:$D$17</xm:f>
          </x14:formula1>
          <xm:sqref>L48:L49 L55</xm:sqref>
        </x14:dataValidation>
        <x14:dataValidation type="list" allowBlank="1" showInputMessage="1" showErrorMessage="1">
          <x14:formula1>
            <xm:f>'4% LIHTC ScoringLists'!$D$12:$D$13</xm:f>
          </x14:formula1>
          <xm:sqref>L42:L43 L54 M138 M144 M230 M125</xm:sqref>
        </x14:dataValidation>
        <x14:dataValidation type="list" allowBlank="1" showInputMessage="1" showErrorMessage="1">
          <x14:formula1>
            <xm:f>'4% LIHTC ScoringLists'!$D$1:$D$6</xm:f>
          </x14:formula1>
          <xm:sqref>M12</xm:sqref>
        </x14:dataValidation>
        <x14:dataValidation type="list" allowBlank="1" showInputMessage="1" showErrorMessage="1">
          <x14:formula1>
            <xm:f>'4% LIHTC ScoringLists'!$D$19:$D$20</xm:f>
          </x14:formula1>
          <xm:sqref>E72:L72</xm:sqref>
        </x14:dataValidation>
        <x14:dataValidation type="list" allowBlank="1" showInputMessage="1" showErrorMessage="1">
          <x14:formula1>
            <xm:f>'4% LIHTC ScoringLists'!$B$14:$B$19</xm:f>
          </x14:formula1>
          <xm:sqref>E21:E22</xm:sqref>
        </x14:dataValidation>
        <x14:dataValidation type="list" allowBlank="1" showInputMessage="1" showErrorMessage="1">
          <x14:formula1>
            <xm:f>'4% LIHTC ScoringLists'!$B$12:$B$13</xm:f>
          </x14:formula1>
          <xm:sqref>E20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15"/>
  <sheetViews>
    <sheetView topLeftCell="A25" workbookViewId="0">
      <selection activeCell="B217" sqref="B217"/>
    </sheetView>
  </sheetViews>
  <sheetFormatPr defaultColWidth="9.140625" defaultRowHeight="15" x14ac:dyDescent="0.25"/>
  <cols>
    <col min="1" max="1" width="36.7109375" style="1872" bestFit="1" customWidth="1"/>
    <col min="2" max="2" width="115" style="1872" bestFit="1" customWidth="1"/>
    <col min="3" max="16384" width="9.140625" style="1872"/>
  </cols>
  <sheetData>
    <row r="1" spans="1:4" x14ac:dyDescent="0.25">
      <c r="A1" s="1881"/>
      <c r="D1" s="1872">
        <v>0</v>
      </c>
    </row>
    <row r="2" spans="1:4" x14ac:dyDescent="0.25">
      <c r="D2" s="1872">
        <v>2</v>
      </c>
    </row>
    <row r="3" spans="1:4" x14ac:dyDescent="0.25">
      <c r="A3" s="1872" t="s">
        <v>1802</v>
      </c>
      <c r="B3" s="1872" t="s">
        <v>1448</v>
      </c>
      <c r="D3" s="1872">
        <v>4</v>
      </c>
    </row>
    <row r="4" spans="1:4" x14ac:dyDescent="0.25">
      <c r="B4" s="1872" t="s">
        <v>1480</v>
      </c>
      <c r="D4" s="1872">
        <v>6</v>
      </c>
    </row>
    <row r="5" spans="1:4" x14ac:dyDescent="0.25">
      <c r="B5" s="1872" t="s">
        <v>1481</v>
      </c>
      <c r="D5" s="1872">
        <v>8</v>
      </c>
    </row>
    <row r="6" spans="1:4" x14ac:dyDescent="0.25">
      <c r="B6" s="1872" t="s">
        <v>1482</v>
      </c>
      <c r="D6" s="1872">
        <v>10</v>
      </c>
    </row>
    <row r="7" spans="1:4" x14ac:dyDescent="0.25">
      <c r="B7" s="1872" t="s">
        <v>1483</v>
      </c>
    </row>
    <row r="8" spans="1:4" x14ac:dyDescent="0.25">
      <c r="B8" s="1872" t="s">
        <v>1484</v>
      </c>
    </row>
    <row r="9" spans="1:4" x14ac:dyDescent="0.25">
      <c r="B9" s="1872" t="s">
        <v>1485</v>
      </c>
    </row>
    <row r="12" spans="1:4" x14ac:dyDescent="0.25">
      <c r="A12" s="1872" t="s">
        <v>1803</v>
      </c>
      <c r="B12" s="1882">
        <v>0</v>
      </c>
      <c r="D12" s="1872">
        <v>0</v>
      </c>
    </row>
    <row r="13" spans="1:4" x14ac:dyDescent="0.25">
      <c r="B13" s="1882">
        <v>0.1</v>
      </c>
      <c r="D13" s="1872">
        <v>5</v>
      </c>
    </row>
    <row r="14" spans="1:4" x14ac:dyDescent="0.25">
      <c r="B14" s="1882">
        <v>0</v>
      </c>
    </row>
    <row r="15" spans="1:4" x14ac:dyDescent="0.25">
      <c r="B15" s="1882">
        <v>0.3</v>
      </c>
    </row>
    <row r="16" spans="1:4" x14ac:dyDescent="0.25">
      <c r="B16" s="1882">
        <v>0.5</v>
      </c>
      <c r="D16" s="1872">
        <v>0</v>
      </c>
    </row>
    <row r="17" spans="1:4" x14ac:dyDescent="0.25">
      <c r="B17" s="1882">
        <v>0.7</v>
      </c>
      <c r="D17" s="1872">
        <v>10</v>
      </c>
    </row>
    <row r="18" spans="1:4" x14ac:dyDescent="0.25">
      <c r="B18" s="1882">
        <v>0.9</v>
      </c>
      <c r="D18" s="1872" t="s">
        <v>1169</v>
      </c>
    </row>
    <row r="19" spans="1:4" x14ac:dyDescent="0.25">
      <c r="B19" s="1882">
        <v>1</v>
      </c>
      <c r="D19" s="1883" t="s">
        <v>558</v>
      </c>
    </row>
    <row r="20" spans="1:4" x14ac:dyDescent="0.25">
      <c r="D20" s="1883" t="s">
        <v>559</v>
      </c>
    </row>
    <row r="21" spans="1:4" x14ac:dyDescent="0.25">
      <c r="A21" s="1872" t="s">
        <v>1804</v>
      </c>
      <c r="B21" s="1872" t="s">
        <v>1169</v>
      </c>
    </row>
    <row r="22" spans="1:4" x14ac:dyDescent="0.25">
      <c r="B22" s="1884" t="s">
        <v>1717</v>
      </c>
      <c r="D22" s="1872">
        <v>0</v>
      </c>
    </row>
    <row r="23" spans="1:4" x14ac:dyDescent="0.25">
      <c r="B23" s="1884" t="s">
        <v>1718</v>
      </c>
      <c r="D23" s="1872">
        <v>1</v>
      </c>
    </row>
    <row r="24" spans="1:4" x14ac:dyDescent="0.25">
      <c r="B24" s="1884" t="s">
        <v>1719</v>
      </c>
    </row>
    <row r="25" spans="1:4" x14ac:dyDescent="0.25">
      <c r="B25" s="1884" t="s">
        <v>1720</v>
      </c>
      <c r="D25" s="1872">
        <v>0</v>
      </c>
    </row>
    <row r="26" spans="1:4" x14ac:dyDescent="0.25">
      <c r="B26" s="1884" t="s">
        <v>1721</v>
      </c>
      <c r="D26" s="1872">
        <v>3</v>
      </c>
    </row>
    <row r="27" spans="1:4" x14ac:dyDescent="0.25">
      <c r="B27" s="1884" t="s">
        <v>1722</v>
      </c>
    </row>
    <row r="28" spans="1:4" x14ac:dyDescent="0.25">
      <c r="B28" s="1884" t="s">
        <v>1723</v>
      </c>
      <c r="D28" s="1872">
        <v>0</v>
      </c>
    </row>
    <row r="29" spans="1:4" x14ac:dyDescent="0.25">
      <c r="B29" s="1884" t="s">
        <v>1724</v>
      </c>
      <c r="D29" s="1872">
        <v>2</v>
      </c>
    </row>
    <row r="30" spans="1:4" x14ac:dyDescent="0.25">
      <c r="B30" s="1884" t="s">
        <v>1725</v>
      </c>
      <c r="D30" s="1872">
        <v>0</v>
      </c>
    </row>
    <row r="31" spans="1:4" x14ac:dyDescent="0.25">
      <c r="B31" s="1884" t="s">
        <v>1726</v>
      </c>
      <c r="D31" s="1872">
        <v>4</v>
      </c>
    </row>
    <row r="32" spans="1:4" x14ac:dyDescent="0.25">
      <c r="B32" s="1884" t="s">
        <v>1727</v>
      </c>
      <c r="D32" s="1872">
        <v>8</v>
      </c>
    </row>
    <row r="34" spans="1:4" x14ac:dyDescent="0.25">
      <c r="A34" s="1884" t="s">
        <v>1805</v>
      </c>
      <c r="B34" s="1884" t="s">
        <v>1169</v>
      </c>
      <c r="D34" s="1872">
        <v>0</v>
      </c>
    </row>
    <row r="35" spans="1:4" x14ac:dyDescent="0.25">
      <c r="A35" s="1884"/>
      <c r="B35" s="1885" t="s">
        <v>1486</v>
      </c>
      <c r="D35" s="1872">
        <v>1</v>
      </c>
    </row>
    <row r="36" spans="1:4" x14ac:dyDescent="0.25">
      <c r="A36" s="1884"/>
      <c r="B36" s="1885"/>
    </row>
    <row r="37" spans="1:4" x14ac:dyDescent="0.25">
      <c r="A37" s="1884" t="s">
        <v>1818</v>
      </c>
      <c r="B37" s="1884" t="s">
        <v>1169</v>
      </c>
      <c r="D37" s="1872">
        <v>2</v>
      </c>
    </row>
    <row r="38" spans="1:4" x14ac:dyDescent="0.25">
      <c r="A38" s="1884"/>
      <c r="B38" s="1884" t="s">
        <v>1728</v>
      </c>
      <c r="D38" s="1872">
        <v>3</v>
      </c>
    </row>
    <row r="39" spans="1:4" x14ac:dyDescent="0.25">
      <c r="B39" s="1884" t="s">
        <v>1729</v>
      </c>
      <c r="D39" s="1872">
        <v>4</v>
      </c>
    </row>
    <row r="40" spans="1:4" x14ac:dyDescent="0.25">
      <c r="A40" s="1884"/>
      <c r="B40" s="1884" t="s">
        <v>1730</v>
      </c>
      <c r="D40" s="1872">
        <v>5</v>
      </c>
    </row>
    <row r="41" spans="1:4" x14ac:dyDescent="0.25">
      <c r="A41" s="1884"/>
      <c r="B41" s="1884" t="s">
        <v>1731</v>
      </c>
      <c r="D41" s="1872">
        <v>6</v>
      </c>
    </row>
    <row r="42" spans="1:4" x14ac:dyDescent="0.25">
      <c r="A42" s="1884"/>
      <c r="B42" s="1884" t="s">
        <v>1732</v>
      </c>
    </row>
    <row r="43" spans="1:4" x14ac:dyDescent="0.25">
      <c r="A43" s="1884"/>
      <c r="B43" s="1884"/>
    </row>
    <row r="44" spans="1:4" x14ac:dyDescent="0.25">
      <c r="A44" s="1884"/>
      <c r="B44" s="1884"/>
      <c r="D44" s="1872" t="s">
        <v>1154</v>
      </c>
    </row>
    <row r="45" spans="1:4" ht="18.75" x14ac:dyDescent="0.3">
      <c r="A45" s="1872" t="s">
        <v>1806</v>
      </c>
      <c r="B45" s="1872" t="s">
        <v>1169</v>
      </c>
      <c r="D45" s="1886" t="s">
        <v>580</v>
      </c>
    </row>
    <row r="46" spans="1:4" x14ac:dyDescent="0.25">
      <c r="B46" s="1872" t="s">
        <v>1487</v>
      </c>
      <c r="D46" s="1872">
        <v>0</v>
      </c>
    </row>
    <row r="47" spans="1:4" x14ac:dyDescent="0.25">
      <c r="B47" s="1872" t="s">
        <v>1488</v>
      </c>
      <c r="D47" s="1872">
        <v>3</v>
      </c>
    </row>
    <row r="48" spans="1:4" x14ac:dyDescent="0.25">
      <c r="B48" s="1872" t="s">
        <v>1489</v>
      </c>
      <c r="D48" s="1872">
        <v>6</v>
      </c>
    </row>
    <row r="50" spans="1:2" x14ac:dyDescent="0.25">
      <c r="A50" s="1872" t="s">
        <v>1807</v>
      </c>
      <c r="B50" s="1872" t="s">
        <v>1169</v>
      </c>
    </row>
    <row r="51" spans="1:2" x14ac:dyDescent="0.25">
      <c r="B51" s="1872" t="s">
        <v>1490</v>
      </c>
    </row>
    <row r="52" spans="1:2" x14ac:dyDescent="0.25">
      <c r="B52" s="1872" t="s">
        <v>1491</v>
      </c>
    </row>
    <row r="53" spans="1:2" x14ac:dyDescent="0.25">
      <c r="B53" s="1872" t="s">
        <v>1492</v>
      </c>
    </row>
    <row r="54" spans="1:2" x14ac:dyDescent="0.25">
      <c r="B54" s="1872" t="s">
        <v>1493</v>
      </c>
    </row>
    <row r="55" spans="1:2" x14ac:dyDescent="0.25">
      <c r="B55" s="1872" t="s">
        <v>1494</v>
      </c>
    </row>
    <row r="56" spans="1:2" x14ac:dyDescent="0.25">
      <c r="B56" s="1872" t="s">
        <v>1495</v>
      </c>
    </row>
    <row r="57" spans="1:2" x14ac:dyDescent="0.25">
      <c r="B57" s="1872" t="s">
        <v>1496</v>
      </c>
    </row>
    <row r="60" spans="1:2" x14ac:dyDescent="0.25">
      <c r="A60" s="1872" t="s">
        <v>1808</v>
      </c>
      <c r="B60" s="1872" t="s">
        <v>1733</v>
      </c>
    </row>
    <row r="61" spans="1:2" x14ac:dyDescent="0.25">
      <c r="B61" s="1872" t="s">
        <v>1734</v>
      </c>
    </row>
    <row r="62" spans="1:2" x14ac:dyDescent="0.25">
      <c r="B62" s="1872" t="s">
        <v>1735</v>
      </c>
    </row>
    <row r="63" spans="1:2" x14ac:dyDescent="0.25">
      <c r="B63" s="1872" t="s">
        <v>1736</v>
      </c>
    </row>
    <row r="64" spans="1:2" x14ac:dyDescent="0.25">
      <c r="B64" s="1872" t="s">
        <v>1737</v>
      </c>
    </row>
    <row r="65" spans="1:2" x14ac:dyDescent="0.25">
      <c r="B65" s="1872" t="s">
        <v>1208</v>
      </c>
    </row>
    <row r="66" spans="1:2" x14ac:dyDescent="0.25">
      <c r="A66" s="1884"/>
      <c r="B66" s="1884"/>
    </row>
    <row r="68" spans="1:2" x14ac:dyDescent="0.25">
      <c r="A68" s="1872" t="s">
        <v>1809</v>
      </c>
      <c r="B68" s="1872" t="s">
        <v>1169</v>
      </c>
    </row>
    <row r="69" spans="1:2" x14ac:dyDescent="0.25">
      <c r="B69" s="1872" t="s">
        <v>1497</v>
      </c>
    </row>
    <row r="70" spans="1:2" x14ac:dyDescent="0.25">
      <c r="B70" s="1872" t="s">
        <v>1498</v>
      </c>
    </row>
    <row r="71" spans="1:2" x14ac:dyDescent="0.25">
      <c r="B71" s="1872" t="s">
        <v>1499</v>
      </c>
    </row>
    <row r="72" spans="1:2" x14ac:dyDescent="0.25">
      <c r="B72" s="1872" t="s">
        <v>1738</v>
      </c>
    </row>
    <row r="75" spans="1:2" x14ac:dyDescent="0.25">
      <c r="A75" s="1884" t="s">
        <v>1810</v>
      </c>
      <c r="B75" s="1872" t="s">
        <v>1169</v>
      </c>
    </row>
    <row r="76" spans="1:2" x14ac:dyDescent="0.25">
      <c r="A76" s="1884"/>
      <c r="B76" s="1884" t="s">
        <v>1858</v>
      </c>
    </row>
    <row r="77" spans="1:2" x14ac:dyDescent="0.25">
      <c r="A77" s="1884"/>
      <c r="B77" s="1884" t="s">
        <v>1838</v>
      </c>
    </row>
    <row r="78" spans="1:2" x14ac:dyDescent="0.25">
      <c r="A78" s="1884"/>
      <c r="B78" s="1884" t="s">
        <v>1859</v>
      </c>
    </row>
    <row r="79" spans="1:2" x14ac:dyDescent="0.25">
      <c r="A79" s="1884"/>
      <c r="B79" s="1884"/>
    </row>
    <row r="80" spans="1:2" x14ac:dyDescent="0.25">
      <c r="A80" s="1884"/>
      <c r="B80" s="1884"/>
    </row>
    <row r="81" spans="1:2" x14ac:dyDescent="0.25">
      <c r="A81" s="1884" t="s">
        <v>1811</v>
      </c>
      <c r="B81" s="1872" t="s">
        <v>1169</v>
      </c>
    </row>
    <row r="82" spans="1:2" x14ac:dyDescent="0.25">
      <c r="A82" s="1884"/>
      <c r="B82" s="1884" t="s">
        <v>1739</v>
      </c>
    </row>
    <row r="83" spans="1:2" x14ac:dyDescent="0.25">
      <c r="A83" s="1884"/>
      <c r="B83" s="1884" t="s">
        <v>1740</v>
      </c>
    </row>
    <row r="86" spans="1:2" x14ac:dyDescent="0.25">
      <c r="A86" s="1872" t="s">
        <v>1812</v>
      </c>
      <c r="B86" s="1887">
        <v>0</v>
      </c>
    </row>
    <row r="87" spans="1:2" x14ac:dyDescent="0.25">
      <c r="B87" s="1887">
        <v>0.1</v>
      </c>
    </row>
    <row r="89" spans="1:2" x14ac:dyDescent="0.25">
      <c r="A89" s="1872" t="s">
        <v>1813</v>
      </c>
      <c r="B89" s="1887">
        <v>0</v>
      </c>
    </row>
    <row r="90" spans="1:2" x14ac:dyDescent="0.25">
      <c r="B90" s="1887">
        <v>0.3</v>
      </c>
    </row>
    <row r="91" spans="1:2" x14ac:dyDescent="0.25">
      <c r="B91" s="1887">
        <v>0.5</v>
      </c>
    </row>
    <row r="92" spans="1:2" x14ac:dyDescent="0.25">
      <c r="B92" s="1887">
        <v>0.7</v>
      </c>
    </row>
    <row r="93" spans="1:2" x14ac:dyDescent="0.25">
      <c r="B93" s="1887">
        <v>1</v>
      </c>
    </row>
    <row r="95" spans="1:2" x14ac:dyDescent="0.25">
      <c r="A95" s="1872" t="s">
        <v>1814</v>
      </c>
      <c r="B95" s="1887">
        <v>1</v>
      </c>
    </row>
    <row r="96" spans="1:2" x14ac:dyDescent="0.25">
      <c r="B96" s="1887">
        <v>0.9</v>
      </c>
    </row>
    <row r="97" spans="1:2" x14ac:dyDescent="0.25">
      <c r="B97" s="1887">
        <v>0.7</v>
      </c>
    </row>
    <row r="98" spans="1:2" x14ac:dyDescent="0.25">
      <c r="B98" s="1887">
        <v>0.5</v>
      </c>
    </row>
    <row r="99" spans="1:2" x14ac:dyDescent="0.25">
      <c r="B99" s="1887">
        <v>0.3</v>
      </c>
    </row>
    <row r="100" spans="1:2" x14ac:dyDescent="0.25">
      <c r="B100" s="1887">
        <v>0</v>
      </c>
    </row>
    <row r="102" spans="1:2" x14ac:dyDescent="0.25">
      <c r="A102" s="1872" t="s">
        <v>1815</v>
      </c>
      <c r="B102" s="1872" t="s">
        <v>1169</v>
      </c>
    </row>
    <row r="103" spans="1:2" x14ac:dyDescent="0.25">
      <c r="B103" s="1872" t="s">
        <v>1699</v>
      </c>
    </row>
    <row r="104" spans="1:2" x14ac:dyDescent="0.25">
      <c r="B104" s="1872" t="s">
        <v>1700</v>
      </c>
    </row>
    <row r="111" spans="1:2" x14ac:dyDescent="0.25">
      <c r="B111" s="1872" t="s">
        <v>1741</v>
      </c>
    </row>
    <row r="112" spans="1:2" x14ac:dyDescent="0.25">
      <c r="A112" s="1872" t="s">
        <v>1816</v>
      </c>
      <c r="B112" s="1872" t="s">
        <v>1169</v>
      </c>
    </row>
    <row r="113" spans="1:2" x14ac:dyDescent="0.25">
      <c r="B113" s="1872" t="s">
        <v>1742</v>
      </c>
    </row>
    <row r="114" spans="1:2" x14ac:dyDescent="0.25">
      <c r="A114" s="1872" t="s">
        <v>1817</v>
      </c>
      <c r="B114" s="1872" t="s">
        <v>1169</v>
      </c>
    </row>
    <row r="115" spans="1:2" x14ac:dyDescent="0.25">
      <c r="B115" s="2083" t="s">
        <v>1743</v>
      </c>
    </row>
  </sheetData>
  <sheetProtection algorithmName="SHA-512" hashValue="3kvbKfXyM7T7WKBxXNk5kaBbPjrtfIcU5wgACtp+S6Sx3JMLRt2KuUQT2OO5G6G5pr+1i6AD0kDNrApMKp74NA==" saltValue="C3pITkPV0VHwMLf3dWl+VA==" spinCount="100000" sheet="1" objects="1" scenarios="1"/>
  <dataConsolidate/>
  <pageMargins left="0.75" right="0.75" top="1" bottom="1" header="0.5" footer="0.5"/>
  <pageSetup scale="56" fitToHeight="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07"/>
  <sheetViews>
    <sheetView topLeftCell="A197" workbookViewId="0">
      <selection activeCell="B217" sqref="B217"/>
    </sheetView>
  </sheetViews>
  <sheetFormatPr defaultColWidth="9.140625" defaultRowHeight="15" x14ac:dyDescent="0.25"/>
  <cols>
    <col min="1" max="1" width="42" style="1948" customWidth="1"/>
    <col min="2" max="2" width="83" style="1948" bestFit="1" customWidth="1"/>
    <col min="3" max="16384" width="9.140625" style="1948"/>
  </cols>
  <sheetData>
    <row r="1" spans="1:2" x14ac:dyDescent="0.25">
      <c r="A1" s="1947"/>
    </row>
    <row r="2" spans="1:2" x14ac:dyDescent="0.25">
      <c r="A2" s="1948" t="s">
        <v>1820</v>
      </c>
      <c r="B2" s="1948" t="s">
        <v>1156</v>
      </c>
    </row>
    <row r="3" spans="1:2" x14ac:dyDescent="0.25">
      <c r="B3" s="1948" t="s">
        <v>1261</v>
      </c>
    </row>
    <row r="4" spans="1:2" x14ac:dyDescent="0.25">
      <c r="B4" s="1948" t="s">
        <v>1262</v>
      </c>
    </row>
    <row r="5" spans="1:2" x14ac:dyDescent="0.25">
      <c r="B5" s="1948" t="s">
        <v>1263</v>
      </c>
    </row>
    <row r="6" spans="1:2" x14ac:dyDescent="0.25">
      <c r="A6" s="1947"/>
      <c r="B6" s="1948" t="s">
        <v>1264</v>
      </c>
    </row>
    <row r="7" spans="1:2" x14ac:dyDescent="0.25">
      <c r="A7" s="1947"/>
      <c r="B7" s="1948" t="s">
        <v>1298</v>
      </c>
    </row>
    <row r="8" spans="1:2" x14ac:dyDescent="0.25">
      <c r="A8" s="1947"/>
      <c r="B8" s="1948" t="s">
        <v>1265</v>
      </c>
    </row>
    <row r="9" spans="1:2" x14ac:dyDescent="0.25">
      <c r="A9" s="1947"/>
      <c r="B9" s="1948" t="s">
        <v>1300</v>
      </c>
    </row>
    <row r="10" spans="1:2" x14ac:dyDescent="0.25">
      <c r="A10" s="1947"/>
      <c r="B10" s="1948" t="s">
        <v>1266</v>
      </c>
    </row>
    <row r="11" spans="1:2" x14ac:dyDescent="0.25">
      <c r="A11" s="1947"/>
      <c r="B11" s="1948" t="s">
        <v>1267</v>
      </c>
    </row>
    <row r="12" spans="1:2" x14ac:dyDescent="0.25">
      <c r="A12" s="1947"/>
      <c r="B12" s="1948" t="s">
        <v>1301</v>
      </c>
    </row>
    <row r="13" spans="1:2" x14ac:dyDescent="0.25">
      <c r="A13" s="1947"/>
      <c r="B13" s="1948" t="s">
        <v>1268</v>
      </c>
    </row>
    <row r="14" spans="1:2" x14ac:dyDescent="0.25">
      <c r="A14" s="1947"/>
      <c r="B14" s="1948" t="s">
        <v>1269</v>
      </c>
    </row>
    <row r="15" spans="1:2" x14ac:dyDescent="0.25">
      <c r="A15" s="1947"/>
      <c r="B15" s="1948" t="s">
        <v>1270</v>
      </c>
    </row>
    <row r="16" spans="1:2" x14ac:dyDescent="0.25">
      <c r="A16" s="1947"/>
      <c r="B16" s="1948" t="s">
        <v>1271</v>
      </c>
    </row>
    <row r="17" spans="1:2" x14ac:dyDescent="0.25">
      <c r="A17" s="1947"/>
      <c r="B17" s="1948" t="s">
        <v>1272</v>
      </c>
    </row>
    <row r="18" spans="1:2" x14ac:dyDescent="0.25">
      <c r="A18" s="1947"/>
      <c r="B18" s="1948" t="s">
        <v>1273</v>
      </c>
    </row>
    <row r="19" spans="1:2" x14ac:dyDescent="0.25">
      <c r="A19" s="1947"/>
      <c r="B19" s="1948" t="s">
        <v>1274</v>
      </c>
    </row>
    <row r="20" spans="1:2" x14ac:dyDescent="0.25">
      <c r="A20" s="1947"/>
      <c r="B20" s="1948" t="s">
        <v>1313</v>
      </c>
    </row>
    <row r="21" spans="1:2" x14ac:dyDescent="0.25">
      <c r="A21" s="1947"/>
    </row>
    <row r="22" spans="1:2" x14ac:dyDescent="0.25">
      <c r="A22" s="1947"/>
      <c r="B22" s="1948" t="s">
        <v>1154</v>
      </c>
    </row>
    <row r="23" spans="1:2" x14ac:dyDescent="0.25">
      <c r="A23" s="1948" t="s">
        <v>1822</v>
      </c>
      <c r="B23" s="1948" t="s">
        <v>1275</v>
      </c>
    </row>
    <row r="24" spans="1:2" x14ac:dyDescent="0.25">
      <c r="B24" s="1948" t="s">
        <v>1276</v>
      </c>
    </row>
    <row r="25" spans="1:2" x14ac:dyDescent="0.25">
      <c r="B25" s="1948" t="s">
        <v>1277</v>
      </c>
    </row>
    <row r="26" spans="1:2" x14ac:dyDescent="0.25">
      <c r="B26" s="1948" t="s">
        <v>1278</v>
      </c>
    </row>
    <row r="27" spans="1:2" x14ac:dyDescent="0.25">
      <c r="B27" s="1948" t="s">
        <v>1279</v>
      </c>
    </row>
    <row r="28" spans="1:2" x14ac:dyDescent="0.25">
      <c r="B28" s="1948" t="s">
        <v>1280</v>
      </c>
    </row>
    <row r="29" spans="1:2" x14ac:dyDescent="0.25">
      <c r="B29" s="1948" t="s">
        <v>1281</v>
      </c>
    </row>
    <row r="30" spans="1:2" x14ac:dyDescent="0.25">
      <c r="B30" s="1948" t="s">
        <v>1282</v>
      </c>
    </row>
    <row r="31" spans="1:2" x14ac:dyDescent="0.25">
      <c r="B31" s="1948" t="s">
        <v>1283</v>
      </c>
    </row>
    <row r="32" spans="1:2" x14ac:dyDescent="0.25">
      <c r="B32" s="1948" t="s">
        <v>1284</v>
      </c>
    </row>
    <row r="33" spans="1:2" x14ac:dyDescent="0.25">
      <c r="B33" s="1949" t="s">
        <v>1759</v>
      </c>
    </row>
    <row r="34" spans="1:2" x14ac:dyDescent="0.25">
      <c r="B34" s="1948" t="s">
        <v>1285</v>
      </c>
    </row>
    <row r="35" spans="1:2" x14ac:dyDescent="0.25">
      <c r="B35" s="1949" t="s">
        <v>1327</v>
      </c>
    </row>
    <row r="36" spans="1:2" x14ac:dyDescent="0.25">
      <c r="B36" s="1949" t="s">
        <v>1760</v>
      </c>
    </row>
    <row r="37" spans="1:2" x14ac:dyDescent="0.25">
      <c r="B37" s="1949" t="s">
        <v>1761</v>
      </c>
    </row>
    <row r="38" spans="1:2" x14ac:dyDescent="0.25">
      <c r="B38" s="1949" t="s">
        <v>1762</v>
      </c>
    </row>
    <row r="39" spans="1:2" x14ac:dyDescent="0.25">
      <c r="B39" s="1949" t="s">
        <v>1763</v>
      </c>
    </row>
    <row r="40" spans="1:2" x14ac:dyDescent="0.25">
      <c r="B40" s="1948" t="s">
        <v>1286</v>
      </c>
    </row>
    <row r="41" spans="1:2" x14ac:dyDescent="0.25">
      <c r="B41" s="1948" t="s">
        <v>1287</v>
      </c>
    </row>
    <row r="42" spans="1:2" x14ac:dyDescent="0.25">
      <c r="B42" s="1948" t="s">
        <v>1288</v>
      </c>
    </row>
    <row r="44" spans="1:2" x14ac:dyDescent="0.25">
      <c r="A44" s="1947"/>
      <c r="B44" s="1948" t="s">
        <v>1152</v>
      </c>
    </row>
    <row r="45" spans="1:2" x14ac:dyDescent="0.25">
      <c r="A45" s="1948" t="s">
        <v>1821</v>
      </c>
      <c r="B45" s="1948" t="s">
        <v>1289</v>
      </c>
    </row>
    <row r="46" spans="1:2" x14ac:dyDescent="0.25">
      <c r="B46" s="1948" t="s">
        <v>1290</v>
      </c>
    </row>
    <row r="47" spans="1:2" x14ac:dyDescent="0.25">
      <c r="B47" s="1948" t="s">
        <v>1291</v>
      </c>
    </row>
    <row r="48" spans="1:2" x14ac:dyDescent="0.25">
      <c r="B48" s="1948" t="s">
        <v>1292</v>
      </c>
    </row>
    <row r="49" spans="2:2" x14ac:dyDescent="0.25">
      <c r="B49" s="1948" t="s">
        <v>1293</v>
      </c>
    </row>
    <row r="50" spans="2:2" x14ac:dyDescent="0.25">
      <c r="B50" s="1948" t="s">
        <v>1294</v>
      </c>
    </row>
    <row r="51" spans="2:2" x14ac:dyDescent="0.25">
      <c r="B51" s="1948" t="s">
        <v>1295</v>
      </c>
    </row>
    <row r="52" spans="2:2" x14ac:dyDescent="0.25">
      <c r="B52" s="1948" t="s">
        <v>1296</v>
      </c>
    </row>
    <row r="53" spans="2:2" x14ac:dyDescent="0.25">
      <c r="B53" s="1948" t="s">
        <v>1297</v>
      </c>
    </row>
    <row r="54" spans="2:2" x14ac:dyDescent="0.25">
      <c r="B54" s="1948" t="s">
        <v>534</v>
      </c>
    </row>
    <row r="55" spans="2:2" x14ac:dyDescent="0.25">
      <c r="B55" s="1948" t="s">
        <v>1299</v>
      </c>
    </row>
    <row r="56" spans="2:2" x14ac:dyDescent="0.25">
      <c r="B56" s="1948" t="s">
        <v>1302</v>
      </c>
    </row>
    <row r="57" spans="2:2" x14ac:dyDescent="0.25">
      <c r="B57" s="1948" t="s">
        <v>1303</v>
      </c>
    </row>
    <row r="58" spans="2:2" x14ac:dyDescent="0.25">
      <c r="B58" s="1948" t="s">
        <v>1304</v>
      </c>
    </row>
    <row r="59" spans="2:2" x14ac:dyDescent="0.25">
      <c r="B59" s="1948" t="s">
        <v>1305</v>
      </c>
    </row>
    <row r="60" spans="2:2" x14ac:dyDescent="0.25">
      <c r="B60" s="1948" t="s">
        <v>1306</v>
      </c>
    </row>
    <row r="61" spans="2:2" x14ac:dyDescent="0.25">
      <c r="B61" s="1948" t="s">
        <v>1307</v>
      </c>
    </row>
    <row r="62" spans="2:2" x14ac:dyDescent="0.25">
      <c r="B62" s="1948" t="s">
        <v>1308</v>
      </c>
    </row>
    <row r="63" spans="2:2" x14ac:dyDescent="0.25">
      <c r="B63" s="1948" t="s">
        <v>1309</v>
      </c>
    </row>
    <row r="64" spans="2:2" x14ac:dyDescent="0.25">
      <c r="B64" s="1948" t="s">
        <v>1310</v>
      </c>
    </row>
    <row r="65" spans="1:2" x14ac:dyDescent="0.25">
      <c r="B65" s="1948" t="s">
        <v>1311</v>
      </c>
    </row>
    <row r="66" spans="1:2" x14ac:dyDescent="0.25">
      <c r="B66" s="1948" t="s">
        <v>1312</v>
      </c>
    </row>
    <row r="67" spans="1:2" x14ac:dyDescent="0.25">
      <c r="B67" s="1948" t="s">
        <v>1314</v>
      </c>
    </row>
    <row r="69" spans="1:2" x14ac:dyDescent="0.25">
      <c r="A69" s="1947"/>
      <c r="B69" s="1948" t="s">
        <v>1154</v>
      </c>
    </row>
    <row r="70" spans="1:2" x14ac:dyDescent="0.25">
      <c r="A70" s="1948" t="s">
        <v>1823</v>
      </c>
      <c r="B70" s="1948" t="s">
        <v>1315</v>
      </c>
    </row>
    <row r="71" spans="1:2" x14ac:dyDescent="0.25">
      <c r="B71" s="1948" t="s">
        <v>1316</v>
      </c>
    </row>
    <row r="72" spans="1:2" x14ac:dyDescent="0.25">
      <c r="B72" s="1948" t="s">
        <v>1317</v>
      </c>
    </row>
    <row r="73" spans="1:2" x14ac:dyDescent="0.25">
      <c r="B73" s="1948" t="s">
        <v>1318</v>
      </c>
    </row>
    <row r="74" spans="1:2" x14ac:dyDescent="0.25">
      <c r="B74" s="1948" t="s">
        <v>1319</v>
      </c>
    </row>
    <row r="75" spans="1:2" x14ac:dyDescent="0.25">
      <c r="B75" s="1948" t="s">
        <v>1320</v>
      </c>
    </row>
    <row r="76" spans="1:2" x14ac:dyDescent="0.25">
      <c r="B76" s="1948" t="s">
        <v>1321</v>
      </c>
    </row>
    <row r="77" spans="1:2" x14ac:dyDescent="0.25">
      <c r="B77" s="1948" t="s">
        <v>1322</v>
      </c>
    </row>
    <row r="78" spans="1:2" x14ac:dyDescent="0.25">
      <c r="B78" s="1948" t="s">
        <v>1323</v>
      </c>
    </row>
    <row r="79" spans="1:2" x14ac:dyDescent="0.25">
      <c r="B79" s="1948" t="s">
        <v>1324</v>
      </c>
    </row>
    <row r="80" spans="1:2" x14ac:dyDescent="0.25">
      <c r="B80" s="1948" t="s">
        <v>1325</v>
      </c>
    </row>
    <row r="81" spans="1:2" x14ac:dyDescent="0.25">
      <c r="B81" s="1948" t="s">
        <v>1326</v>
      </c>
    </row>
    <row r="82" spans="1:2" x14ac:dyDescent="0.25">
      <c r="B82" s="1948" t="s">
        <v>1327</v>
      </c>
    </row>
    <row r="83" spans="1:2" x14ac:dyDescent="0.25">
      <c r="B83" s="1948" t="s">
        <v>1328</v>
      </c>
    </row>
    <row r="84" spans="1:2" x14ac:dyDescent="0.25">
      <c r="B84" s="1948" t="s">
        <v>1329</v>
      </c>
    </row>
    <row r="85" spans="1:2" x14ac:dyDescent="0.25">
      <c r="B85" s="1949" t="s">
        <v>1764</v>
      </c>
    </row>
    <row r="86" spans="1:2" x14ac:dyDescent="0.25">
      <c r="B86" s="1949" t="s">
        <v>1763</v>
      </c>
    </row>
    <row r="87" spans="1:2" x14ac:dyDescent="0.25">
      <c r="B87" s="1949" t="s">
        <v>1765</v>
      </c>
    </row>
    <row r="88" spans="1:2" x14ac:dyDescent="0.25">
      <c r="B88" s="1949" t="s">
        <v>1766</v>
      </c>
    </row>
    <row r="89" spans="1:2" x14ac:dyDescent="0.25">
      <c r="B89" s="1949" t="s">
        <v>1767</v>
      </c>
    </row>
    <row r="91" spans="1:2" x14ac:dyDescent="0.25">
      <c r="A91" s="1947"/>
      <c r="B91" s="1950">
        <v>0</v>
      </c>
    </row>
    <row r="92" spans="1:2" x14ac:dyDescent="0.25">
      <c r="A92" s="1948" t="s">
        <v>1824</v>
      </c>
      <c r="B92" s="1950">
        <v>0.1</v>
      </c>
    </row>
    <row r="93" spans="1:2" x14ac:dyDescent="0.25">
      <c r="B93" s="1950">
        <v>0.2</v>
      </c>
    </row>
    <row r="94" spans="1:2" x14ac:dyDescent="0.25">
      <c r="B94" s="1950">
        <v>0.25</v>
      </c>
    </row>
    <row r="95" spans="1:2" x14ac:dyDescent="0.25">
      <c r="B95" s="1950">
        <v>0.3</v>
      </c>
    </row>
    <row r="96" spans="1:2" x14ac:dyDescent="0.25">
      <c r="B96" s="1950">
        <v>0.4</v>
      </c>
    </row>
    <row r="97" spans="1:2" x14ac:dyDescent="0.25">
      <c r="B97" s="1950">
        <v>0.5</v>
      </c>
    </row>
    <row r="98" spans="1:2" x14ac:dyDescent="0.25">
      <c r="B98" s="1950">
        <v>0.6</v>
      </c>
    </row>
    <row r="99" spans="1:2" x14ac:dyDescent="0.25">
      <c r="B99" s="1950">
        <v>0.75</v>
      </c>
    </row>
    <row r="100" spans="1:2" x14ac:dyDescent="0.25">
      <c r="B100" s="1950">
        <v>1</v>
      </c>
    </row>
    <row r="102" spans="1:2" x14ac:dyDescent="0.25">
      <c r="A102" s="1947"/>
      <c r="B102" s="1948" t="s">
        <v>1169</v>
      </c>
    </row>
    <row r="103" spans="1:2" x14ac:dyDescent="0.25">
      <c r="A103" s="1948" t="s">
        <v>1825</v>
      </c>
      <c r="B103" s="1951" t="s">
        <v>1330</v>
      </c>
    </row>
    <row r="104" spans="1:2" x14ac:dyDescent="0.25">
      <c r="B104" s="1951" t="s">
        <v>1331</v>
      </c>
    </row>
    <row r="105" spans="1:2" x14ac:dyDescent="0.25">
      <c r="B105" s="1951" t="s">
        <v>1332</v>
      </c>
    </row>
    <row r="106" spans="1:2" x14ac:dyDescent="0.25">
      <c r="B106" s="1951" t="s">
        <v>1333</v>
      </c>
    </row>
    <row r="107" spans="1:2" x14ac:dyDescent="0.25">
      <c r="B107" s="1951" t="s">
        <v>1334</v>
      </c>
    </row>
    <row r="108" spans="1:2" x14ac:dyDescent="0.25">
      <c r="B108" s="1951" t="s">
        <v>1335</v>
      </c>
    </row>
    <row r="109" spans="1:2" x14ac:dyDescent="0.25">
      <c r="B109" s="1951" t="s">
        <v>1336</v>
      </c>
    </row>
    <row r="110" spans="1:2" x14ac:dyDescent="0.25">
      <c r="B110" s="1951" t="s">
        <v>1337</v>
      </c>
    </row>
    <row r="111" spans="1:2" x14ac:dyDescent="0.25">
      <c r="B111" s="1951" t="s">
        <v>1338</v>
      </c>
    </row>
    <row r="112" spans="1:2" x14ac:dyDescent="0.25">
      <c r="B112" s="1951" t="s">
        <v>1339</v>
      </c>
    </row>
    <row r="113" spans="1:2" x14ac:dyDescent="0.25">
      <c r="B113" s="1951" t="s">
        <v>1340</v>
      </c>
    </row>
    <row r="114" spans="1:2" x14ac:dyDescent="0.25">
      <c r="B114" s="1951" t="s">
        <v>1341</v>
      </c>
    </row>
    <row r="115" spans="1:2" x14ac:dyDescent="0.25">
      <c r="B115" s="1951" t="s">
        <v>1342</v>
      </c>
    </row>
    <row r="116" spans="1:2" x14ac:dyDescent="0.25">
      <c r="B116" s="1951" t="s">
        <v>1343</v>
      </c>
    </row>
    <row r="117" spans="1:2" x14ac:dyDescent="0.25">
      <c r="B117" s="1951" t="s">
        <v>1344</v>
      </c>
    </row>
    <row r="118" spans="1:2" x14ac:dyDescent="0.25">
      <c r="B118" s="1951" t="s">
        <v>1345</v>
      </c>
    </row>
    <row r="119" spans="1:2" x14ac:dyDescent="0.25">
      <c r="B119" s="1951" t="s">
        <v>1346</v>
      </c>
    </row>
    <row r="120" spans="1:2" x14ac:dyDescent="0.25">
      <c r="B120" s="1951" t="s">
        <v>1347</v>
      </c>
    </row>
    <row r="121" spans="1:2" x14ac:dyDescent="0.25">
      <c r="B121" s="1951" t="s">
        <v>1348</v>
      </c>
    </row>
    <row r="122" spans="1:2" x14ac:dyDescent="0.25">
      <c r="B122" s="1951" t="s">
        <v>1349</v>
      </c>
    </row>
    <row r="123" spans="1:2" x14ac:dyDescent="0.25">
      <c r="B123" s="1951" t="s">
        <v>1350</v>
      </c>
    </row>
    <row r="124" spans="1:2" x14ac:dyDescent="0.25">
      <c r="B124" s="1951" t="s">
        <v>1351</v>
      </c>
    </row>
    <row r="126" spans="1:2" x14ac:dyDescent="0.25">
      <c r="A126" s="1951"/>
      <c r="B126" s="1951" t="s">
        <v>1169</v>
      </c>
    </row>
    <row r="127" spans="1:2" x14ac:dyDescent="0.25">
      <c r="A127" s="1951" t="s">
        <v>1826</v>
      </c>
      <c r="B127" s="1952" t="s">
        <v>1352</v>
      </c>
    </row>
    <row r="128" spans="1:2" x14ac:dyDescent="0.25">
      <c r="A128" s="1951"/>
      <c r="B128" s="1952" t="s">
        <v>1768</v>
      </c>
    </row>
    <row r="129" spans="1:2" x14ac:dyDescent="0.25">
      <c r="A129" s="1951"/>
    </row>
    <row r="130" spans="1:2" x14ac:dyDescent="0.25">
      <c r="A130" s="1951"/>
    </row>
    <row r="131" spans="1:2" x14ac:dyDescent="0.25">
      <c r="A131" s="1951"/>
      <c r="B131" s="1952"/>
    </row>
    <row r="132" spans="1:2" x14ac:dyDescent="0.25">
      <c r="A132" s="1951"/>
      <c r="B132" s="1951"/>
    </row>
    <row r="133" spans="1:2" x14ac:dyDescent="0.25">
      <c r="A133" s="1951"/>
      <c r="B133" s="1951" t="s">
        <v>1169</v>
      </c>
    </row>
    <row r="134" spans="1:2" x14ac:dyDescent="0.25">
      <c r="A134" s="1951" t="s">
        <v>1827</v>
      </c>
      <c r="B134" s="1951" t="s">
        <v>1769</v>
      </c>
    </row>
    <row r="135" spans="1:2" x14ac:dyDescent="0.25">
      <c r="A135" s="1951"/>
      <c r="B135" s="1951" t="s">
        <v>1353</v>
      </c>
    </row>
    <row r="136" spans="1:2" x14ac:dyDescent="0.25">
      <c r="A136" s="1951"/>
      <c r="B136" s="1952" t="s">
        <v>1354</v>
      </c>
    </row>
    <row r="137" spans="1:2" x14ac:dyDescent="0.25">
      <c r="A137" s="1951"/>
      <c r="B137" s="1952" t="s">
        <v>1355</v>
      </c>
    </row>
    <row r="138" spans="1:2" x14ac:dyDescent="0.25">
      <c r="A138" s="1951"/>
      <c r="B138" s="1952" t="s">
        <v>1356</v>
      </c>
    </row>
    <row r="139" spans="1:2" x14ac:dyDescent="0.25">
      <c r="A139" s="1951"/>
      <c r="B139" s="1953" t="s">
        <v>1357</v>
      </c>
    </row>
    <row r="140" spans="1:2" x14ac:dyDescent="0.25">
      <c r="A140" s="1951"/>
      <c r="B140" s="1953" t="s">
        <v>1358</v>
      </c>
    </row>
    <row r="141" spans="1:2" x14ac:dyDescent="0.25">
      <c r="A141" s="1951"/>
      <c r="B141" s="1953" t="s">
        <v>1359</v>
      </c>
    </row>
    <row r="142" spans="1:2" x14ac:dyDescent="0.25">
      <c r="A142" s="1951"/>
      <c r="B142" s="1951"/>
    </row>
    <row r="143" spans="1:2" x14ac:dyDescent="0.25">
      <c r="A143" s="1951"/>
      <c r="B143" s="1951" t="s">
        <v>1183</v>
      </c>
    </row>
    <row r="144" spans="1:2" x14ac:dyDescent="0.25">
      <c r="A144" s="1951" t="s">
        <v>1828</v>
      </c>
      <c r="B144" s="1951" t="s">
        <v>1360</v>
      </c>
    </row>
    <row r="145" spans="1:2" x14ac:dyDescent="0.25">
      <c r="B145" s="1951" t="s">
        <v>1361</v>
      </c>
    </row>
    <row r="146" spans="1:2" x14ac:dyDescent="0.25">
      <c r="A146" s="1951"/>
      <c r="B146" s="1951" t="s">
        <v>1362</v>
      </c>
    </row>
    <row r="147" spans="1:2" x14ac:dyDescent="0.25">
      <c r="A147" s="1951"/>
      <c r="B147" s="1951" t="s">
        <v>1363</v>
      </c>
    </row>
    <row r="148" spans="1:2" x14ac:dyDescent="0.25">
      <c r="A148" s="1951"/>
      <c r="B148" s="1951" t="s">
        <v>1364</v>
      </c>
    </row>
    <row r="149" spans="1:2" x14ac:dyDescent="0.25">
      <c r="A149" s="1951"/>
      <c r="B149" s="1951" t="s">
        <v>1365</v>
      </c>
    </row>
    <row r="150" spans="1:2" x14ac:dyDescent="0.25">
      <c r="A150" s="1951"/>
      <c r="B150" s="1951" t="s">
        <v>1366</v>
      </c>
    </row>
    <row r="151" spans="1:2" x14ac:dyDescent="0.25">
      <c r="A151" s="1951"/>
    </row>
    <row r="152" spans="1:2" x14ac:dyDescent="0.25">
      <c r="A152" s="1951"/>
      <c r="B152" s="1948" t="s">
        <v>1367</v>
      </c>
    </row>
    <row r="153" spans="1:2" x14ac:dyDescent="0.25">
      <c r="A153" s="1951" t="s">
        <v>1829</v>
      </c>
      <c r="B153" s="1953" t="s">
        <v>1368</v>
      </c>
    </row>
    <row r="154" spans="1:2" x14ac:dyDescent="0.25">
      <c r="B154" s="1953" t="s">
        <v>1369</v>
      </c>
    </row>
    <row r="155" spans="1:2" x14ac:dyDescent="0.25">
      <c r="A155" s="1951"/>
      <c r="B155" s="1953">
        <v>2060</v>
      </c>
    </row>
    <row r="156" spans="1:2" x14ac:dyDescent="0.25">
      <c r="A156" s="1951"/>
      <c r="B156" s="1953">
        <v>2163</v>
      </c>
    </row>
    <row r="157" spans="1:2" x14ac:dyDescent="0.25">
      <c r="A157" s="1951"/>
      <c r="B157" s="1953" t="s">
        <v>1370</v>
      </c>
    </row>
    <row r="158" spans="1:2" x14ac:dyDescent="0.25">
      <c r="A158" s="1951"/>
      <c r="B158" s="1951" t="s">
        <v>1371</v>
      </c>
    </row>
    <row r="159" spans="1:2" x14ac:dyDescent="0.25">
      <c r="A159" s="1951"/>
      <c r="B159" s="1951" t="s">
        <v>1372</v>
      </c>
    </row>
    <row r="160" spans="1:2" x14ac:dyDescent="0.25">
      <c r="A160" s="1951"/>
      <c r="B160" s="1951" t="s">
        <v>1373</v>
      </c>
    </row>
    <row r="161" spans="1:2" x14ac:dyDescent="0.25">
      <c r="A161" s="1951"/>
      <c r="B161" s="1951" t="s">
        <v>1374</v>
      </c>
    </row>
    <row r="162" spans="1:2" x14ac:dyDescent="0.25">
      <c r="A162" s="1951"/>
      <c r="B162" s="1951" t="s">
        <v>1375</v>
      </c>
    </row>
    <row r="163" spans="1:2" x14ac:dyDescent="0.25">
      <c r="A163" s="1951"/>
      <c r="B163" s="1951" t="s">
        <v>1376</v>
      </c>
    </row>
    <row r="164" spans="1:2" x14ac:dyDescent="0.25">
      <c r="A164" s="1951"/>
      <c r="B164" s="1951" t="s">
        <v>1377</v>
      </c>
    </row>
    <row r="165" spans="1:2" x14ac:dyDescent="0.25">
      <c r="A165" s="1951"/>
      <c r="B165" s="1951"/>
    </row>
    <row r="166" spans="1:2" x14ac:dyDescent="0.25">
      <c r="A166" s="1951"/>
      <c r="B166" s="1951" t="s">
        <v>1367</v>
      </c>
    </row>
    <row r="167" spans="1:2" x14ac:dyDescent="0.25">
      <c r="A167" s="1951" t="s">
        <v>1830</v>
      </c>
      <c r="B167" s="1951" t="s">
        <v>199</v>
      </c>
    </row>
    <row r="168" spans="1:2" x14ac:dyDescent="0.25">
      <c r="B168" s="1951" t="s">
        <v>1378</v>
      </c>
    </row>
    <row r="169" spans="1:2" x14ac:dyDescent="0.25">
      <c r="A169" s="1951"/>
      <c r="B169" s="1951" t="s">
        <v>1370</v>
      </c>
    </row>
    <row r="170" spans="1:2" x14ac:dyDescent="0.25">
      <c r="A170" s="1951"/>
      <c r="B170" s="1951" t="s">
        <v>1379</v>
      </c>
    </row>
    <row r="171" spans="1:2" x14ac:dyDescent="0.25">
      <c r="A171" s="1951"/>
      <c r="B171" s="1951" t="s">
        <v>1380</v>
      </c>
    </row>
    <row r="172" spans="1:2" x14ac:dyDescent="0.25">
      <c r="A172" s="1951"/>
      <c r="B172" s="1951" t="s">
        <v>1381</v>
      </c>
    </row>
    <row r="173" spans="1:2" x14ac:dyDescent="0.25">
      <c r="A173" s="1951"/>
      <c r="B173" s="1951"/>
    </row>
    <row r="174" spans="1:2" x14ac:dyDescent="0.25">
      <c r="A174" s="1951"/>
      <c r="B174" s="1948" t="s">
        <v>1154</v>
      </c>
    </row>
    <row r="175" spans="1:2" x14ac:dyDescent="0.25">
      <c r="A175" s="1951" t="s">
        <v>1831</v>
      </c>
      <c r="B175" s="1953" t="s">
        <v>1382</v>
      </c>
    </row>
    <row r="176" spans="1:2" x14ac:dyDescent="0.25">
      <c r="A176" s="1951"/>
      <c r="B176" s="1953" t="s">
        <v>1383</v>
      </c>
    </row>
    <row r="177" spans="1:2" x14ac:dyDescent="0.25">
      <c r="A177" s="1951"/>
      <c r="B177" s="1953" t="s">
        <v>1384</v>
      </c>
    </row>
    <row r="178" spans="1:2" x14ac:dyDescent="0.25">
      <c r="A178" s="1951"/>
      <c r="B178" s="1953" t="s">
        <v>1385</v>
      </c>
    </row>
    <row r="179" spans="1:2" x14ac:dyDescent="0.25">
      <c r="A179" s="1951"/>
      <c r="B179" s="1953" t="s">
        <v>1386</v>
      </c>
    </row>
    <row r="180" spans="1:2" x14ac:dyDescent="0.25">
      <c r="A180" s="1951"/>
      <c r="B180" s="1951" t="s">
        <v>1387</v>
      </c>
    </row>
    <row r="181" spans="1:2" x14ac:dyDescent="0.25">
      <c r="A181" s="1951"/>
      <c r="B181" s="1951"/>
    </row>
    <row r="182" spans="1:2" x14ac:dyDescent="0.25">
      <c r="A182" s="1951"/>
      <c r="B182" s="1951" t="s">
        <v>1388</v>
      </c>
    </row>
    <row r="183" spans="1:2" x14ac:dyDescent="0.25">
      <c r="A183" s="1951" t="s">
        <v>1832</v>
      </c>
      <c r="B183" s="1951" t="s">
        <v>1389</v>
      </c>
    </row>
    <row r="184" spans="1:2" x14ac:dyDescent="0.25">
      <c r="A184" s="1951"/>
      <c r="B184" s="1951" t="s">
        <v>1390</v>
      </c>
    </row>
    <row r="185" spans="1:2" x14ac:dyDescent="0.25">
      <c r="A185" s="1951"/>
      <c r="B185" s="1951"/>
    </row>
    <row r="186" spans="1:2" x14ac:dyDescent="0.25">
      <c r="A186" s="1951"/>
      <c r="B186" s="1948" t="s">
        <v>1770</v>
      </c>
    </row>
    <row r="187" spans="1:2" x14ac:dyDescent="0.25">
      <c r="A187" s="1951" t="s">
        <v>1833</v>
      </c>
      <c r="B187" s="1951" t="s">
        <v>1771</v>
      </c>
    </row>
    <row r="188" spans="1:2" x14ac:dyDescent="0.25">
      <c r="A188" s="1951"/>
      <c r="B188" s="1951" t="s">
        <v>1772</v>
      </c>
    </row>
    <row r="189" spans="1:2" x14ac:dyDescent="0.25">
      <c r="A189" s="1951"/>
      <c r="B189" s="1951" t="s">
        <v>1773</v>
      </c>
    </row>
    <row r="190" spans="1:2" x14ac:dyDescent="0.25">
      <c r="A190" s="1951"/>
      <c r="B190" s="1954" t="s">
        <v>315</v>
      </c>
    </row>
    <row r="191" spans="1:2" x14ac:dyDescent="0.25">
      <c r="A191" s="1951"/>
      <c r="B191" s="1951"/>
    </row>
    <row r="192" spans="1:2" x14ac:dyDescent="0.25">
      <c r="A192" s="1951"/>
      <c r="B192" s="1951" t="s">
        <v>1391</v>
      </c>
    </row>
    <row r="193" spans="1:2" x14ac:dyDescent="0.25">
      <c r="A193" s="1951" t="s">
        <v>1834</v>
      </c>
      <c r="B193" s="1951" t="s">
        <v>1392</v>
      </c>
    </row>
    <row r="194" spans="1:2" x14ac:dyDescent="0.25">
      <c r="A194" s="1951"/>
      <c r="B194" s="1951" t="s">
        <v>1393</v>
      </c>
    </row>
    <row r="195" spans="1:2" x14ac:dyDescent="0.25">
      <c r="A195" s="1951"/>
      <c r="B195" s="1951" t="s">
        <v>1394</v>
      </c>
    </row>
    <row r="196" spans="1:2" x14ac:dyDescent="0.25">
      <c r="A196" s="1951"/>
      <c r="B196" s="1951" t="s">
        <v>1395</v>
      </c>
    </row>
    <row r="197" spans="1:2" x14ac:dyDescent="0.25">
      <c r="A197" s="1951"/>
      <c r="B197" s="1951" t="s">
        <v>1208</v>
      </c>
    </row>
    <row r="198" spans="1:2" x14ac:dyDescent="0.25">
      <c r="A198" s="1951"/>
      <c r="B198" s="1951"/>
    </row>
    <row r="199" spans="1:2" x14ac:dyDescent="0.25">
      <c r="A199" s="1951"/>
      <c r="B199" s="1951" t="s">
        <v>1854</v>
      </c>
    </row>
    <row r="200" spans="1:2" x14ac:dyDescent="0.25">
      <c r="A200" s="1951"/>
      <c r="B200" s="1951" t="s">
        <v>1774</v>
      </c>
    </row>
    <row r="201" spans="1:2" x14ac:dyDescent="0.25">
      <c r="A201" s="1951" t="s">
        <v>1835</v>
      </c>
      <c r="B201" s="1951" t="s">
        <v>1775</v>
      </c>
    </row>
    <row r="202" spans="1:2" x14ac:dyDescent="0.25">
      <c r="A202" s="1951"/>
      <c r="B202" s="1951" t="s">
        <v>1776</v>
      </c>
    </row>
    <row r="203" spans="1:2" x14ac:dyDescent="0.25">
      <c r="A203" s="1951"/>
      <c r="B203" s="1951"/>
    </row>
    <row r="204" spans="1:2" x14ac:dyDescent="0.25">
      <c r="A204" s="1951"/>
      <c r="B204" s="1951"/>
    </row>
    <row r="205" spans="1:2" x14ac:dyDescent="0.25">
      <c r="A205" s="1951"/>
      <c r="B205" s="1951"/>
    </row>
    <row r="206" spans="1:2" x14ac:dyDescent="0.25">
      <c r="A206" s="1951"/>
      <c r="B206" s="1951"/>
    </row>
    <row r="207" spans="1:2" x14ac:dyDescent="0.25">
      <c r="A207" s="1951"/>
      <c r="B207" s="1951" t="s">
        <v>1218</v>
      </c>
    </row>
    <row r="208" spans="1:2" x14ac:dyDescent="0.25">
      <c r="A208" s="1951" t="s">
        <v>1836</v>
      </c>
      <c r="B208" s="1951" t="s">
        <v>1396</v>
      </c>
    </row>
    <row r="209" spans="1:2" x14ac:dyDescent="0.25">
      <c r="A209" s="1951"/>
      <c r="B209" s="1951" t="s">
        <v>1397</v>
      </c>
    </row>
    <row r="210" spans="1:2" x14ac:dyDescent="0.25">
      <c r="A210" s="1951"/>
      <c r="B210" s="1951"/>
    </row>
    <row r="211" spans="1:2" x14ac:dyDescent="0.25">
      <c r="A211" s="1951"/>
      <c r="B211" s="1951" t="s">
        <v>1398</v>
      </c>
    </row>
    <row r="212" spans="1:2" x14ac:dyDescent="0.25">
      <c r="A212" s="1951" t="s">
        <v>1837</v>
      </c>
      <c r="B212" s="1951" t="s">
        <v>1399</v>
      </c>
    </row>
    <row r="213" spans="1:2" x14ac:dyDescent="0.25">
      <c r="A213" s="1951"/>
      <c r="B213" s="1951" t="s">
        <v>1400</v>
      </c>
    </row>
    <row r="214" spans="1:2" x14ac:dyDescent="0.25">
      <c r="A214" s="1951"/>
      <c r="B214" s="1951" t="s">
        <v>1401</v>
      </c>
    </row>
    <row r="215" spans="1:2" x14ac:dyDescent="0.25">
      <c r="A215" s="1951"/>
      <c r="B215" s="1951" t="s">
        <v>1402</v>
      </c>
    </row>
    <row r="216" spans="1:2" x14ac:dyDescent="0.25">
      <c r="A216" s="1951"/>
      <c r="B216" s="1951" t="s">
        <v>1403</v>
      </c>
    </row>
    <row r="217" spans="1:2" x14ac:dyDescent="0.25">
      <c r="A217" s="1951"/>
      <c r="B217" s="1951" t="s">
        <v>1404</v>
      </c>
    </row>
    <row r="218" spans="1:2" x14ac:dyDescent="0.25">
      <c r="A218" s="1951"/>
      <c r="B218" s="1951" t="s">
        <v>1405</v>
      </c>
    </row>
    <row r="219" spans="1:2" x14ac:dyDescent="0.25">
      <c r="A219" s="1951"/>
      <c r="B219" s="1951" t="s">
        <v>1406</v>
      </c>
    </row>
    <row r="220" spans="1:2" x14ac:dyDescent="0.25">
      <c r="A220" s="1951"/>
      <c r="B220" s="1951" t="s">
        <v>1407</v>
      </c>
    </row>
    <row r="221" spans="1:2" x14ac:dyDescent="0.25">
      <c r="A221" s="1951"/>
      <c r="B221" s="1951" t="s">
        <v>1408</v>
      </c>
    </row>
    <row r="222" spans="1:2" x14ac:dyDescent="0.25">
      <c r="A222" s="1951"/>
      <c r="B222" s="1951" t="s">
        <v>1409</v>
      </c>
    </row>
    <row r="223" spans="1:2" x14ac:dyDescent="0.25">
      <c r="A223" s="1951"/>
      <c r="B223" s="1951" t="s">
        <v>1410</v>
      </c>
    </row>
    <row r="224" spans="1:2" x14ac:dyDescent="0.25">
      <c r="A224" s="1951"/>
      <c r="B224" s="1951" t="s">
        <v>1411</v>
      </c>
    </row>
    <row r="225" spans="1:2" x14ac:dyDescent="0.25">
      <c r="A225" s="1951"/>
      <c r="B225" s="1951"/>
    </row>
    <row r="226" spans="1:2" x14ac:dyDescent="0.25">
      <c r="A226" s="1951"/>
      <c r="B226" s="1948" t="s">
        <v>1169</v>
      </c>
    </row>
    <row r="227" spans="1:2" x14ac:dyDescent="0.25">
      <c r="A227" s="1951" t="s">
        <v>1839</v>
      </c>
      <c r="B227" s="1951" t="s">
        <v>1412</v>
      </c>
    </row>
    <row r="228" spans="1:2" x14ac:dyDescent="0.25">
      <c r="A228" s="1951"/>
      <c r="B228" s="1951" t="s">
        <v>1413</v>
      </c>
    </row>
    <row r="229" spans="1:2" x14ac:dyDescent="0.25">
      <c r="A229" s="1951"/>
      <c r="B229" s="1951" t="s">
        <v>1414</v>
      </c>
    </row>
    <row r="230" spans="1:2" x14ac:dyDescent="0.25">
      <c r="A230" s="1951"/>
      <c r="B230" s="1951"/>
    </row>
    <row r="231" spans="1:2" x14ac:dyDescent="0.25">
      <c r="A231" s="1951"/>
      <c r="B231" s="1951" t="s">
        <v>1415</v>
      </c>
    </row>
    <row r="232" spans="1:2" x14ac:dyDescent="0.25">
      <c r="A232" s="1951" t="s">
        <v>1840</v>
      </c>
      <c r="B232" s="1951" t="s">
        <v>1416</v>
      </c>
    </row>
    <row r="233" spans="1:2" x14ac:dyDescent="0.25">
      <c r="A233" s="1951"/>
      <c r="B233" s="1951" t="s">
        <v>1366</v>
      </c>
    </row>
    <row r="234" spans="1:2" x14ac:dyDescent="0.25">
      <c r="A234" s="1951"/>
      <c r="B234" s="1951"/>
    </row>
    <row r="235" spans="1:2" x14ac:dyDescent="0.25">
      <c r="A235" s="1951"/>
      <c r="B235" s="1951" t="s">
        <v>1417</v>
      </c>
    </row>
    <row r="236" spans="1:2" x14ac:dyDescent="0.25">
      <c r="A236" s="1951" t="s">
        <v>1845</v>
      </c>
      <c r="B236" s="1951" t="s">
        <v>1416</v>
      </c>
    </row>
    <row r="237" spans="1:2" x14ac:dyDescent="0.25">
      <c r="A237" s="1951"/>
      <c r="B237" s="1951" t="s">
        <v>1366</v>
      </c>
    </row>
    <row r="238" spans="1:2" x14ac:dyDescent="0.25">
      <c r="A238" s="1951"/>
      <c r="B238" s="1951"/>
    </row>
    <row r="239" spans="1:2" x14ac:dyDescent="0.25">
      <c r="A239" s="1951"/>
      <c r="B239" s="1951" t="s">
        <v>1241</v>
      </c>
    </row>
    <row r="240" spans="1:2" x14ac:dyDescent="0.25">
      <c r="A240" s="1951" t="s">
        <v>1841</v>
      </c>
      <c r="B240" s="1951" t="s">
        <v>1418</v>
      </c>
    </row>
    <row r="241" spans="1:2" x14ac:dyDescent="0.25">
      <c r="B241" s="1948" t="s">
        <v>1419</v>
      </c>
    </row>
    <row r="242" spans="1:2" x14ac:dyDescent="0.25">
      <c r="A242" s="1951"/>
      <c r="B242" s="1948" t="s">
        <v>1420</v>
      </c>
    </row>
    <row r="243" spans="1:2" x14ac:dyDescent="0.25">
      <c r="A243" s="1951"/>
    </row>
    <row r="244" spans="1:2" x14ac:dyDescent="0.25">
      <c r="A244" s="1951"/>
      <c r="B244" s="1951"/>
    </row>
    <row r="245" spans="1:2" x14ac:dyDescent="0.25">
      <c r="A245" s="1951"/>
      <c r="B245" s="1951" t="s">
        <v>1242</v>
      </c>
    </row>
    <row r="246" spans="1:2" x14ac:dyDescent="0.25">
      <c r="A246" s="1951" t="s">
        <v>1842</v>
      </c>
      <c r="B246" s="1951" t="s">
        <v>1421</v>
      </c>
    </row>
    <row r="247" spans="1:2" x14ac:dyDescent="0.25">
      <c r="B247" s="1951" t="s">
        <v>1422</v>
      </c>
    </row>
    <row r="248" spans="1:2" x14ac:dyDescent="0.25">
      <c r="A248" s="1951"/>
      <c r="B248" s="1951" t="s">
        <v>1423</v>
      </c>
    </row>
    <row r="249" spans="1:2" x14ac:dyDescent="0.25">
      <c r="A249" s="1951"/>
      <c r="B249" s="1951" t="s">
        <v>1424</v>
      </c>
    </row>
    <row r="250" spans="1:2" x14ac:dyDescent="0.25">
      <c r="A250" s="1951"/>
      <c r="B250" s="1948" t="s">
        <v>1777</v>
      </c>
    </row>
    <row r="251" spans="1:2" x14ac:dyDescent="0.25">
      <c r="A251" s="1951"/>
      <c r="B251" s="1948" t="s">
        <v>1778</v>
      </c>
    </row>
    <row r="252" spans="1:2" x14ac:dyDescent="0.25">
      <c r="A252" s="1951"/>
      <c r="B252" s="1951" t="s">
        <v>1779</v>
      </c>
    </row>
    <row r="253" spans="1:2" x14ac:dyDescent="0.25">
      <c r="A253" s="1951"/>
      <c r="B253" s="1951" t="s">
        <v>1780</v>
      </c>
    </row>
    <row r="254" spans="1:2" x14ac:dyDescent="0.25">
      <c r="A254" s="1951"/>
      <c r="B254" s="1951" t="s">
        <v>1425</v>
      </c>
    </row>
    <row r="255" spans="1:2" x14ac:dyDescent="0.25">
      <c r="A255" s="1951"/>
      <c r="B255" s="1948" t="s">
        <v>1781</v>
      </c>
    </row>
    <row r="256" spans="1:2" x14ac:dyDescent="0.25">
      <c r="A256" s="1951"/>
      <c r="B256" s="1951" t="s">
        <v>1426</v>
      </c>
    </row>
    <row r="257" spans="1:2" x14ac:dyDescent="0.25">
      <c r="A257" s="1951"/>
      <c r="B257" s="1951" t="s">
        <v>1427</v>
      </c>
    </row>
    <row r="258" spans="1:2" x14ac:dyDescent="0.25">
      <c r="A258" s="1951"/>
      <c r="B258" s="1951" t="s">
        <v>1428</v>
      </c>
    </row>
    <row r="259" spans="1:2" x14ac:dyDescent="0.25">
      <c r="A259" s="1951"/>
      <c r="B259" s="1948" t="s">
        <v>1782</v>
      </c>
    </row>
    <row r="260" spans="1:2" x14ac:dyDescent="0.25">
      <c r="A260" s="1951"/>
      <c r="B260" s="1951" t="s">
        <v>1429</v>
      </c>
    </row>
    <row r="261" spans="1:2" x14ac:dyDescent="0.25">
      <c r="A261" s="1951"/>
      <c r="B261" s="1951" t="s">
        <v>1783</v>
      </c>
    </row>
    <row r="262" spans="1:2" x14ac:dyDescent="0.25">
      <c r="A262" s="1951"/>
      <c r="B262" s="1951" t="s">
        <v>1430</v>
      </c>
    </row>
    <row r="263" spans="1:2" x14ac:dyDescent="0.25">
      <c r="A263" s="1951"/>
      <c r="B263" s="1951" t="s">
        <v>1784</v>
      </c>
    </row>
    <row r="264" spans="1:2" x14ac:dyDescent="0.25">
      <c r="A264" s="1951"/>
      <c r="B264" s="1951" t="s">
        <v>1431</v>
      </c>
    </row>
    <row r="265" spans="1:2" x14ac:dyDescent="0.25">
      <c r="A265" s="1951"/>
      <c r="B265" s="1951" t="s">
        <v>1785</v>
      </c>
    </row>
    <row r="266" spans="1:2" x14ac:dyDescent="0.25">
      <c r="A266" s="1951"/>
      <c r="B266" s="1951" t="s">
        <v>1786</v>
      </c>
    </row>
    <row r="267" spans="1:2" x14ac:dyDescent="0.25">
      <c r="A267" s="1951"/>
      <c r="B267" s="1951" t="s">
        <v>1432</v>
      </c>
    </row>
    <row r="268" spans="1:2" x14ac:dyDescent="0.25">
      <c r="A268" s="1951"/>
      <c r="B268" s="1951" t="s">
        <v>1787</v>
      </c>
    </row>
    <row r="269" spans="1:2" x14ac:dyDescent="0.25">
      <c r="A269" s="1951"/>
      <c r="B269" s="1951" t="s">
        <v>1788</v>
      </c>
    </row>
    <row r="270" spans="1:2" x14ac:dyDescent="0.25">
      <c r="A270" s="1951"/>
      <c r="B270" s="1951" t="s">
        <v>1433</v>
      </c>
    </row>
    <row r="271" spans="1:2" x14ac:dyDescent="0.25">
      <c r="A271" s="1951"/>
      <c r="B271" s="1948" t="s">
        <v>1789</v>
      </c>
    </row>
    <row r="272" spans="1:2" x14ac:dyDescent="0.25">
      <c r="A272" s="1951"/>
      <c r="B272" s="1951" t="s">
        <v>1434</v>
      </c>
    </row>
    <row r="273" spans="1:2" x14ac:dyDescent="0.25">
      <c r="A273" s="1951"/>
      <c r="B273" s="1951" t="s">
        <v>1790</v>
      </c>
    </row>
    <row r="274" spans="1:2" x14ac:dyDescent="0.25">
      <c r="A274" s="1951"/>
      <c r="B274" s="1948" t="s">
        <v>1791</v>
      </c>
    </row>
    <row r="275" spans="1:2" x14ac:dyDescent="0.25">
      <c r="A275" s="1951"/>
      <c r="B275" s="1948" t="s">
        <v>1792</v>
      </c>
    </row>
    <row r="276" spans="1:2" x14ac:dyDescent="0.25">
      <c r="A276" s="1951"/>
      <c r="B276" s="1951" t="s">
        <v>1435</v>
      </c>
    </row>
    <row r="277" spans="1:2" x14ac:dyDescent="0.25">
      <c r="A277" s="1951"/>
      <c r="B277" s="1951" t="s">
        <v>1436</v>
      </c>
    </row>
    <row r="278" spans="1:2" x14ac:dyDescent="0.25">
      <c r="A278" s="1951"/>
      <c r="B278" s="1948" t="s">
        <v>1793</v>
      </c>
    </row>
    <row r="279" spans="1:2" x14ac:dyDescent="0.25">
      <c r="A279" s="1951"/>
      <c r="B279" s="1951" t="s">
        <v>1437</v>
      </c>
    </row>
    <row r="280" spans="1:2" x14ac:dyDescent="0.25">
      <c r="A280" s="1951"/>
      <c r="B280" s="1948" t="s">
        <v>1794</v>
      </c>
    </row>
    <row r="281" spans="1:2" x14ac:dyDescent="0.25">
      <c r="A281" s="1951"/>
      <c r="B281" s="1948" t="s">
        <v>1795</v>
      </c>
    </row>
    <row r="282" spans="1:2" x14ac:dyDescent="0.25">
      <c r="A282" s="1951"/>
      <c r="B282" s="1951" t="s">
        <v>1438</v>
      </c>
    </row>
    <row r="283" spans="1:2" x14ac:dyDescent="0.25">
      <c r="A283" s="1951"/>
      <c r="B283" s="1951" t="s">
        <v>1796</v>
      </c>
    </row>
    <row r="284" spans="1:2" x14ac:dyDescent="0.25">
      <c r="A284" s="1951"/>
      <c r="B284" s="1948" t="s">
        <v>1797</v>
      </c>
    </row>
    <row r="285" spans="1:2" x14ac:dyDescent="0.25">
      <c r="A285" s="1951"/>
      <c r="B285" s="1951" t="s">
        <v>1439</v>
      </c>
    </row>
    <row r="286" spans="1:2" x14ac:dyDescent="0.25">
      <c r="A286" s="1951"/>
      <c r="B286" s="1948" t="s">
        <v>1798</v>
      </c>
    </row>
    <row r="287" spans="1:2" x14ac:dyDescent="0.25">
      <c r="A287" s="1951"/>
      <c r="B287" s="1951" t="s">
        <v>1440</v>
      </c>
    </row>
    <row r="288" spans="1:2" x14ac:dyDescent="0.25">
      <c r="A288" s="1951"/>
      <c r="B288" s="1951" t="s">
        <v>1441</v>
      </c>
    </row>
    <row r="289" spans="1:2" x14ac:dyDescent="0.25">
      <c r="A289" s="1951"/>
      <c r="B289" s="1951" t="s">
        <v>1442</v>
      </c>
    </row>
    <row r="290" spans="1:2" x14ac:dyDescent="0.25">
      <c r="A290" s="1951"/>
      <c r="B290" s="1951" t="s">
        <v>1443</v>
      </c>
    </row>
    <row r="291" spans="1:2" x14ac:dyDescent="0.25">
      <c r="A291" s="1951"/>
      <c r="B291" s="1948" t="s">
        <v>1799</v>
      </c>
    </row>
    <row r="292" spans="1:2" x14ac:dyDescent="0.25">
      <c r="A292" s="1951"/>
      <c r="B292" s="1951" t="s">
        <v>1444</v>
      </c>
    </row>
    <row r="293" spans="1:2" x14ac:dyDescent="0.25">
      <c r="A293" s="1951"/>
      <c r="B293" s="1948" t="s">
        <v>1312</v>
      </c>
    </row>
    <row r="294" spans="1:2" x14ac:dyDescent="0.25">
      <c r="A294" s="1951"/>
      <c r="B294" s="1951" t="s">
        <v>1800</v>
      </c>
    </row>
    <row r="295" spans="1:2" x14ac:dyDescent="0.25">
      <c r="A295" s="1951"/>
      <c r="B295" s="1951" t="s">
        <v>1314</v>
      </c>
    </row>
    <row r="296" spans="1:2" x14ac:dyDescent="0.25">
      <c r="A296" s="1951"/>
      <c r="B296" s="1951"/>
    </row>
    <row r="297" spans="1:2" x14ac:dyDescent="0.25">
      <c r="A297" s="1951"/>
      <c r="B297" s="1951"/>
    </row>
    <row r="298" spans="1:2" x14ac:dyDescent="0.25">
      <c r="A298" s="1951" t="s">
        <v>1843</v>
      </c>
      <c r="B298" s="1948" t="s">
        <v>1169</v>
      </c>
    </row>
    <row r="299" spans="1:2" x14ac:dyDescent="0.25">
      <c r="A299" s="1951"/>
      <c r="B299" s="1951" t="s">
        <v>1445</v>
      </c>
    </row>
    <row r="300" spans="1:2" x14ac:dyDescent="0.25">
      <c r="A300" s="1951"/>
      <c r="B300" s="1951" t="s">
        <v>1446</v>
      </c>
    </row>
    <row r="301" spans="1:2" x14ac:dyDescent="0.25">
      <c r="A301" s="1951"/>
      <c r="B301" s="1951" t="s">
        <v>1447</v>
      </c>
    </row>
    <row r="302" spans="1:2" x14ac:dyDescent="0.25">
      <c r="A302" s="1951"/>
      <c r="B302" s="1951"/>
    </row>
    <row r="303" spans="1:2" x14ac:dyDescent="0.25">
      <c r="B303" s="1948" t="s">
        <v>1801</v>
      </c>
    </row>
    <row r="304" spans="1:2" x14ac:dyDescent="0.25">
      <c r="A304" s="1948" t="s">
        <v>1844</v>
      </c>
      <c r="B304" s="1948" t="s">
        <v>1360</v>
      </c>
    </row>
    <row r="305" spans="2:2" x14ac:dyDescent="0.25">
      <c r="B305" s="1948" t="s">
        <v>1537</v>
      </c>
    </row>
    <row r="306" spans="2:2" x14ac:dyDescent="0.25">
      <c r="B306" s="1948" t="s">
        <v>1538</v>
      </c>
    </row>
    <row r="307" spans="2:2" x14ac:dyDescent="0.25">
      <c r="B307" s="1948" t="s">
        <v>1539</v>
      </c>
    </row>
  </sheetData>
  <sheetProtection algorithmName="SHA-512" hashValue="JgkfkFpLR7HM7xdZMg3nQQ6mOKbxOlnpbywbqpMl4C+2wZsyUH9FiN5ChQ5b0Cqjuy0FHwYW+Jscc86wxEOn5Q==" saltValue="+5poEI7vGdy5NgFLzAgK8w=="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Props1.xml><?xml version="1.0" encoding="utf-8"?>
<ds:datastoreItem xmlns:ds="http://schemas.openxmlformats.org/officeDocument/2006/customXml" ds:itemID="{B6467C81-5610-464D-A483-B520ADB457F5}">
  <ds:schemaRefs>
    <ds:schemaRef ds:uri="http://schemas.microsoft.com/sharepoint/v3/contenttype/forms"/>
  </ds:schemaRefs>
</ds:datastoreItem>
</file>

<file path=customXml/itemProps2.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88124F-3F6E-46A5-ADA0-2AB11E915610}">
  <ds:schemaRefs>
    <ds:schemaRef ds:uri="http://schemas.microsoft.com/office/2006/metadata/properties"/>
    <ds:schemaRef ds:uri="http://purl.org/dc/elements/1.1/"/>
    <ds:schemaRef ds:uri="http://schemas.microsoft.com/sharepoint/v3"/>
    <ds:schemaRef ds:uri="63979cc8-f6b2-4ee6-8bed-630b6048d169"/>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terms/"/>
    <ds:schemaRef ds:uri="59db5950-9a61-4c09-b3e2-fe6d472fba0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242</vt:i4>
      </vt:variant>
    </vt:vector>
  </HeadingPairs>
  <TitlesOfParts>
    <vt:vector size="278" baseType="lpstr">
      <vt:lpstr>Dropdowns</vt:lpstr>
      <vt:lpstr>ESDS-Reference Table</vt:lpstr>
      <vt:lpstr>ESDS-Lookup Table</vt:lpstr>
      <vt:lpstr>5 Default Check</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 </vt:lpstr>
      <vt:lpstr>4% LIHTC ScoringLists</vt:lpstr>
      <vt:lpstr>9% ScoringLists</vt:lpstr>
      <vt:lpstr>Act_Typ</vt:lpstr>
      <vt:lpstr>Activity_Type</vt:lpstr>
      <vt:lpstr>Actual_or_Percent</vt:lpstr>
      <vt:lpstr>AMIs</vt:lpstr>
      <vt:lpstr>Beds</vt:lpstr>
      <vt:lpstr>Building_ID_or_Name</vt:lpstr>
      <vt:lpstr>Building_Type</vt:lpstr>
      <vt:lpstr>Debt_Type</vt:lpstr>
      <vt:lpstr>Enable</vt:lpstr>
      <vt:lpstr>four_perc_dev_fees</vt:lpstr>
      <vt:lpstr>four_perc_efficient_location</vt:lpstr>
      <vt:lpstr>four_perc_inc_percent</vt:lpstr>
      <vt:lpstr>four_perc_leveraging_public_resources</vt:lpstr>
      <vt:lpstr>four_perc_leveraging_taxable_bonds</vt:lpstr>
      <vt:lpstr>four_perc_lih_40_percent</vt:lpstr>
      <vt:lpstr>four_perc_lih_50_percent</vt:lpstr>
      <vt:lpstr>four_perc_lih_60_percent</vt:lpstr>
      <vt:lpstr>four_perc_lih_commit</vt:lpstr>
      <vt:lpstr>four_perc_np_donation</vt:lpstr>
      <vt:lpstr>four_perc_np_sponsor</vt:lpstr>
      <vt:lpstr>four_perc_priority_pops</vt:lpstr>
      <vt:lpstr>four_perc_project_based_rental_assistance</vt:lpstr>
      <vt:lpstr>four_perc_property_type</vt:lpstr>
      <vt:lpstr>four_perc_solar_option_1</vt:lpstr>
      <vt:lpstr>four_perc_solar_option_2</vt:lpstr>
      <vt:lpstr>four_perc_Years</vt:lpstr>
      <vt:lpstr>Fund_Source</vt:lpstr>
      <vt:lpstr>G_or_L</vt:lpstr>
      <vt:lpstr>Grant</vt:lpstr>
      <vt:lpstr>Grant_or_Loan</vt:lpstr>
      <vt:lpstr>GrantType</vt:lpstr>
      <vt:lpstr>Loan</vt:lpstr>
      <vt:lpstr>LoanType</vt:lpstr>
      <vt:lpstr>nine_pecent_inc_percent</vt:lpstr>
      <vt:lpstr>nine_perc_higher_income_counties</vt:lpstr>
      <vt:lpstr>nine_perc_higher_income_county_setasides</vt:lpstr>
      <vt:lpstr>nine_perc_lower_income_counties</vt:lpstr>
      <vt:lpstr>nine_perc_lower_income_county_setasides</vt:lpstr>
      <vt:lpstr>nine_percent_at_risk</vt:lpstr>
      <vt:lpstr>nine_percent_dev_fees</vt:lpstr>
      <vt:lpstr>nine_percent_eligible_tribes</vt:lpstr>
      <vt:lpstr>nine_percent_federal_funding_sources</vt:lpstr>
      <vt:lpstr>nine_percent_historic</vt:lpstr>
      <vt:lpstr>nine_percent_homeless</vt:lpstr>
      <vt:lpstr>nine_percent_in_within</vt:lpstr>
      <vt:lpstr>nine_percent_job_centers</vt:lpstr>
      <vt:lpstr>nine_percent_KC_HTF</vt:lpstr>
      <vt:lpstr>nine_percent_kc_opp_area</vt:lpstr>
      <vt:lpstr>nine_percent_king_county_tod</vt:lpstr>
      <vt:lpstr>nine_percent_local_funding_counties</vt:lpstr>
      <vt:lpstr>nine_percent_local_funding_sources</vt:lpstr>
      <vt:lpstr>nine_percent_local_funding_types</vt:lpstr>
      <vt:lpstr>nine_percent_location_efficient_projects</vt:lpstr>
      <vt:lpstr>nine_percent_np_sponsor</vt:lpstr>
      <vt:lpstr>nine_percent_pbra_units</vt:lpstr>
      <vt:lpstr>nine_percent_special_needs</vt:lpstr>
      <vt:lpstr>nine_percent_tdc_limits</vt:lpstr>
      <vt:lpstr>nine_percent_years</vt:lpstr>
      <vt:lpstr>Non_LIH_Units</vt:lpstr>
      <vt:lpstr>NonRes_FundSource</vt:lpstr>
      <vt:lpstr>OnSite_OffSite</vt:lpstr>
      <vt:lpstr>OnTime_OnBudget</vt:lpstr>
      <vt:lpstr>Population_Types</vt:lpstr>
      <vt:lpstr>'1'!Print_Area</vt:lpstr>
      <vt:lpstr>'11A'!Print_Area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Lane, Jennifer (COM)</cp:lastModifiedBy>
  <cp:lastPrinted>2017-10-06T23:17:45Z</cp:lastPrinted>
  <dcterms:created xsi:type="dcterms:W3CDTF">2015-05-06T15:11:33Z</dcterms:created>
  <dcterms:modified xsi:type="dcterms:W3CDTF">2018-04-25T19:02:29Z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