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showInkAnnotation="0" autoCompressPictures="0" defaultThemeVersion="124226"/>
  <mc:AlternateContent xmlns:mc="http://schemas.openxmlformats.org/markup-compatibility/2006">
    <mc:Choice Requires="x15">
      <x15ac:absPath xmlns:x15ac="http://schemas.microsoft.com/office/spreadsheetml/2010/11/ac" url="J:\Lending and Development\PROJECTS\ACTIVE\Compass Broadview\NOFA App 2016\"/>
    </mc:Choice>
  </mc:AlternateContent>
  <bookViews>
    <workbookView xWindow="0" yWindow="0" windowWidth="28800" windowHeight="11835" tabRatio="816" firstSheet="5" activeTab="23"/>
  </bookViews>
  <sheets>
    <sheet name="Dropdowns" sheetId="29" state="hidden" r:id="rId1"/>
    <sheet name="ESDS-Reference Table" sheetId="39" state="hidden" r:id="rId2"/>
    <sheet name="ESDS-Lookup Table" sheetId="40" state="hidden" r:id="rId3"/>
    <sheet name="5 Default Check" sheetId="43" state="hidden" r:id="rId4"/>
    <sheet name="LIHTC_ScoringLists" sheetId="47" state="hidden" r:id="rId5"/>
    <sheet name="Definitions" sheetId="33" r:id="rId6"/>
    <sheet name="Sheet1" sheetId="50" state="hidden" r:id="rId7"/>
    <sheet name="Validations Checklist" sheetId="37" r:id="rId8"/>
    <sheet name="HTF_Quickload" sheetId="51" state="hidden" r:id="rId9"/>
    <sheet name="1" sheetId="1" r:id="rId10"/>
    <sheet name="2A" sheetId="3" r:id="rId11"/>
    <sheet name="2B" sheetId="4" r:id="rId12"/>
    <sheet name="2C" sheetId="38" r:id="rId13"/>
    <sheet name="3" sheetId="6" r:id="rId14"/>
    <sheet name="4" sheetId="7" r:id="rId15"/>
    <sheet name="5" sheetId="8" r:id="rId16"/>
    <sheet name="6A" sheetId="9" r:id="rId17"/>
    <sheet name="6B" sheetId="10" r:id="rId18"/>
    <sheet name="6C" sheetId="11" r:id="rId19"/>
    <sheet name="6D" sheetId="12" r:id="rId20"/>
    <sheet name="6E" sheetId="13" r:id="rId21"/>
    <sheet name="7A" sheetId="49" r:id="rId22"/>
    <sheet name="7B" sheetId="15" r:id="rId23"/>
    <sheet name="8A" sheetId="16" r:id="rId24"/>
    <sheet name="8B" sheetId="17" r:id="rId25"/>
    <sheet name="8C" sheetId="36" r:id="rId26"/>
    <sheet name="8D" sheetId="20" r:id="rId27"/>
    <sheet name="8E" sheetId="21" r:id="rId28"/>
    <sheet name="9A" sheetId="22" r:id="rId29"/>
    <sheet name="9B" sheetId="23" r:id="rId30"/>
    <sheet name="9C" sheetId="24" r:id="rId31"/>
    <sheet name="9D" sheetId="25" r:id="rId32"/>
    <sheet name="9E" sheetId="26" r:id="rId33"/>
    <sheet name="11A" sheetId="46" r:id="rId34"/>
    <sheet name="11B" sheetId="48" r:id="rId35"/>
    <sheet name="TDC Limit" sheetId="52" state="hidden" r:id="rId36"/>
  </sheets>
  <externalReferences>
    <externalReference r:id="rId37"/>
    <externalReference r:id="rId38"/>
    <externalReference r:id="rId39"/>
    <externalReference r:id="rId40"/>
    <externalReference r:id="rId41"/>
    <externalReference r:id="rId42"/>
    <externalReference r:id="rId43"/>
  </externalReferences>
  <definedNames>
    <definedName name="_xlnm._FilterDatabase" localSheetId="15" hidden="1">'5'!$C$16:$F$76</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ond_DevFees">LIHTC_ScoringLists!$B$346:$B$351</definedName>
    <definedName name="Bond_LIH_Commitment">LIHTC_ScoringLists!$B$288:$B$294</definedName>
    <definedName name="Bond_LIH40percent">LIHTC_ScoringLists!$B$366:$B$367</definedName>
    <definedName name="Bond_LIH50percent">LIHTC_ScoringLists!$B$369:$B$373</definedName>
    <definedName name="Bond_LIH60percent">LIHTC_ScoringLists!$B$375:$B$380</definedName>
    <definedName name="Bond_LvgPubRes_10">LIHTC_ScoringLists!$B$331:$B$334</definedName>
    <definedName name="Bond_LvgTaxBonds_7">LIHTC_ScoringLists!$B$336:$B$343</definedName>
    <definedName name="Bond_NP_Sponsor">LIHTC_ScoringLists!$B$361:$B$363</definedName>
    <definedName name="Bond_PBRA">LIHTC_ScoringLists!$B$324:$B$328</definedName>
    <definedName name="Bond_PriorityPopulations10">LIHTC_ScoringLists!$B$309:$B$312</definedName>
    <definedName name="Bond_PriorityPopulations100">LIHTC_ScoringLists!$B$319:$B$322</definedName>
    <definedName name="Bond_PriorityPopulations20">LIHTC_ScoringLists!$B$314:$B$317</definedName>
    <definedName name="Bond_Years">LIHTC_ScoringLists!$B$296:$B$307</definedName>
    <definedName name="BondTC">'[1]Under the LIHTC Hood'!$D$62:$D$66</definedName>
    <definedName name="Building_ID_or_Name">'2A'!$C$8:$C$22</definedName>
    <definedName name="Building_Type">Dropdowns!$B$116:$B$124</definedName>
    <definedName name="Built_For">[2]Under_the_Hood!$C$80:$C$83</definedName>
    <definedName name="Counties">'[1]Under the LIHTC Hood'!$D$2:$D$40</definedName>
    <definedName name="ddd">[3]LIHTC_Dropdowns!$F$229:$F$233</definedName>
    <definedName name="Debt_Type">Dropdowns!$B$56:$B$58</definedName>
    <definedName name="devfee">[3]LIHTC_Dropdowns!$F$189:$F$194</definedName>
    <definedName name="DevFees" localSheetId="35">[4]ScoringLists!$B$189:$B$194</definedName>
    <definedName name="DevFees">'[1]Under the LIHTC Hood'!$D$70:$D$75</definedName>
    <definedName name="eligible_tribes" localSheetId="35">[4]ScoringLists!$B$201:$B$214</definedName>
    <definedName name="eligible_tribes">[5]ScoringLists!$B$201:$B$214</definedName>
    <definedName name="eligtribes">[3]LIHTC_Dropdowns!$F$201:$F$214</definedName>
    <definedName name="Enable">Dropdowns!$B$110:$B$110</definedName>
    <definedName name="federal_funding_sources" localSheetId="35">[4]ScoringLists!$B$171:$B$177</definedName>
    <definedName name="federal_funding_sources">[5]ScoringLists!$B$171:$B$177</definedName>
    <definedName name="feds">[3]LIHTC_Dropdowns!$F$171:$F$177</definedName>
    <definedName name="FivePoints">'[1]ESDS-UnderTheHood'!$J$2:$J$3</definedName>
    <definedName name="FourPoints">'[1]ESDS-UnderTheHood'!$R$2:$R$3</definedName>
    <definedName name="FourSixEight">'[1]ESDS-UnderTheHood'!$N$9:$N$12</definedName>
    <definedName name="Fund_Source">Dropdowns!$B$153:$B$167</definedName>
    <definedName name="FunderType" localSheetId="35">[2]Under_the_Hood!$C$15:$C$17</definedName>
    <definedName name="FunderType">'[1]Under the Hood'!$C$15:$C$17</definedName>
    <definedName name="FundingType" localSheetId="35">[2]Under_the_Hood!$C$9:$C$11</definedName>
    <definedName name="FundingType">'[1]Under the Hood'!$C$9:$C$11</definedName>
    <definedName name="G_or_L">Dropdowns!$E$51:$E$53</definedName>
    <definedName name="Grant">Dropdowns!$G$52:$G$53</definedName>
    <definedName name="Grant_or_Loan">Dropdowns!$B$51:$B$54</definedName>
    <definedName name="GrantType">Dropdowns!$G$52:$G$54</definedName>
    <definedName name="HalfToFive">'[1]ESDS-UnderTheHood'!$B$16:$B$26</definedName>
    <definedName name="HalfToTen">'[1]ESDS-UnderTheHood'!$B$29:$B$49</definedName>
    <definedName name="higher_income" localSheetId="35">[4]ScoringLists!$B$2:$B$16</definedName>
    <definedName name="higher_income">[5]ScoringLists!$B$2:$B$16</definedName>
    <definedName name="highincoem">[3]LIHTC_Dropdowns!$F$2:$F$16</definedName>
    <definedName name="histor">[3]LIHTC_Dropdowns!$F$197:$F$199</definedName>
    <definedName name="Historic" localSheetId="35">[4]ScoringLists!$B$197:$B$199</definedName>
    <definedName name="Historic">[5]ScoringLists!$B$197:$B$199</definedName>
    <definedName name="homeless">[3]LIHTC_Dropdowns!$F$126:$F$127</definedName>
    <definedName name="Homeless75" localSheetId="35">[4]ScoringLists!$B$126:$B$127</definedName>
    <definedName name="Homeless75">[5]ScoringLists!$B$126:$B$127</definedName>
    <definedName name="HomelessFW">'[1]Under the LIHTC Hood'!$D$50:$D$52</definedName>
    <definedName name="ID_of_Interest">[2]Under_the_Hood!$C$73:$C$74</definedName>
    <definedName name="in_within" localSheetId="35">[4]ScoringLists!$B$229:$B$233</definedName>
    <definedName name="in_within">[5]ScoringLists!$B$229:$B$233</definedName>
    <definedName name="Inc_Higher" localSheetId="35">[4]ScoringLists!$B$18:$B$38</definedName>
    <definedName name="Inc_Higher">[5]ScoringLists!$B$18:$B$38</definedName>
    <definedName name="Inc_Lower" localSheetId="35">[4]ScoringLists!$B$69:$B$89</definedName>
    <definedName name="Inc_Lower">[5]ScoringLists!$B$69:$B$89</definedName>
    <definedName name="Inc_percent" localSheetId="35">[4]ScoringLists!$B$91:$B$100</definedName>
    <definedName name="Inc_percent">[5]ScoringLists!$B$91:$B$100</definedName>
    <definedName name="job_centers" localSheetId="35">[4]ScoringLists!$B$235:$B$284</definedName>
    <definedName name="job_centers">[5]ScoringLists!$B$235:$B$284</definedName>
    <definedName name="KC_HTF" localSheetId="35">[4]ScoringLists!$B$179:$B$181</definedName>
    <definedName name="KC_HTF">[5]ScoringLists!$B$179:$B$181</definedName>
    <definedName name="KC_only" localSheetId="35">[4]ScoringLists!$B$221:$B$223</definedName>
    <definedName name="KC_only">[5]ScoringLists!$B$221:$B$223</definedName>
    <definedName name="KC_OppArea" localSheetId="35">[4]ScoringLists!$B$225:$B$227</definedName>
    <definedName name="KC_OppArea">[5]ScoringLists!$B$225:$B$227</definedName>
    <definedName name="leveraging_public_resources_10">[3]LIHTC_Dropdowns!$B$65:$B$68</definedName>
    <definedName name="leveraging_taxable_bonds_7">[3]LIHTC_Dropdowns!$B$70:$B$77</definedName>
    <definedName name="LIH_Commit">[3]LIHTC_Dropdowns!$B$2:$B$8</definedName>
    <definedName name="LIH40percent">'[6]hidden - ScoringLists'!$B$93:$B$94</definedName>
    <definedName name="LIH50percent">'[6]hidden - ScoringLists'!$B$96:$B$100</definedName>
    <definedName name="LIH60percent">'[6]hidden - ScoringLists'!$B$102:$B$107</definedName>
    <definedName name="LIHTC_DevFees">LIHTC_ScoringLists!$B$184:$B$189</definedName>
    <definedName name="LIHTC_eligible_tribes">LIHTC_ScoringLists!$B$196:$B$209</definedName>
    <definedName name="LIHTC_federal_funding_sources">LIHTC_ScoringLists!$B$171:$B$177</definedName>
    <definedName name="LIHTC_higher_income">LIHTC_ScoringLists!$B$2:$B$16</definedName>
    <definedName name="LIHTC_Historic">LIHTC_ScoringLists!$B$192:$B$194</definedName>
    <definedName name="LIHTC_Homeless75">LIHTC_ScoringLists!$B$126:$B$127</definedName>
    <definedName name="LIHTC_in_within">LIHTC_ScoringLists!$B$224:$B$228</definedName>
    <definedName name="LIHTC_Inc_Higher">LIHTC_ScoringLists!$B$18:$B$38</definedName>
    <definedName name="LIHTC_Inc_Lower">LIHTC_ScoringLists!$B$69:$B$89</definedName>
    <definedName name="LIHTC_Inc_percent">LIHTC_ScoringLists!$B$91:$B$100</definedName>
    <definedName name="LIHTC_job_centers">LIHTC_ScoringLists!$B$230:$B$279</definedName>
    <definedName name="LIHTC_KC_HTF">LIHTC_ScoringLists!$B$179:$B$181</definedName>
    <definedName name="LIHTC_KC_only">LIHTC_ScoringLists!$B$216:$B$218</definedName>
    <definedName name="LIHTC_KC_OppArea">LIHTC_ScoringLists!$B$220:$B$222</definedName>
    <definedName name="LIHTC_local_funding_counties">LIHTC_ScoringLists!$B$140:$B$147</definedName>
    <definedName name="LIHTC_local_funding_sources">LIHTC_ScoringLists!$B$149:$B$161</definedName>
    <definedName name="LIHTC_local_funding_types">LIHTC_ScoringLists!$B$163:$B$169</definedName>
    <definedName name="LIHTC_location_eff">LIHTC_ScoringLists!$B$211:$B$214</definedName>
    <definedName name="LIHTC_lower_income">LIHTC_ScoringLists!$B$40:$B$67</definedName>
    <definedName name="LIHTC_NPSponsor">LIHTC_ScoringLists!$B$281:$B$284</definedName>
    <definedName name="LIHTC_SpecNeeds20">LIHTC_ScoringLists!$B$130:$B$138</definedName>
    <definedName name="LIHTC_Years">LIHTC_ScoringLists!$B$102:$B$124</definedName>
    <definedName name="LIHTCAMI">'[1]Under the LIHTC Hood'!$D$90:$D$93</definedName>
    <definedName name="Loan">Dropdowns!$H$52:$H$56</definedName>
    <definedName name="LoanType">Dropdowns!$H$52:$H$56</definedName>
    <definedName name="local_funding_counties" localSheetId="35">[4]ScoringLists!$B$140:$B$147</definedName>
    <definedName name="local_funding_counties">[5]ScoringLists!$B$140:$B$147</definedName>
    <definedName name="local_funding_sources" localSheetId="35">[4]ScoringLists!$B$149:$B$161</definedName>
    <definedName name="local_funding_sources">[5]ScoringLists!$B$149:$B$161</definedName>
    <definedName name="local_funding_types" localSheetId="35">[4]ScoringLists!$B$163:$B$169</definedName>
    <definedName name="local_funding_types">[5]ScoringLists!$B$163:$B$169</definedName>
    <definedName name="location_eff" localSheetId="35">[4]ScoringLists!$B$216:$B$219</definedName>
    <definedName name="location_eff">'[6]hidden - ScoringLists'!$B$83:$B$85</definedName>
    <definedName name="lower_income" localSheetId="35">[4]ScoringLists!$B$40:$B$67</definedName>
    <definedName name="m">#REF!</definedName>
    <definedName name="MandCheck">'[1]ESDS-UnderTheHood'!$B$2:$B$4</definedName>
    <definedName name="MandOr5">'[1]ESDS-UnderTheHood'!$L$2:$L$5</definedName>
    <definedName name="mna">#REF!</definedName>
    <definedName name="na">#REF!</definedName>
    <definedName name="nahalfto5">#REF!</definedName>
    <definedName name="nato123">#REF!</definedName>
    <definedName name="nato5">#REF!</definedName>
    <definedName name="Non_LIH_Units">Dropdowns!$B$87:$B$89</definedName>
    <definedName name="NonRes_FundSource">Dropdowns!$E$153:$E$168</definedName>
    <definedName name="NP_Donation">LIHTC_ScoringLists!$B$382:$B$384</definedName>
    <definedName name="NP_Sponsor">[3]LIHTC_Dropdowns!$F$286:$F$289</definedName>
    <definedName name="NP_Sponsor_4_Perc">[3]LIHTC_Dropdowns!$B$101:$B$103</definedName>
    <definedName name="NPSponsor" localSheetId="35">[4]ScoringLists!$B$286:$B$289</definedName>
    <definedName name="NPSponsor">[5]ScoringLists!$B$286:$B$289</definedName>
    <definedName name="OnePoint">'[1]ESDS-UnderTheHood'!$D$16:$D$17</definedName>
    <definedName name="OneToFive">'[1]ESDS-UnderTheHood'!$F$2:$F$7</definedName>
    <definedName name="OneToSix">'[1]ESDS-UnderTheHood'!$L$9:$L$15</definedName>
    <definedName name="OneToTen">'[1]ESDS-UnderTheHood'!$F$16:$F$26</definedName>
    <definedName name="OneTwoFourSix">'[1]ESDS-UnderTheHood'!$J$9:$J$13</definedName>
    <definedName name="OnSite_OffSite">Dropdowns!$B$170:$B$172</definedName>
    <definedName name="OnTime_OnBudget">Dropdowns!$B$147:$B$151</definedName>
    <definedName name="Points1to3">'[1]ESDS-UnderTheHood'!$D$2:$D$5</definedName>
    <definedName name="Population_Types" localSheetId="35">[3]PopTypes_Dropdown!$B$3:$B$21</definedName>
    <definedName name="Population_Types">Dropdowns!$B$3:$B$22</definedName>
    <definedName name="_xlnm.Print_Area" localSheetId="9">'1'!$B$2:$Q$60</definedName>
    <definedName name="_xlnm.Print_Area" localSheetId="33">'11A'!$B$14:$P$257</definedName>
    <definedName name="_xlnm.Print_Area" localSheetId="34">'11B'!$B$11:$O$184</definedName>
    <definedName name="_xlnm.Print_Area" localSheetId="10">'2A'!$B$2:$O$22</definedName>
    <definedName name="_xlnm.Print_Area" localSheetId="11">'2B'!$B$12:$P$34</definedName>
    <definedName name="_xlnm.Print_Area" localSheetId="12">'2C'!$B$12:$L$151</definedName>
    <definedName name="_xlnm.Print_Area" localSheetId="13">'3'!$B$15:$H$47</definedName>
    <definedName name="_xlnm.Print_Area" localSheetId="14">'4'!$B$2:$H$34</definedName>
    <definedName name="_xlnm.Print_Area" localSheetId="15">'5'!$B$11:$G$78</definedName>
    <definedName name="_xlnm.Print_Area" localSheetId="3">'5 Default Check'!$B$3:$F$62</definedName>
    <definedName name="_xlnm.Print_Area" localSheetId="16">'6A'!$B$12:$V$123</definedName>
    <definedName name="_xlnm.Print_Area" localSheetId="17">'6B'!$B$6:$L$101</definedName>
    <definedName name="_xlnm.Print_Area" localSheetId="18">'6C'!$B$10:$L$123</definedName>
    <definedName name="_xlnm.Print_Area" localSheetId="19">'6D'!$B$6:$H$54</definedName>
    <definedName name="_xlnm.Print_Area" localSheetId="20">'6E'!$B$7:$K$59</definedName>
    <definedName name="_xlnm.Print_Area" localSheetId="21">'7A'!$B$9:$Q$50</definedName>
    <definedName name="_xlnm.Print_Area" localSheetId="22">'7B'!$B$11:$U$58</definedName>
    <definedName name="_xlnm.Print_Area" localSheetId="23">'8A'!$B$8:$P$52</definedName>
    <definedName name="_xlnm.Print_Area" localSheetId="24">'8B'!$B$10:$H$40</definedName>
    <definedName name="_xlnm.Print_Area" localSheetId="25">'8C'!$B$9:$S$62</definedName>
    <definedName name="_xlnm.Print_Area" localSheetId="26">'8D'!$B$13:$W$112</definedName>
    <definedName name="_xlnm.Print_Area" localSheetId="27">'8E'!$B$7:$F$47</definedName>
    <definedName name="_xlnm.Print_Area" localSheetId="28">'9A'!$B$2:$I$81</definedName>
    <definedName name="_xlnm.Print_Area" localSheetId="29">'9B'!$B$7:$Y$38</definedName>
    <definedName name="_xlnm.Print_Area" localSheetId="30">'9C'!$B$12:$M$38</definedName>
    <definedName name="_xlnm.Print_Area" localSheetId="31">'9D'!$B$15:$L$43</definedName>
    <definedName name="_xlnm.Print_Area" localSheetId="32">'9E'!$B$7:$J$25</definedName>
    <definedName name="_xlnm.Print_Area" localSheetId="5">Definitions!$A$1:$L$44</definedName>
    <definedName name="_xlnm.Print_Area" localSheetId="35">'TDC Limit'!$A$1:$N$48</definedName>
    <definedName name="_xlnm.Print_Titles" localSheetId="16">'6A'!$12:$20</definedName>
    <definedName name="_xlnm.Print_Titles" localSheetId="17">'6B'!$6:$12</definedName>
    <definedName name="_xlnm.Print_Titles" localSheetId="18">'6C'!$10:$19</definedName>
    <definedName name="PriorityPopulations10">[3]LIHTC_Dropdowns!$B$43:$B$46</definedName>
    <definedName name="PriorityPopulations20">[3]LIHTC_Dropdowns!$B$48:$B$51</definedName>
    <definedName name="Project_Based_Rental_Assistance">[3]LIHTC_Dropdowns!$B$58:$B$62</definedName>
    <definedName name="Project_Status">Dropdowns!$B$132:$B$136</definedName>
    <definedName name="Project_Type">Dropdowns!$B$138:$B$140</definedName>
    <definedName name="property_type_10" localSheetId="35">[3]LIHTC_Dropdowns!$B$88:$B$92</definedName>
    <definedName name="property_type_10">LIHTC_ScoringLists!$B$354:$B$358</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avem12345">#REF!</definedName>
    <definedName name="savem3">#REF!</definedName>
    <definedName name="savem5">#REF!</definedName>
    <definedName name="Schedule_Dates" localSheetId="3">'5 Default Check'!$E$7:$E$61</definedName>
    <definedName name="Schedule_Dates">'5'!$E$17:$E$77</definedName>
    <definedName name="Schedule_Tasks" localSheetId="3">'5 Default Check'!$D$7:$D$61</definedName>
    <definedName name="Schedule_Tasks">'5'!$D$17:$D$77</definedName>
    <definedName name="Select_from_list">[6]Sheet2!$B$1:$B$5</definedName>
    <definedName name="senior_housing_10">[3]LIHTC_Dropdowns!$B$53:$B$54</definedName>
    <definedName name="SevenPoints">'[1]ESDS-UnderTheHood'!$F$29:$F$30</definedName>
    <definedName name="SeventeenPoints">'[1]ESDS-UnderTheHood'!$P$2:$P$3</definedName>
    <definedName name="Spec_Needs">[2]Under_the_Hood!$C$53:$C$65</definedName>
    <definedName name="SpecNeeds">'[1]Under the LIHTC Hood'!$D$55:$D$60</definedName>
    <definedName name="SpecNeeds10">#REF!</definedName>
    <definedName name="SpecNeeds20" localSheetId="35">[4]ScoringLists!$B$130:$B$138</definedName>
    <definedName name="SpecNeeds20">#REF!</definedName>
    <definedName name="TargetedArea">'[1]Under the LIHTC Hood'!$D$83:$D$86</definedName>
    <definedName name="TDC_limit" localSheetId="35">[5]ScoringLists!$B$291:$B$292</definedName>
    <definedName name="TDC_Limit">LIHTC_ScoringLists!$B$387:$B$391</definedName>
    <definedName name="TenPoints">'[1]ESDS-UnderTheHood'!$F$9:$F$10</definedName>
    <definedName name="ThreeOrFive">'[1]ESDS-UnderTheHood'!$B$9:$B$11</definedName>
    <definedName name="ThreeOrSeven">'[1]ESDS-UnderTheHood'!$P$9:$P$11</definedName>
    <definedName name="ThreePoints">'[1]ESDS-UnderTheHood'!$H$9:$H$10</definedName>
    <definedName name="toma12345">#REF!</definedName>
    <definedName name="tomna">#REF!</definedName>
    <definedName name="tomna123456">#REF!</definedName>
    <definedName name="tomna5">#REF!</definedName>
    <definedName name="tona">#REF!</definedName>
    <definedName name="tona1">#REF!</definedName>
    <definedName name="tona10">#REF!</definedName>
    <definedName name="tona123">#REF!</definedName>
    <definedName name="tona12345">#REF!</definedName>
    <definedName name="tona12345678910">#REF!</definedName>
    <definedName name="tona1246">#REF!</definedName>
    <definedName name="tona2">#REF!</definedName>
    <definedName name="tona235">#REF!</definedName>
    <definedName name="tona257">#REF!</definedName>
    <definedName name="tona3">#REF!</definedName>
    <definedName name="tona37">#REF!</definedName>
    <definedName name="tona4">#REF!</definedName>
    <definedName name="tona5">#REF!</definedName>
    <definedName name="tona68">#REF!</definedName>
    <definedName name="tona7">#REF!</definedName>
    <definedName name="TwoFiveSeven">'[1]ESDS-UnderTheHood'!$N$2:$N$5</definedName>
    <definedName name="TwoFourSixEight">'[1]ESDS-UnderTheHood'!$D$29:$D$33</definedName>
    <definedName name="TwoPoints">'[1]ESDS-UnderTheHood'!$H$2:$H$3</definedName>
    <definedName name="TwoThreeFive">'[1]ESDS-UnderTheHood'!$H$16:$H$19</definedName>
    <definedName name="TwoTo7">'[1]ESDS-UnderTheHood'!$D$9:$D$13</definedName>
    <definedName name="Type">'ESDS-Lookup Table'!$B$2:$B$5</definedName>
    <definedName name="UnitAMI">'[1]Under the Hood'!$C$36:$C$40</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ars" localSheetId="35">[4]ScoringLists!$B$102:$B$124</definedName>
    <definedName name="Years">#REF!</definedName>
    <definedName name="Yes_No_Either">Dropdowns!$B$30:$B$33</definedName>
    <definedName name="Yes_No_Partial">Dropdowns!$B$35:$B$38</definedName>
    <definedName name="Yes_or_No" localSheetId="35">'[1]Under the Hood'!$C$42:$C$44</definedName>
    <definedName name="Yes_or_No">Dropdowns!$B$26:$B$28</definedName>
    <definedName name="YesNoBonus">'[1]Under the LIHTC Hood'!$D$87:$D$88</definedName>
    <definedName name="Z_BF20CC56_EA05_47B4_8174_543B4536EDD8_.wvu.PrintArea" localSheetId="34">'11B'!$A$1:$N$184</definedName>
    <definedName name="zn">#REF!</definedName>
    <definedName name="zna100">[7]Key!#REF!</definedName>
    <definedName name="zna19">[7]Key!#REF!</definedName>
    <definedName name="zna58">[7]Key!#REF!</definedName>
    <definedName name="zna68">[7]Key!#REF!</definedName>
    <definedName name="zo">#REF!</definedName>
  </definedNames>
  <calcPr calcId="171027" iterate="1"/>
  <extLst>
    <ext xmlns:mx="http://schemas.microsoft.com/office/mac/excel/2008/main" uri="{7523E5D3-25F3-A5E0-1632-64F254C22452}">
      <mx:ArchID Flags="2"/>
    </ext>
  </extLst>
</workbook>
</file>

<file path=xl/calcChain.xml><?xml version="1.0" encoding="utf-8"?>
<calcChain xmlns="http://schemas.openxmlformats.org/spreadsheetml/2006/main">
  <c r="L44" i="36" l="1"/>
  <c r="H91" i="20"/>
  <c r="H81" i="20"/>
  <c r="I81" i="20" s="1"/>
  <c r="J81" i="20" s="1"/>
  <c r="H79" i="20"/>
  <c r="F19" i="36"/>
  <c r="H19" i="36" s="1"/>
  <c r="H32" i="36"/>
  <c r="H33" i="36"/>
  <c r="K33" i="36"/>
  <c r="L33" i="36"/>
  <c r="H34" i="36"/>
  <c r="K34" i="36"/>
  <c r="L34" i="36"/>
  <c r="N34" i="36" s="1"/>
  <c r="H35" i="36"/>
  <c r="L35" i="36" s="1"/>
  <c r="N35" i="36" s="1"/>
  <c r="K35" i="36"/>
  <c r="H36" i="36"/>
  <c r="L36" i="36" s="1"/>
  <c r="K36" i="36"/>
  <c r="H37" i="36"/>
  <c r="K37" i="36"/>
  <c r="H38" i="36"/>
  <c r="K38" i="36" s="1"/>
  <c r="H39" i="36"/>
  <c r="K39" i="36" s="1"/>
  <c r="H40" i="36"/>
  <c r="L54" i="36"/>
  <c r="F54" i="20"/>
  <c r="F18" i="36"/>
  <c r="H18" i="36" s="1"/>
  <c r="K18" i="36" s="1"/>
  <c r="J58" i="9"/>
  <c r="S58" i="9"/>
  <c r="L18" i="36"/>
  <c r="N18" i="36" s="1"/>
  <c r="H17" i="36"/>
  <c r="L17" i="36" s="1"/>
  <c r="K17" i="36"/>
  <c r="H94" i="20"/>
  <c r="N32" i="9"/>
  <c r="L32" i="9" s="1"/>
  <c r="J36" i="9"/>
  <c r="S36" i="9"/>
  <c r="N36" i="9"/>
  <c r="K36" i="9" s="1"/>
  <c r="I35" i="11" s="1"/>
  <c r="K35" i="11" s="1"/>
  <c r="J43" i="9"/>
  <c r="S43" i="9"/>
  <c r="O125" i="9"/>
  <c r="O126" i="9" s="1"/>
  <c r="H25" i="16"/>
  <c r="H24" i="16"/>
  <c r="M24" i="16" s="1"/>
  <c r="J20" i="16"/>
  <c r="K20" i="16" s="1"/>
  <c r="N20" i="16" s="1"/>
  <c r="J23" i="16"/>
  <c r="K23" i="16" s="1"/>
  <c r="N23" i="16" s="1"/>
  <c r="H22" i="16"/>
  <c r="H21" i="16"/>
  <c r="H18" i="16"/>
  <c r="H19" i="16"/>
  <c r="J17" i="16"/>
  <c r="K17" i="16" s="1"/>
  <c r="N17" i="16" s="1"/>
  <c r="O17" i="16" s="1"/>
  <c r="H16" i="16"/>
  <c r="J16" i="16" s="1"/>
  <c r="M125" i="9"/>
  <c r="L125" i="9"/>
  <c r="M22" i="9"/>
  <c r="K22" i="9" s="1"/>
  <c r="M25" i="9"/>
  <c r="M47" i="9"/>
  <c r="M63" i="9"/>
  <c r="M68" i="9"/>
  <c r="M76" i="9"/>
  <c r="M85" i="9"/>
  <c r="M87" i="9"/>
  <c r="M93" i="9"/>
  <c r="M107" i="9"/>
  <c r="M118" i="9"/>
  <c r="S32" i="9"/>
  <c r="S45" i="9"/>
  <c r="N45" i="9" s="1"/>
  <c r="K45" i="9" s="1"/>
  <c r="I44" i="11"/>
  <c r="K44" i="11" s="1"/>
  <c r="J46" i="9"/>
  <c r="N46" i="9" s="1"/>
  <c r="K46" i="9" s="1"/>
  <c r="I45" i="11" s="1"/>
  <c r="K45" i="11" s="1"/>
  <c r="S46" i="9"/>
  <c r="L51" i="9"/>
  <c r="K51" i="9"/>
  <c r="I50" i="11" s="1"/>
  <c r="K50" i="11" s="1"/>
  <c r="S52" i="9"/>
  <c r="L52" i="9" s="1"/>
  <c r="S54" i="9"/>
  <c r="L54" i="9" s="1"/>
  <c r="K54" i="9" s="1"/>
  <c r="I53" i="11" s="1"/>
  <c r="K53" i="11" s="1"/>
  <c r="S55" i="9"/>
  <c r="L55" i="9"/>
  <c r="K55" i="9" s="1"/>
  <c r="I54" i="11" s="1"/>
  <c r="K54" i="11" s="1"/>
  <c r="S56" i="9"/>
  <c r="L56" i="9"/>
  <c r="K56" i="9" s="1"/>
  <c r="I55" i="11" s="1"/>
  <c r="K55" i="11" s="1"/>
  <c r="S60" i="9"/>
  <c r="L60" i="9"/>
  <c r="K60" i="9" s="1"/>
  <c r="I59" i="11" s="1"/>
  <c r="K59" i="11" s="1"/>
  <c r="S61" i="9"/>
  <c r="L61" i="9"/>
  <c r="K61" i="9"/>
  <c r="I60" i="11" s="1"/>
  <c r="K60" i="11" s="1"/>
  <c r="K62" i="9"/>
  <c r="I61" i="11"/>
  <c r="K61" i="11"/>
  <c r="L71" i="9"/>
  <c r="K71" i="9"/>
  <c r="L72" i="9"/>
  <c r="K72" i="9"/>
  <c r="I71" i="11"/>
  <c r="K71" i="11" s="1"/>
  <c r="L73" i="9"/>
  <c r="K73" i="9"/>
  <c r="I72" i="11" s="1"/>
  <c r="K72" i="11" s="1"/>
  <c r="N74" i="9"/>
  <c r="K74" i="9"/>
  <c r="I73" i="11"/>
  <c r="K73" i="11" s="1"/>
  <c r="S96" i="9"/>
  <c r="N96" i="9" s="1"/>
  <c r="S97" i="9"/>
  <c r="N97" i="9" s="1"/>
  <c r="K97" i="9" s="1"/>
  <c r="I96" i="11" s="1"/>
  <c r="K96" i="11" s="1"/>
  <c r="K98" i="9"/>
  <c r="I97" i="11" s="1"/>
  <c r="K97" i="11" s="1"/>
  <c r="S99" i="9"/>
  <c r="N99" i="9" s="1"/>
  <c r="K99" i="9" s="1"/>
  <c r="S100" i="9"/>
  <c r="N100" i="9" s="1"/>
  <c r="K100" i="9" s="1"/>
  <c r="I99" i="11" s="1"/>
  <c r="K99" i="11" s="1"/>
  <c r="K101" i="9"/>
  <c r="I100" i="11"/>
  <c r="K100" i="11" s="1"/>
  <c r="K102" i="9"/>
  <c r="I101" i="11" s="1"/>
  <c r="K101" i="11" s="1"/>
  <c r="S104" i="9"/>
  <c r="N104" i="9" s="1"/>
  <c r="K104" i="9" s="1"/>
  <c r="I103" i="11" s="1"/>
  <c r="K103" i="11" s="1"/>
  <c r="G24" i="12"/>
  <c r="J27" i="11"/>
  <c r="J46" i="11"/>
  <c r="J62" i="11"/>
  <c r="J75" i="11"/>
  <c r="J106" i="11"/>
  <c r="J118" i="11"/>
  <c r="F16" i="12" s="1"/>
  <c r="F21" i="12" s="1"/>
  <c r="F23" i="12" s="1"/>
  <c r="F26" i="12" s="1"/>
  <c r="F28" i="12" s="1"/>
  <c r="F30" i="12" s="1"/>
  <c r="K31" i="9"/>
  <c r="K33" i="9"/>
  <c r="K34" i="9"/>
  <c r="K35" i="9"/>
  <c r="K37" i="9"/>
  <c r="K38" i="9"/>
  <c r="K39" i="9"/>
  <c r="K40" i="9"/>
  <c r="K41" i="9"/>
  <c r="K42" i="9"/>
  <c r="K44" i="9"/>
  <c r="L50" i="9"/>
  <c r="K50" i="9"/>
  <c r="K53" i="9"/>
  <c r="S57" i="9"/>
  <c r="L57" i="9"/>
  <c r="K57" i="9" s="1"/>
  <c r="S59" i="9"/>
  <c r="L59" i="9" s="1"/>
  <c r="K59" i="9" s="1"/>
  <c r="K23" i="9"/>
  <c r="K24" i="9"/>
  <c r="K25" i="9"/>
  <c r="K26" i="9"/>
  <c r="K27" i="9"/>
  <c r="L66" i="9"/>
  <c r="K66" i="9" s="1"/>
  <c r="L67" i="9"/>
  <c r="K67" i="9"/>
  <c r="N75" i="9"/>
  <c r="K75" i="9" s="1"/>
  <c r="I74" i="11" s="1"/>
  <c r="K79" i="9"/>
  <c r="K80" i="9"/>
  <c r="K81" i="9"/>
  <c r="S82" i="9"/>
  <c r="N82" i="9" s="1"/>
  <c r="S83" i="9"/>
  <c r="N83" i="9"/>
  <c r="K83" i="9"/>
  <c r="S84" i="9"/>
  <c r="N84" i="9"/>
  <c r="K84" i="9"/>
  <c r="K85" i="9"/>
  <c r="K86" i="9"/>
  <c r="S90" i="9"/>
  <c r="N90" i="9"/>
  <c r="K90" i="9" s="1"/>
  <c r="S91" i="9"/>
  <c r="N91" i="9"/>
  <c r="K91" i="9" s="1"/>
  <c r="K92" i="9"/>
  <c r="S103" i="9"/>
  <c r="N103" i="9"/>
  <c r="K103" i="9" s="1"/>
  <c r="S105" i="9"/>
  <c r="N105" i="9"/>
  <c r="K105" i="9" s="1"/>
  <c r="N106" i="9"/>
  <c r="K106" i="9" s="1"/>
  <c r="K111" i="9"/>
  <c r="K118" i="9" s="1"/>
  <c r="BN2" i="51" s="1"/>
  <c r="K112" i="9"/>
  <c r="K113" i="9"/>
  <c r="K114" i="9"/>
  <c r="K115" i="9"/>
  <c r="K116" i="9"/>
  <c r="K117" i="9"/>
  <c r="E32" i="49"/>
  <c r="F32" i="49"/>
  <c r="CD2" i="51" s="1"/>
  <c r="I22" i="3"/>
  <c r="G47" i="12"/>
  <c r="G49" i="12" s="1"/>
  <c r="G48" i="12"/>
  <c r="E45" i="49"/>
  <c r="F47" i="49" s="1"/>
  <c r="CB2" i="51" s="1"/>
  <c r="F45" i="49"/>
  <c r="J28" i="9"/>
  <c r="J47" i="9"/>
  <c r="BC2" i="51" s="1"/>
  <c r="J68" i="9"/>
  <c r="J76" i="9"/>
  <c r="J87" i="9"/>
  <c r="J93" i="9"/>
  <c r="J107" i="9"/>
  <c r="J118" i="9"/>
  <c r="BM2" i="51" s="1"/>
  <c r="G19" i="52"/>
  <c r="H19" i="52"/>
  <c r="I19" i="52"/>
  <c r="L19" i="52"/>
  <c r="M19" i="52"/>
  <c r="M21" i="52"/>
  <c r="T28" i="9"/>
  <c r="T47" i="9"/>
  <c r="T63" i="9"/>
  <c r="T68" i="9"/>
  <c r="T76" i="9"/>
  <c r="T87" i="9"/>
  <c r="T93" i="9"/>
  <c r="T107" i="9"/>
  <c r="T118" i="9"/>
  <c r="T121" i="9"/>
  <c r="U28" i="9"/>
  <c r="U47" i="9"/>
  <c r="U63" i="9"/>
  <c r="U68" i="9"/>
  <c r="U76" i="9"/>
  <c r="U87" i="9"/>
  <c r="U93" i="9"/>
  <c r="U107" i="9"/>
  <c r="U118" i="9"/>
  <c r="N28" i="9"/>
  <c r="N63" i="9"/>
  <c r="N68" i="9"/>
  <c r="N118" i="9"/>
  <c r="L87" i="9"/>
  <c r="L76" i="9"/>
  <c r="L28" i="9"/>
  <c r="L93" i="9"/>
  <c r="L107" i="9"/>
  <c r="L118" i="9"/>
  <c r="O63" i="9"/>
  <c r="O28" i="9"/>
  <c r="O47" i="9"/>
  <c r="O68" i="9"/>
  <c r="O76" i="9"/>
  <c r="O121" i="9" s="1"/>
  <c r="O87" i="9"/>
  <c r="O93" i="9"/>
  <c r="O107" i="9"/>
  <c r="O118" i="9"/>
  <c r="P28" i="9"/>
  <c r="P47" i="9"/>
  <c r="P63" i="9"/>
  <c r="P121" i="9" s="1"/>
  <c r="P68" i="9"/>
  <c r="P76" i="9"/>
  <c r="P87" i="9"/>
  <c r="P93" i="9"/>
  <c r="P107" i="9"/>
  <c r="P118" i="9"/>
  <c r="Q28" i="9"/>
  <c r="Q47" i="9"/>
  <c r="Q63" i="9"/>
  <c r="Q68" i="9"/>
  <c r="Q76" i="9"/>
  <c r="Q87" i="9"/>
  <c r="Q93" i="9"/>
  <c r="Q107" i="9"/>
  <c r="Q118" i="9"/>
  <c r="P125" i="9"/>
  <c r="P126" i="9" s="1"/>
  <c r="Q125" i="9"/>
  <c r="U125" i="9"/>
  <c r="K20" i="4"/>
  <c r="K21" i="4"/>
  <c r="K34" i="4" s="1"/>
  <c r="K22" i="4"/>
  <c r="K23" i="4"/>
  <c r="K24" i="4"/>
  <c r="O24" i="4" s="1"/>
  <c r="K25" i="4"/>
  <c r="K26" i="4"/>
  <c r="K27" i="4"/>
  <c r="K28" i="4"/>
  <c r="K29" i="4"/>
  <c r="K30" i="4"/>
  <c r="K31" i="4"/>
  <c r="K32" i="4"/>
  <c r="O32" i="4" s="1"/>
  <c r="K33" i="4"/>
  <c r="L109" i="46"/>
  <c r="H76" i="46"/>
  <c r="M14" i="16"/>
  <c r="M18" i="16"/>
  <c r="M20" i="16"/>
  <c r="H15" i="16"/>
  <c r="M15" i="16"/>
  <c r="M17" i="16"/>
  <c r="M19" i="16"/>
  <c r="M21" i="16"/>
  <c r="M22" i="16"/>
  <c r="M23" i="16"/>
  <c r="M25" i="16"/>
  <c r="M26" i="16"/>
  <c r="M29" i="16"/>
  <c r="N19" i="16"/>
  <c r="J14" i="16"/>
  <c r="K14" i="16" s="1"/>
  <c r="N14" i="16" s="1"/>
  <c r="N15" i="16"/>
  <c r="N16" i="16"/>
  <c r="N18" i="16"/>
  <c r="N21" i="16"/>
  <c r="N22" i="16"/>
  <c r="N24" i="16"/>
  <c r="N25" i="16"/>
  <c r="N26" i="16"/>
  <c r="N29" i="16"/>
  <c r="D21" i="17"/>
  <c r="E21" i="17"/>
  <c r="F21" i="17"/>
  <c r="H25" i="20" s="1"/>
  <c r="I25" i="20" s="1"/>
  <c r="J25" i="20" s="1"/>
  <c r="D30" i="17"/>
  <c r="CF2" i="51" s="1"/>
  <c r="E30" i="17"/>
  <c r="CG2" i="51" s="1"/>
  <c r="J18" i="16"/>
  <c r="D39" i="17"/>
  <c r="E39" i="17"/>
  <c r="F39" i="17" s="1"/>
  <c r="H38" i="20"/>
  <c r="N33" i="36"/>
  <c r="K73" i="48"/>
  <c r="J2" i="51"/>
  <c r="BH2" i="51"/>
  <c r="BG2" i="51"/>
  <c r="E2" i="51"/>
  <c r="D2" i="51"/>
  <c r="C2" i="51"/>
  <c r="I28" i="20"/>
  <c r="J28" i="20" s="1"/>
  <c r="I29" i="20"/>
  <c r="J29" i="20" s="1"/>
  <c r="J38" i="20"/>
  <c r="H16" i="36"/>
  <c r="K16" i="36" s="1"/>
  <c r="L16" i="36" s="1"/>
  <c r="L26" i="36"/>
  <c r="I73" i="20"/>
  <c r="J73" i="20"/>
  <c r="I74" i="20"/>
  <c r="J74" i="20" s="1"/>
  <c r="I75" i="20"/>
  <c r="J75" i="20" s="1"/>
  <c r="K75" i="20" s="1"/>
  <c r="I76" i="20"/>
  <c r="J76" i="20"/>
  <c r="I77" i="20"/>
  <c r="J77" i="20"/>
  <c r="I78" i="20"/>
  <c r="J78" i="20" s="1"/>
  <c r="I79" i="20"/>
  <c r="J79" i="20" s="1"/>
  <c r="I80" i="20"/>
  <c r="J80" i="20"/>
  <c r="I82" i="20"/>
  <c r="J82" i="20" s="1"/>
  <c r="I83" i="20"/>
  <c r="J83" i="20" s="1"/>
  <c r="I84" i="20"/>
  <c r="J84" i="20"/>
  <c r="I85" i="20"/>
  <c r="J85" i="20"/>
  <c r="I86" i="20"/>
  <c r="J86" i="20" s="1"/>
  <c r="I87" i="20"/>
  <c r="J87" i="20" s="1"/>
  <c r="I88" i="20"/>
  <c r="J88" i="20"/>
  <c r="K88" i="20" s="1"/>
  <c r="L88" i="20" s="1"/>
  <c r="I89" i="20"/>
  <c r="J89" i="20"/>
  <c r="I90" i="20"/>
  <c r="J90" i="20" s="1"/>
  <c r="K90" i="20" s="1"/>
  <c r="L90" i="20" s="1"/>
  <c r="I91" i="20"/>
  <c r="J91" i="20" s="1"/>
  <c r="I94" i="20"/>
  <c r="J94" i="20"/>
  <c r="J96" i="20" s="1"/>
  <c r="I95" i="20"/>
  <c r="CR2" i="51" s="1"/>
  <c r="J95" i="20"/>
  <c r="I100" i="20"/>
  <c r="J100" i="20"/>
  <c r="J49" i="20"/>
  <c r="I38" i="20"/>
  <c r="I96" i="20"/>
  <c r="I49" i="20"/>
  <c r="H96" i="20"/>
  <c r="H49" i="20"/>
  <c r="CQ2" i="51"/>
  <c r="CP2" i="51"/>
  <c r="CJ2" i="51"/>
  <c r="CI2" i="51"/>
  <c r="CH2" i="51"/>
  <c r="CC2" i="51"/>
  <c r="BT2" i="51"/>
  <c r="BZ2" i="51"/>
  <c r="BX2" i="51"/>
  <c r="BW2" i="51"/>
  <c r="BV2" i="51"/>
  <c r="BU2" i="51"/>
  <c r="N183" i="48"/>
  <c r="BQ2" i="51" s="1"/>
  <c r="N246" i="46"/>
  <c r="BP2" i="51" s="1"/>
  <c r="BO2" i="51" s="1"/>
  <c r="E20" i="49"/>
  <c r="F22" i="49" s="1"/>
  <c r="BS2" i="51" s="1"/>
  <c r="F20" i="49"/>
  <c r="BR2" i="51"/>
  <c r="BK2" i="51"/>
  <c r="BI2" i="51"/>
  <c r="BF2" i="51"/>
  <c r="BB2" i="51"/>
  <c r="BA2" i="51"/>
  <c r="AZ2" i="51"/>
  <c r="AY2" i="51"/>
  <c r="AX2" i="51"/>
  <c r="AW2" i="51"/>
  <c r="AV2" i="51"/>
  <c r="AU2" i="51"/>
  <c r="AT2" i="51"/>
  <c r="J48" i="38"/>
  <c r="J143" i="38" s="1"/>
  <c r="AL2" i="51" s="1"/>
  <c r="J60" i="38"/>
  <c r="J144" i="38" s="1"/>
  <c r="AM2" i="51" s="1"/>
  <c r="J69" i="38"/>
  <c r="J145" i="38" s="1"/>
  <c r="AN2" i="51" s="1"/>
  <c r="J92" i="38"/>
  <c r="J146" i="38"/>
  <c r="AO2" i="51"/>
  <c r="J103" i="38"/>
  <c r="J147" i="38"/>
  <c r="AP2" i="51"/>
  <c r="J129" i="38"/>
  <c r="J148" i="38"/>
  <c r="AQ2" i="51" s="1"/>
  <c r="J140" i="38"/>
  <c r="J149" i="38"/>
  <c r="AR2" i="51" s="1"/>
  <c r="J33" i="38"/>
  <c r="J142" i="38"/>
  <c r="O20" i="4"/>
  <c r="O21" i="4"/>
  <c r="O34" i="4" s="1"/>
  <c r="AJ2" i="51" s="1"/>
  <c r="O22" i="4"/>
  <c r="O23" i="4"/>
  <c r="O25" i="4"/>
  <c r="O26" i="4"/>
  <c r="O27" i="4"/>
  <c r="O28" i="4"/>
  <c r="O29" i="4"/>
  <c r="O30" i="4"/>
  <c r="O31" i="4"/>
  <c r="O33" i="4"/>
  <c r="D51" i="16"/>
  <c r="AH2" i="51" s="1"/>
  <c r="E51" i="16"/>
  <c r="F51" i="16"/>
  <c r="AB2" i="51"/>
  <c r="H51" i="16"/>
  <c r="AD2" i="51"/>
  <c r="I51" i="16"/>
  <c r="AE2" i="51"/>
  <c r="J51" i="16"/>
  <c r="AF2" i="51" s="1"/>
  <c r="K51" i="16"/>
  <c r="AG2" i="51" s="1"/>
  <c r="G51" i="16"/>
  <c r="AC2" i="51"/>
  <c r="D35" i="16"/>
  <c r="D36" i="16"/>
  <c r="D37" i="16"/>
  <c r="D38" i="16"/>
  <c r="D39" i="16"/>
  <c r="D40" i="16"/>
  <c r="D41" i="16"/>
  <c r="D42" i="16"/>
  <c r="D43" i="16"/>
  <c r="D44" i="16"/>
  <c r="D46" i="16"/>
  <c r="D47" i="16"/>
  <c r="K35" i="16"/>
  <c r="K36" i="16"/>
  <c r="K37" i="16"/>
  <c r="K38" i="16"/>
  <c r="K39" i="16"/>
  <c r="K40" i="16"/>
  <c r="K41" i="16"/>
  <c r="K42" i="16"/>
  <c r="K43" i="16"/>
  <c r="K44" i="16"/>
  <c r="K46" i="16"/>
  <c r="K47" i="16"/>
  <c r="J35" i="16"/>
  <c r="J36" i="16"/>
  <c r="J37" i="16"/>
  <c r="J38" i="16"/>
  <c r="J39" i="16"/>
  <c r="J40" i="16"/>
  <c r="J41" i="16"/>
  <c r="J42" i="16"/>
  <c r="J43" i="16"/>
  <c r="J44" i="16"/>
  <c r="J46" i="16"/>
  <c r="J47" i="16"/>
  <c r="I35" i="16"/>
  <c r="I36" i="16"/>
  <c r="I37" i="16"/>
  <c r="I38" i="16"/>
  <c r="I39" i="16"/>
  <c r="I40" i="16"/>
  <c r="I41" i="16"/>
  <c r="I42" i="16"/>
  <c r="I43" i="16"/>
  <c r="I44" i="16"/>
  <c r="I46" i="16"/>
  <c r="I47" i="16"/>
  <c r="H35" i="16"/>
  <c r="H36" i="16"/>
  <c r="H37" i="16"/>
  <c r="H38" i="16"/>
  <c r="H39" i="16"/>
  <c r="H40" i="16"/>
  <c r="H41" i="16"/>
  <c r="H42" i="16"/>
  <c r="H43" i="16"/>
  <c r="H44" i="16"/>
  <c r="H46" i="16"/>
  <c r="H47" i="16"/>
  <c r="G35" i="16"/>
  <c r="G36" i="16"/>
  <c r="G37" i="16"/>
  <c r="G38" i="16"/>
  <c r="G39" i="16"/>
  <c r="G40" i="16"/>
  <c r="G41" i="16"/>
  <c r="G42" i="16"/>
  <c r="G43" i="16"/>
  <c r="G44" i="16"/>
  <c r="G46" i="16"/>
  <c r="G47" i="16"/>
  <c r="E35" i="16"/>
  <c r="E36" i="16"/>
  <c r="E37" i="16"/>
  <c r="E38" i="16"/>
  <c r="E39" i="16"/>
  <c r="E40" i="16"/>
  <c r="E41" i="16"/>
  <c r="E42" i="16"/>
  <c r="E43" i="16"/>
  <c r="E44" i="16"/>
  <c r="E46" i="16"/>
  <c r="E47" i="16"/>
  <c r="F35" i="16"/>
  <c r="F36" i="16"/>
  <c r="F37" i="16"/>
  <c r="F38" i="16"/>
  <c r="F39" i="16"/>
  <c r="F40" i="16"/>
  <c r="F41" i="16"/>
  <c r="L41" i="16"/>
  <c r="F42" i="16"/>
  <c r="F43" i="16"/>
  <c r="F44" i="16"/>
  <c r="F46" i="16"/>
  <c r="F47" i="16"/>
  <c r="N5" i="51"/>
  <c r="M5" i="51"/>
  <c r="K5" i="51"/>
  <c r="I2" i="51"/>
  <c r="H2" i="51"/>
  <c r="G2" i="51"/>
  <c r="F2" i="51"/>
  <c r="B2" i="51"/>
  <c r="A2" i="51"/>
  <c r="N54" i="36"/>
  <c r="O54" i="36"/>
  <c r="P54" i="36"/>
  <c r="Q54" i="36"/>
  <c r="R54" i="36"/>
  <c r="O41" i="36"/>
  <c r="P41" i="36"/>
  <c r="Q41" i="36"/>
  <c r="R41" i="36"/>
  <c r="K50" i="16"/>
  <c r="J50" i="16"/>
  <c r="I50" i="16"/>
  <c r="H50" i="16"/>
  <c r="G50" i="16"/>
  <c r="F50" i="16"/>
  <c r="E50" i="16"/>
  <c r="D50" i="16"/>
  <c r="T41" i="15"/>
  <c r="I14" i="13"/>
  <c r="I15" i="13"/>
  <c r="I18" i="13"/>
  <c r="I19" i="13"/>
  <c r="I20" i="13"/>
  <c r="I21" i="13"/>
  <c r="I22" i="13"/>
  <c r="I23" i="13"/>
  <c r="I24" i="13"/>
  <c r="I25" i="13"/>
  <c r="I29" i="13"/>
  <c r="I30" i="13"/>
  <c r="I31" i="13"/>
  <c r="I32" i="13"/>
  <c r="I33" i="13"/>
  <c r="I34" i="13"/>
  <c r="I35" i="13"/>
  <c r="I36" i="13"/>
  <c r="I37" i="13"/>
  <c r="I40" i="13"/>
  <c r="I45" i="13" s="1"/>
  <c r="I41" i="13"/>
  <c r="I43" i="13"/>
  <c r="I44" i="13"/>
  <c r="I48" i="13"/>
  <c r="I49" i="13"/>
  <c r="I50" i="13"/>
  <c r="I51" i="13"/>
  <c r="I55" i="13"/>
  <c r="I56" i="13"/>
  <c r="F19" i="7"/>
  <c r="C33" i="15"/>
  <c r="C32" i="15"/>
  <c r="C31" i="15"/>
  <c r="C30" i="15"/>
  <c r="C29" i="15"/>
  <c r="C28" i="15"/>
  <c r="C27" i="15"/>
  <c r="C22" i="15"/>
  <c r="C21" i="15"/>
  <c r="C20" i="15"/>
  <c r="F13" i="7"/>
  <c r="F14" i="7"/>
  <c r="F15" i="7"/>
  <c r="F16" i="7"/>
  <c r="F17" i="7"/>
  <c r="F18" i="7"/>
  <c r="Q27" i="36"/>
  <c r="P31" i="36"/>
  <c r="P43" i="36" s="1"/>
  <c r="Q31" i="36"/>
  <c r="Q43" i="36"/>
  <c r="R15" i="36"/>
  <c r="Q15" i="36"/>
  <c r="F36" i="17"/>
  <c r="F28" i="17"/>
  <c r="G23" i="37"/>
  <c r="C12" i="49"/>
  <c r="C14" i="48"/>
  <c r="C79" i="48" s="1"/>
  <c r="C139" i="48"/>
  <c r="C17" i="46"/>
  <c r="C217" i="46" s="1"/>
  <c r="C150" i="46"/>
  <c r="C84" i="46"/>
  <c r="L8" i="3"/>
  <c r="L9" i="3"/>
  <c r="L10" i="3"/>
  <c r="L11" i="3"/>
  <c r="L12" i="3"/>
  <c r="L13" i="3"/>
  <c r="L14" i="3"/>
  <c r="L15" i="3"/>
  <c r="L22" i="3" s="1"/>
  <c r="G77" i="20" s="1"/>
  <c r="L16" i="3"/>
  <c r="L17" i="3"/>
  <c r="L18" i="3"/>
  <c r="L19" i="3"/>
  <c r="L20" i="3"/>
  <c r="L21" i="3"/>
  <c r="R31" i="36"/>
  <c r="R43" i="36"/>
  <c r="O31" i="36"/>
  <c r="O43" i="36" s="1"/>
  <c r="M144" i="46"/>
  <c r="K103" i="48"/>
  <c r="K105" i="48"/>
  <c r="K74" i="48"/>
  <c r="J28" i="48"/>
  <c r="L90" i="46"/>
  <c r="J35" i="46"/>
  <c r="L244" i="4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G37" i="9"/>
  <c r="G36" i="9"/>
  <c r="H20" i="36"/>
  <c r="C66" i="20"/>
  <c r="C10" i="26"/>
  <c r="C18" i="25"/>
  <c r="C15" i="24"/>
  <c r="C10" i="23"/>
  <c r="C5" i="22"/>
  <c r="C10" i="21"/>
  <c r="C16" i="20"/>
  <c r="C12" i="36"/>
  <c r="C13" i="17"/>
  <c r="C11" i="16"/>
  <c r="C14" i="15"/>
  <c r="C10" i="13"/>
  <c r="C9" i="12"/>
  <c r="C13" i="11"/>
  <c r="C9" i="10"/>
  <c r="C15" i="9"/>
  <c r="C14" i="8"/>
  <c r="C5" i="7"/>
  <c r="C18" i="6"/>
  <c r="F18" i="38"/>
  <c r="C15" i="4"/>
  <c r="C5" i="3"/>
  <c r="EF23" i="40"/>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K139" i="38"/>
  <c r="I139" i="38" a="1"/>
  <c r="I139" i="38" s="1"/>
  <c r="K138" i="38"/>
  <c r="I138" i="38" a="1"/>
  <c r="I138" i="38" s="1"/>
  <c r="K137" i="38"/>
  <c r="I137" i="38" a="1"/>
  <c r="I137" i="38"/>
  <c r="K136" i="38"/>
  <c r="I136" i="38" a="1"/>
  <c r="I136" i="38" s="1"/>
  <c r="I135" i="38" a="1"/>
  <c r="I135" i="38" s="1"/>
  <c r="K134" i="38"/>
  <c r="I134" i="38" a="1"/>
  <c r="I134" i="38"/>
  <c r="K128" i="38"/>
  <c r="I128" i="38" a="1"/>
  <c r="I128" i="38" s="1"/>
  <c r="K127" i="38"/>
  <c r="I127" i="38" a="1"/>
  <c r="I127" i="38" s="1"/>
  <c r="K126" i="38"/>
  <c r="I126" i="38" a="1"/>
  <c r="I126" i="38" s="1"/>
  <c r="K125" i="38"/>
  <c r="I125" i="38" a="1"/>
  <c r="I125" i="38"/>
  <c r="K124" i="38"/>
  <c r="I124" i="38" a="1"/>
  <c r="I124" i="38" s="1"/>
  <c r="K123" i="38"/>
  <c r="I123" i="38" a="1"/>
  <c r="I123" i="38" s="1"/>
  <c r="K122" i="38"/>
  <c r="I122" i="38" a="1"/>
  <c r="I122" i="38"/>
  <c r="K121" i="38"/>
  <c r="I121" i="38" a="1"/>
  <c r="I121" i="38"/>
  <c r="K120" i="38"/>
  <c r="I120" i="38" a="1"/>
  <c r="I120" i="38" s="1"/>
  <c r="K119" i="38"/>
  <c r="I119" i="38" a="1"/>
  <c r="I119" i="38" s="1"/>
  <c r="K118" i="38"/>
  <c r="I118" i="38" a="1"/>
  <c r="I118" i="38" s="1"/>
  <c r="K117" i="38"/>
  <c r="I117" i="38" a="1"/>
  <c r="I117" i="38"/>
  <c r="K116" i="38"/>
  <c r="I116" i="38" a="1"/>
  <c r="I116" i="38" s="1"/>
  <c r="K115" i="38"/>
  <c r="I115" i="38" a="1"/>
  <c r="I115" i="38" s="1"/>
  <c r="K114" i="38"/>
  <c r="I114" i="38" a="1"/>
  <c r="I114" i="38"/>
  <c r="K113" i="38"/>
  <c r="I113" i="38" a="1"/>
  <c r="I113" i="38"/>
  <c r="K112" i="38"/>
  <c r="I112" i="38" a="1"/>
  <c r="I112" i="38" s="1"/>
  <c r="K111" i="38"/>
  <c r="I111" i="38" a="1"/>
  <c r="I111" i="38" s="1"/>
  <c r="K110" i="38"/>
  <c r="I110" i="38" a="1"/>
  <c r="I110" i="38"/>
  <c r="K109" i="38"/>
  <c r="I109" i="38" a="1"/>
  <c r="I109" i="38"/>
  <c r="K108" i="38"/>
  <c r="I108" i="38" a="1"/>
  <c r="I108" i="38" s="1"/>
  <c r="I102" i="38" a="1"/>
  <c r="I102" i="38" s="1"/>
  <c r="I101" i="38" a="1"/>
  <c r="I101" i="38" s="1"/>
  <c r="K100" i="38"/>
  <c r="I100" i="38" a="1"/>
  <c r="I100" i="38"/>
  <c r="K99" i="38"/>
  <c r="I99" i="38" a="1"/>
  <c r="I99" i="38"/>
  <c r="K98" i="38"/>
  <c r="I98" i="38" a="1"/>
  <c r="I98" i="38"/>
  <c r="K97" i="38"/>
  <c r="I97" i="38" a="1"/>
  <c r="I97" i="38" s="1"/>
  <c r="K96" i="38"/>
  <c r="I96" i="38" a="1"/>
  <c r="I96" i="38"/>
  <c r="K91" i="38"/>
  <c r="I91" i="38" a="1"/>
  <c r="I91" i="38"/>
  <c r="K90" i="38"/>
  <c r="I90" i="38" a="1"/>
  <c r="I90" i="38"/>
  <c r="K89" i="38"/>
  <c r="I89" i="38" a="1"/>
  <c r="I89" i="38" s="1"/>
  <c r="K88" i="38"/>
  <c r="I88" i="38" a="1"/>
  <c r="I88" i="38" s="1"/>
  <c r="K87" i="38"/>
  <c r="I87" i="38" a="1"/>
  <c r="I87" i="38" s="1"/>
  <c r="K86" i="38"/>
  <c r="I86" i="38" a="1"/>
  <c r="I86" i="38"/>
  <c r="K85" i="38"/>
  <c r="I85" i="38" a="1"/>
  <c r="I85" i="38" s="1"/>
  <c r="K84" i="38"/>
  <c r="I84" i="38" a="1"/>
  <c r="I84" i="38" s="1"/>
  <c r="K83" i="38"/>
  <c r="I83" i="38" a="1"/>
  <c r="I83" i="38"/>
  <c r="K82" i="38"/>
  <c r="I82" i="38" a="1"/>
  <c r="I82" i="38"/>
  <c r="K81" i="38"/>
  <c r="I81" i="38" a="1"/>
  <c r="I81" i="38" s="1"/>
  <c r="K80" i="38"/>
  <c r="I80" i="38" a="1"/>
  <c r="I80" i="38" s="1"/>
  <c r="K79" i="38"/>
  <c r="I79" i="38" a="1"/>
  <c r="I79" i="38" s="1"/>
  <c r="K78" i="38"/>
  <c r="I78" i="38" a="1"/>
  <c r="I78" i="38"/>
  <c r="K77" i="38"/>
  <c r="I77" i="38" a="1"/>
  <c r="I77" i="38" s="1"/>
  <c r="K76" i="38"/>
  <c r="I76" i="38" a="1"/>
  <c r="I76" i="38" s="1"/>
  <c r="K75" i="38"/>
  <c r="I75" i="38" a="1"/>
  <c r="I75" i="38"/>
  <c r="K74" i="38"/>
  <c r="I74" i="38" a="1"/>
  <c r="I74" i="38"/>
  <c r="I68" i="38" a="1"/>
  <c r="I68" i="38" s="1"/>
  <c r="K67" i="38"/>
  <c r="I67" i="38" a="1"/>
  <c r="I67" i="38"/>
  <c r="K66" i="38"/>
  <c r="I66" i="38" a="1"/>
  <c r="I66" i="38"/>
  <c r="I65" i="38" a="1"/>
  <c r="I65" i="38" s="1"/>
  <c r="K64" i="38"/>
  <c r="I64" i="38" a="1"/>
  <c r="I64" i="38"/>
  <c r="K59" i="38"/>
  <c r="I59" i="38" a="1"/>
  <c r="I59" i="38"/>
  <c r="K58" i="38"/>
  <c r="I58" i="38" a="1"/>
  <c r="I58" i="38" s="1"/>
  <c r="K57" i="38"/>
  <c r="I57" i="38" a="1"/>
  <c r="I57" i="38" s="1"/>
  <c r="K56" i="38"/>
  <c r="I56" i="38" a="1"/>
  <c r="I56" i="38"/>
  <c r="K55" i="38"/>
  <c r="I55" i="38" a="1"/>
  <c r="I55" i="38"/>
  <c r="K54" i="38"/>
  <c r="I54" i="38" a="1"/>
  <c r="I54" i="38"/>
  <c r="K53" i="38"/>
  <c r="I53" i="38" a="1"/>
  <c r="I53" i="38" s="1"/>
  <c r="K52" i="38"/>
  <c r="I52" i="38" a="1"/>
  <c r="I52" i="38"/>
  <c r="K47" i="38"/>
  <c r="I47" i="38" a="1"/>
  <c r="I47" i="38"/>
  <c r="K46" i="38"/>
  <c r="I46" i="38" a="1"/>
  <c r="I46" i="38" s="1"/>
  <c r="K45" i="38"/>
  <c r="I45" i="38" a="1"/>
  <c r="I45" i="38" s="1"/>
  <c r="K44" i="38"/>
  <c r="I44" i="38" a="1"/>
  <c r="I44" i="38"/>
  <c r="K43" i="38"/>
  <c r="I43" i="38" a="1"/>
  <c r="I43" i="38"/>
  <c r="K42" i="38"/>
  <c r="I42" i="38" a="1"/>
  <c r="I42" i="38" s="1"/>
  <c r="K41" i="38"/>
  <c r="I41" i="38" a="1"/>
  <c r="I41" i="38"/>
  <c r="K40" i="38"/>
  <c r="I40" i="38" a="1"/>
  <c r="I40" i="38"/>
  <c r="K39" i="38"/>
  <c r="I39" i="38" a="1"/>
  <c r="I39" i="38"/>
  <c r="K38" i="38"/>
  <c r="I38" i="38" a="1"/>
  <c r="I38" i="38" s="1"/>
  <c r="K37" i="38"/>
  <c r="I37" i="38" a="1"/>
  <c r="I37" i="38"/>
  <c r="I32" i="38" a="1"/>
  <c r="I32" i="38" s="1"/>
  <c r="I31" i="38" a="1"/>
  <c r="I31" i="38"/>
  <c r="I30" i="38" a="1"/>
  <c r="I30" i="38"/>
  <c r="K29" i="38"/>
  <c r="I29" i="38" a="1"/>
  <c r="I29" i="38"/>
  <c r="I28" i="38" a="1"/>
  <c r="I28" i="38" s="1"/>
  <c r="K27" i="38"/>
  <c r="I27" i="38" a="1"/>
  <c r="I27" i="38"/>
  <c r="G24" i="37"/>
  <c r="G22" i="37"/>
  <c r="G21" i="37"/>
  <c r="G14" i="37"/>
  <c r="G13" i="37"/>
  <c r="G12" i="37"/>
  <c r="G11" i="37"/>
  <c r="G10" i="37"/>
  <c r="F17" i="17"/>
  <c r="F18" i="17"/>
  <c r="F19" i="17"/>
  <c r="F20" i="17"/>
  <c r="F26" i="17"/>
  <c r="F27" i="17"/>
  <c r="F29" i="17"/>
  <c r="F35" i="17"/>
  <c r="F37" i="17"/>
  <c r="F38" i="17"/>
  <c r="J19" i="16"/>
  <c r="L19" i="16" s="1"/>
  <c r="K89" i="20"/>
  <c r="L89" i="20" s="1"/>
  <c r="M89" i="20" s="1"/>
  <c r="N89" i="20" s="1"/>
  <c r="O89" i="20" s="1"/>
  <c r="P89" i="20" s="1"/>
  <c r="Q89" i="20" s="1"/>
  <c r="R89" i="20" s="1"/>
  <c r="S89" i="20"/>
  <c r="T89" i="20"/>
  <c r="U89" i="20" s="1"/>
  <c r="V89" i="20" s="1"/>
  <c r="E43" i="21"/>
  <c r="G90" i="20"/>
  <c r="G75" i="20"/>
  <c r="P15" i="36"/>
  <c r="O15" i="36"/>
  <c r="T44" i="15"/>
  <c r="T47" i="15"/>
  <c r="T46" i="15"/>
  <c r="T45" i="15"/>
  <c r="T43" i="15"/>
  <c r="T49" i="15" s="1"/>
  <c r="T42" i="15"/>
  <c r="T40" i="15"/>
  <c r="T39" i="15"/>
  <c r="T31" i="15"/>
  <c r="T33" i="15"/>
  <c r="T32" i="15"/>
  <c r="T30" i="15"/>
  <c r="T29" i="15"/>
  <c r="T34" i="15" s="1"/>
  <c r="T28" i="15"/>
  <c r="T27" i="15"/>
  <c r="T26" i="15"/>
  <c r="L23" i="15"/>
  <c r="L36" i="15" s="1"/>
  <c r="T22" i="15"/>
  <c r="T21" i="15"/>
  <c r="T20" i="15"/>
  <c r="T19" i="15"/>
  <c r="K49" i="15"/>
  <c r="D49" i="15"/>
  <c r="J49" i="15"/>
  <c r="I49" i="15"/>
  <c r="H49" i="15"/>
  <c r="G49" i="15"/>
  <c r="F49" i="15"/>
  <c r="E49" i="15"/>
  <c r="K34" i="15"/>
  <c r="J34" i="15"/>
  <c r="I34" i="15"/>
  <c r="H34" i="15"/>
  <c r="G34" i="15"/>
  <c r="F34" i="15"/>
  <c r="E34" i="15"/>
  <c r="D34" i="15"/>
  <c r="K23" i="15"/>
  <c r="J23" i="15"/>
  <c r="I23" i="15"/>
  <c r="H23" i="15"/>
  <c r="G23" i="15"/>
  <c r="F23" i="15"/>
  <c r="F36" i="15" s="1"/>
  <c r="E23" i="15"/>
  <c r="E36" i="15" s="1"/>
  <c r="D23" i="15"/>
  <c r="K36" i="15"/>
  <c r="K51" i="15" s="1"/>
  <c r="H36" i="15"/>
  <c r="H51" i="15" s="1"/>
  <c r="I36" i="15"/>
  <c r="F51" i="15"/>
  <c r="J36" i="15"/>
  <c r="J51" i="15"/>
  <c r="G36" i="15"/>
  <c r="G51" i="15" s="1"/>
  <c r="H24" i="36"/>
  <c r="R27" i="36"/>
  <c r="P27" i="36"/>
  <c r="O27" i="36"/>
  <c r="H23" i="36"/>
  <c r="K23" i="36" s="1"/>
  <c r="H22" i="36"/>
  <c r="K22" i="36" s="1"/>
  <c r="H21" i="36"/>
  <c r="K21" i="36"/>
  <c r="L23" i="36"/>
  <c r="K24" i="36"/>
  <c r="L24" i="36" s="1"/>
  <c r="L22" i="36"/>
  <c r="G33" i="6"/>
  <c r="J29" i="16"/>
  <c r="L29" i="16"/>
  <c r="J26" i="16"/>
  <c r="L26" i="16"/>
  <c r="O38" i="20"/>
  <c r="P38" i="20"/>
  <c r="Q38" i="20"/>
  <c r="R38" i="20"/>
  <c r="S38" i="20"/>
  <c r="T38" i="20"/>
  <c r="U38" i="20"/>
  <c r="V38" i="20"/>
  <c r="K100" i="20"/>
  <c r="L100" i="20" s="1"/>
  <c r="M100" i="20" s="1"/>
  <c r="N100" i="20"/>
  <c r="O100" i="20" s="1"/>
  <c r="P100" i="20" s="1"/>
  <c r="K95" i="20"/>
  <c r="L95" i="20"/>
  <c r="M95" i="20" s="1"/>
  <c r="N95" i="20"/>
  <c r="O95" i="20"/>
  <c r="P95" i="20" s="1"/>
  <c r="Q95" i="20"/>
  <c r="R95" i="20" s="1"/>
  <c r="S95" i="20"/>
  <c r="T95" i="20" s="1"/>
  <c r="U95" i="20" s="1"/>
  <c r="V95" i="20" s="1"/>
  <c r="K91" i="20"/>
  <c r="L91" i="20" s="1"/>
  <c r="M91" i="20"/>
  <c r="N91" i="20"/>
  <c r="O91" i="20" s="1"/>
  <c r="P91" i="20" s="1"/>
  <c r="Q91" i="20" s="1"/>
  <c r="R91" i="20" s="1"/>
  <c r="S91" i="20" s="1"/>
  <c r="T91" i="20" s="1"/>
  <c r="U91" i="20" s="1"/>
  <c r="V91" i="20" s="1"/>
  <c r="M90" i="20"/>
  <c r="N90" i="20" s="1"/>
  <c r="O90" i="20"/>
  <c r="P90" i="20" s="1"/>
  <c r="Q90" i="20" s="1"/>
  <c r="R90" i="20"/>
  <c r="S90" i="20" s="1"/>
  <c r="T90" i="20" s="1"/>
  <c r="U90" i="20" s="1"/>
  <c r="V90" i="20" s="1"/>
  <c r="M88" i="20"/>
  <c r="N88" i="20"/>
  <c r="O88" i="20"/>
  <c r="P88" i="20" s="1"/>
  <c r="Q88" i="20" s="1"/>
  <c r="R88" i="20" s="1"/>
  <c r="S88" i="20" s="1"/>
  <c r="T88" i="20" s="1"/>
  <c r="U88" i="20" s="1"/>
  <c r="V88" i="20" s="1"/>
  <c r="K87" i="20"/>
  <c r="L87" i="20"/>
  <c r="M87" i="20"/>
  <c r="N87" i="20"/>
  <c r="O87" i="20" s="1"/>
  <c r="P87" i="20" s="1"/>
  <c r="Q87" i="20" s="1"/>
  <c r="R87" i="20" s="1"/>
  <c r="S87" i="20"/>
  <c r="T87" i="20" s="1"/>
  <c r="U87" i="20" s="1"/>
  <c r="V87" i="20" s="1"/>
  <c r="K86" i="20"/>
  <c r="L86" i="20" s="1"/>
  <c r="M86" i="20"/>
  <c r="N86" i="20" s="1"/>
  <c r="O86" i="20" s="1"/>
  <c r="P86" i="20" s="1"/>
  <c r="Q86" i="20" s="1"/>
  <c r="R86" i="20" s="1"/>
  <c r="S86" i="20" s="1"/>
  <c r="T86" i="20" s="1"/>
  <c r="U86" i="20" s="1"/>
  <c r="V86" i="20" s="1"/>
  <c r="K85" i="20"/>
  <c r="L85" i="20" s="1"/>
  <c r="M85" i="20"/>
  <c r="N85" i="20" s="1"/>
  <c r="O85" i="20"/>
  <c r="P85" i="20" s="1"/>
  <c r="Q85" i="20" s="1"/>
  <c r="R85" i="20"/>
  <c r="S85" i="20" s="1"/>
  <c r="T85" i="20" s="1"/>
  <c r="U85" i="20" s="1"/>
  <c r="V85" i="20" s="1"/>
  <c r="K84" i="20"/>
  <c r="L84" i="20" s="1"/>
  <c r="M84" i="20" s="1"/>
  <c r="N84" i="20"/>
  <c r="O84" i="20" s="1"/>
  <c r="P84" i="20" s="1"/>
  <c r="Q84" i="20" s="1"/>
  <c r="R84" i="20" s="1"/>
  <c r="S84" i="20" s="1"/>
  <c r="T84" i="20" s="1"/>
  <c r="U84" i="20" s="1"/>
  <c r="V84" i="20" s="1"/>
  <c r="K83" i="20"/>
  <c r="L83" i="20"/>
  <c r="M83" i="20"/>
  <c r="N83" i="20" s="1"/>
  <c r="O83" i="20" s="1"/>
  <c r="P83" i="20" s="1"/>
  <c r="Q83" i="20"/>
  <c r="R83" i="20" s="1"/>
  <c r="S83" i="20" s="1"/>
  <c r="T83" i="20" s="1"/>
  <c r="U83" i="20" s="1"/>
  <c r="V83" i="20" s="1"/>
  <c r="K82" i="20"/>
  <c r="L82" i="20" s="1"/>
  <c r="M82" i="20" s="1"/>
  <c r="N82" i="20"/>
  <c r="O82" i="20" s="1"/>
  <c r="P82" i="20" s="1"/>
  <c r="Q82" i="20" s="1"/>
  <c r="R82" i="20" s="1"/>
  <c r="S82" i="20" s="1"/>
  <c r="T82" i="20" s="1"/>
  <c r="U82" i="20" s="1"/>
  <c r="V82" i="20" s="1"/>
  <c r="K81" i="20"/>
  <c r="L81" i="20"/>
  <c r="M81" i="20"/>
  <c r="N81" i="20" s="1"/>
  <c r="O81" i="20"/>
  <c r="P81" i="20" s="1"/>
  <c r="Q81" i="20" s="1"/>
  <c r="R81" i="20" s="1"/>
  <c r="S81" i="20" s="1"/>
  <c r="T81" i="20" s="1"/>
  <c r="U81" i="20" s="1"/>
  <c r="V81" i="20"/>
  <c r="K80" i="20"/>
  <c r="L80" i="20" s="1"/>
  <c r="M80" i="20"/>
  <c r="N80" i="20" s="1"/>
  <c r="O80" i="20" s="1"/>
  <c r="P80" i="20" s="1"/>
  <c r="Q80" i="20" s="1"/>
  <c r="R80" i="20" s="1"/>
  <c r="S80" i="20" s="1"/>
  <c r="T80" i="20" s="1"/>
  <c r="U80" i="20" s="1"/>
  <c r="V80" i="20" s="1"/>
  <c r="K79" i="20"/>
  <c r="L79" i="20" s="1"/>
  <c r="M79" i="20" s="1"/>
  <c r="N79" i="20" s="1"/>
  <c r="O79" i="20" s="1"/>
  <c r="P79" i="20" s="1"/>
  <c r="Q79" i="20" s="1"/>
  <c r="R79" i="20" s="1"/>
  <c r="S79" i="20" s="1"/>
  <c r="T79" i="20" s="1"/>
  <c r="U79" i="20" s="1"/>
  <c r="V79" i="20" s="1"/>
  <c r="K78" i="20"/>
  <c r="L78" i="20" s="1"/>
  <c r="M78" i="20"/>
  <c r="N78" i="20" s="1"/>
  <c r="O78" i="20" s="1"/>
  <c r="P78" i="20"/>
  <c r="Q78" i="20" s="1"/>
  <c r="R78" i="20" s="1"/>
  <c r="S78" i="20" s="1"/>
  <c r="T78" i="20" s="1"/>
  <c r="U78" i="20" s="1"/>
  <c r="V78" i="20"/>
  <c r="K77" i="20"/>
  <c r="L77" i="20" s="1"/>
  <c r="M77" i="20"/>
  <c r="N77" i="20" s="1"/>
  <c r="O77" i="20" s="1"/>
  <c r="P77" i="20" s="1"/>
  <c r="Q77" i="20" s="1"/>
  <c r="R77" i="20" s="1"/>
  <c r="S77" i="20" s="1"/>
  <c r="T77" i="20" s="1"/>
  <c r="U77" i="20" s="1"/>
  <c r="V77" i="20" s="1"/>
  <c r="K76" i="20"/>
  <c r="L76" i="20" s="1"/>
  <c r="M76" i="20"/>
  <c r="N76" i="20" s="1"/>
  <c r="O76" i="20" s="1"/>
  <c r="P76" i="20"/>
  <c r="Q76" i="20" s="1"/>
  <c r="R76" i="20" s="1"/>
  <c r="S76" i="20" s="1"/>
  <c r="T76" i="20" s="1"/>
  <c r="U76" i="20" s="1"/>
  <c r="V76" i="20"/>
  <c r="L75" i="20"/>
  <c r="M75" i="20"/>
  <c r="N75" i="20" s="1"/>
  <c r="O75" i="20" s="1"/>
  <c r="P75" i="20" s="1"/>
  <c r="Q75" i="20" s="1"/>
  <c r="R75" i="20" s="1"/>
  <c r="S75" i="20" s="1"/>
  <c r="T75" i="20" s="1"/>
  <c r="U75" i="20" s="1"/>
  <c r="V75" i="20" s="1"/>
  <c r="K74" i="20"/>
  <c r="L74" i="20" s="1"/>
  <c r="M74" i="20"/>
  <c r="N74" i="20" s="1"/>
  <c r="O74" i="20"/>
  <c r="P74" i="20" s="1"/>
  <c r="Q74" i="20" s="1"/>
  <c r="R74" i="20" s="1"/>
  <c r="S74" i="20" s="1"/>
  <c r="T74" i="20" s="1"/>
  <c r="U74" i="20" s="1"/>
  <c r="V74" i="20"/>
  <c r="K73" i="20"/>
  <c r="L73" i="20"/>
  <c r="M73" i="20" s="1"/>
  <c r="N73" i="20" s="1"/>
  <c r="O73" i="20" s="1"/>
  <c r="P73" i="20" s="1"/>
  <c r="Q73" i="20" s="1"/>
  <c r="R73" i="20" s="1"/>
  <c r="S73" i="20" s="1"/>
  <c r="T73" i="20" s="1"/>
  <c r="U73" i="20" s="1"/>
  <c r="V73" i="20" s="1"/>
  <c r="V49" i="20"/>
  <c r="U49" i="20"/>
  <c r="T49" i="20"/>
  <c r="S49" i="20"/>
  <c r="R49" i="20"/>
  <c r="Q49" i="20"/>
  <c r="P49" i="20"/>
  <c r="O49" i="20"/>
  <c r="O29" i="16"/>
  <c r="O26" i="16"/>
  <c r="Q100" i="20"/>
  <c r="R100" i="20" s="1"/>
  <c r="S100" i="20" s="1"/>
  <c r="T100" i="20" s="1"/>
  <c r="U100" i="20" s="1"/>
  <c r="V100" i="20" s="1"/>
  <c r="K94" i="20"/>
  <c r="S34" i="15"/>
  <c r="R34" i="15"/>
  <c r="Q34" i="15"/>
  <c r="P34" i="15"/>
  <c r="O34" i="15"/>
  <c r="N34" i="15"/>
  <c r="M34" i="15"/>
  <c r="M36" i="15" s="1"/>
  <c r="M51" i="15" s="1"/>
  <c r="L34" i="15"/>
  <c r="S23" i="15"/>
  <c r="S36" i="15" s="1"/>
  <c r="R23" i="15"/>
  <c r="R36" i="15" s="1"/>
  <c r="R51" i="15" s="1"/>
  <c r="Q23" i="15"/>
  <c r="Q36" i="15" s="1"/>
  <c r="Q51" i="15" s="1"/>
  <c r="P23" i="15"/>
  <c r="P36" i="15" s="1"/>
  <c r="P51" i="15" s="1"/>
  <c r="O23" i="15"/>
  <c r="O36" i="15"/>
  <c r="O51" i="15" s="1"/>
  <c r="N23" i="15"/>
  <c r="N36" i="15" s="1"/>
  <c r="N51" i="15" s="1"/>
  <c r="M23" i="15"/>
  <c r="L94" i="20"/>
  <c r="L96" i="20" s="1"/>
  <c r="K96" i="20"/>
  <c r="D23" i="22"/>
  <c r="D52" i="22"/>
  <c r="M94" i="20"/>
  <c r="N34" i="4"/>
  <c r="D68" i="20"/>
  <c r="D12" i="26"/>
  <c r="D21" i="25"/>
  <c r="D28" i="22"/>
  <c r="D27" i="22"/>
  <c r="D24" i="22"/>
  <c r="D19" i="22"/>
  <c r="D18" i="22"/>
  <c r="D17" i="22"/>
  <c r="D8" i="22"/>
  <c r="N49" i="20"/>
  <c r="M49" i="20"/>
  <c r="L49" i="20"/>
  <c r="K49" i="20"/>
  <c r="N38" i="20"/>
  <c r="M38" i="20"/>
  <c r="L38" i="20"/>
  <c r="K38" i="20"/>
  <c r="K29" i="20"/>
  <c r="L29" i="20" s="1"/>
  <c r="M29" i="20"/>
  <c r="N29" i="20" s="1"/>
  <c r="O29" i="20" s="1"/>
  <c r="P29" i="20" s="1"/>
  <c r="Q29" i="20" s="1"/>
  <c r="R29" i="20" s="1"/>
  <c r="S29" i="20"/>
  <c r="T29" i="20"/>
  <c r="U29" i="20"/>
  <c r="V29" i="20" s="1"/>
  <c r="K28" i="20"/>
  <c r="L28" i="20" s="1"/>
  <c r="M28" i="20" s="1"/>
  <c r="N28" i="20" s="1"/>
  <c r="O28" i="20" s="1"/>
  <c r="P28" i="20" s="1"/>
  <c r="Q28" i="20"/>
  <c r="R28" i="20" s="1"/>
  <c r="S28" i="20" s="1"/>
  <c r="T28" i="20" s="1"/>
  <c r="U28" i="20" s="1"/>
  <c r="V28" i="20" s="1"/>
  <c r="D30" i="16"/>
  <c r="J25" i="16"/>
  <c r="L25" i="16"/>
  <c r="J24" i="16"/>
  <c r="L24" i="16"/>
  <c r="J22" i="16"/>
  <c r="J21" i="16"/>
  <c r="L21" i="16"/>
  <c r="L20" i="16"/>
  <c r="L18" i="16"/>
  <c r="L17" i="16"/>
  <c r="L16" i="16"/>
  <c r="J15" i="16"/>
  <c r="S49" i="15"/>
  <c r="S51" i="15"/>
  <c r="R49" i="15"/>
  <c r="Q49" i="15"/>
  <c r="P49" i="15"/>
  <c r="O49" i="15"/>
  <c r="N49" i="15"/>
  <c r="M49" i="15"/>
  <c r="L49" i="15"/>
  <c r="L22" i="16"/>
  <c r="L23" i="16"/>
  <c r="L15" i="16"/>
  <c r="O20" i="16"/>
  <c r="O21" i="16"/>
  <c r="O25" i="16"/>
  <c r="L14" i="16"/>
  <c r="O24" i="16"/>
  <c r="O18" i="16"/>
  <c r="O22" i="16"/>
  <c r="O19" i="16"/>
  <c r="O23" i="16"/>
  <c r="O15" i="16"/>
  <c r="O14" i="16"/>
  <c r="T23" i="15"/>
  <c r="T36" i="15" s="1"/>
  <c r="T51" i="15" s="1"/>
  <c r="K25" i="20"/>
  <c r="L25" i="20" s="1"/>
  <c r="M25" i="20" s="1"/>
  <c r="N25" i="20" s="1"/>
  <c r="O25" i="20"/>
  <c r="P25" i="20"/>
  <c r="Q25" i="20" s="1"/>
  <c r="R25" i="20" s="1"/>
  <c r="S25" i="20" s="1"/>
  <c r="T25" i="20" s="1"/>
  <c r="U25" i="20" s="1"/>
  <c r="V25" i="20" s="1"/>
  <c r="S117" i="9"/>
  <c r="S116" i="9"/>
  <c r="S115" i="9"/>
  <c r="S114" i="9"/>
  <c r="S113" i="9"/>
  <c r="S112" i="9"/>
  <c r="S111" i="9"/>
  <c r="S118" i="9" s="1"/>
  <c r="S106" i="9"/>
  <c r="S102" i="9"/>
  <c r="S101" i="9"/>
  <c r="S98" i="9"/>
  <c r="S92" i="9"/>
  <c r="S86" i="9"/>
  <c r="S85" i="9"/>
  <c r="S81" i="9"/>
  <c r="S80" i="9"/>
  <c r="S87" i="9" s="1"/>
  <c r="S79" i="9"/>
  <c r="S75" i="9"/>
  <c r="S76" i="9" s="1"/>
  <c r="S74" i="9"/>
  <c r="S73" i="9"/>
  <c r="S72" i="9"/>
  <c r="S71" i="9"/>
  <c r="S67" i="9"/>
  <c r="S66" i="9"/>
  <c r="S68" i="9" s="1"/>
  <c r="S62" i="9"/>
  <c r="S53" i="9"/>
  <c r="S51" i="9"/>
  <c r="S50" i="9"/>
  <c r="S44" i="9"/>
  <c r="S42" i="9"/>
  <c r="S41" i="9"/>
  <c r="S40" i="9"/>
  <c r="S39" i="9"/>
  <c r="S38" i="9"/>
  <c r="S37" i="9"/>
  <c r="S35" i="9"/>
  <c r="S34" i="9"/>
  <c r="S47" i="9" s="1"/>
  <c r="S33" i="9"/>
  <c r="S31" i="9"/>
  <c r="S27" i="9"/>
  <c r="S26" i="9"/>
  <c r="S25" i="9"/>
  <c r="S28" i="9" s="1"/>
  <c r="S24" i="9"/>
  <c r="S23" i="9"/>
  <c r="I115" i="11"/>
  <c r="I112" i="11"/>
  <c r="I111" i="11"/>
  <c r="I65" i="11"/>
  <c r="I67" i="11" s="1"/>
  <c r="E61" i="11"/>
  <c r="I43" i="11"/>
  <c r="I39" i="11"/>
  <c r="S22" i="9"/>
  <c r="I41" i="11"/>
  <c r="I85" i="11"/>
  <c r="E85" i="11" s="1"/>
  <c r="I33" i="11"/>
  <c r="I56" i="11"/>
  <c r="I59" i="10"/>
  <c r="I110" i="11"/>
  <c r="I22" i="10"/>
  <c r="I30" i="11"/>
  <c r="I26" i="10"/>
  <c r="I34" i="11"/>
  <c r="I30" i="10"/>
  <c r="I38" i="11"/>
  <c r="I40" i="10"/>
  <c r="I49" i="11"/>
  <c r="I66" i="10"/>
  <c r="I78" i="11"/>
  <c r="I70" i="10"/>
  <c r="I82" i="11"/>
  <c r="I76" i="10"/>
  <c r="I89" i="11"/>
  <c r="I90" i="10"/>
  <c r="I104" i="11"/>
  <c r="I37" i="11"/>
  <c r="I43" i="10"/>
  <c r="I52" i="11"/>
  <c r="I45" i="10"/>
  <c r="I49" i="10"/>
  <c r="I58" i="11"/>
  <c r="I67" i="10"/>
  <c r="I79" i="11"/>
  <c r="I71" i="10"/>
  <c r="I83" i="11"/>
  <c r="I90" i="11"/>
  <c r="I92" i="11" s="1"/>
  <c r="I91" i="10"/>
  <c r="I105" i="11"/>
  <c r="E45" i="11"/>
  <c r="I114" i="11"/>
  <c r="I24" i="10"/>
  <c r="I32" i="11"/>
  <c r="I28" i="10"/>
  <c r="I36" i="11"/>
  <c r="I32" i="10"/>
  <c r="I40" i="11"/>
  <c r="I50" i="10"/>
  <c r="I66" i="11"/>
  <c r="I68" i="10"/>
  <c r="I80" i="11"/>
  <c r="I72" i="10"/>
  <c r="I84" i="11"/>
  <c r="I78" i="10"/>
  <c r="I91" i="11"/>
  <c r="E91" i="11" s="1"/>
  <c r="I88" i="10"/>
  <c r="I102" i="11"/>
  <c r="I109" i="11"/>
  <c r="I113" i="11"/>
  <c r="S63" i="9"/>
  <c r="S93" i="9"/>
  <c r="I97" i="10"/>
  <c r="I29" i="10"/>
  <c r="I25" i="10"/>
  <c r="I94" i="10"/>
  <c r="I62" i="10"/>
  <c r="I33" i="10"/>
  <c r="I46" i="10"/>
  <c r="I63" i="10"/>
  <c r="I98" i="10"/>
  <c r="I95" i="10"/>
  <c r="I99" i="10"/>
  <c r="I96" i="10"/>
  <c r="I100" i="10"/>
  <c r="I85" i="10"/>
  <c r="I89" i="10"/>
  <c r="I82" i="10"/>
  <c r="I86" i="10"/>
  <c r="I83" i="10"/>
  <c r="I87" i="10"/>
  <c r="I73" i="10"/>
  <c r="I60" i="10"/>
  <c r="I61" i="10"/>
  <c r="I55" i="10"/>
  <c r="I56" i="10"/>
  <c r="I47" i="10"/>
  <c r="I51" i="10"/>
  <c r="I44" i="10"/>
  <c r="I41" i="10"/>
  <c r="I52" i="10"/>
  <c r="I27" i="10"/>
  <c r="I31" i="10"/>
  <c r="I35" i="10"/>
  <c r="I36" i="10"/>
  <c r="E25" i="7"/>
  <c r="F24" i="7"/>
  <c r="F23" i="7"/>
  <c r="F22" i="7"/>
  <c r="F21" i="7"/>
  <c r="F20" i="7"/>
  <c r="F12" i="7"/>
  <c r="F11" i="7"/>
  <c r="F10" i="7"/>
  <c r="F9" i="7"/>
  <c r="J34" i="4"/>
  <c r="I34" i="4"/>
  <c r="H34" i="4"/>
  <c r="G34" i="4"/>
  <c r="F34" i="4"/>
  <c r="E34" i="4"/>
  <c r="K22" i="3"/>
  <c r="J22" i="3"/>
  <c r="C20" i="4"/>
  <c r="G55" i="1"/>
  <c r="H55" i="1"/>
  <c r="I23" i="11"/>
  <c r="I25" i="11"/>
  <c r="I26" i="11"/>
  <c r="E26" i="11"/>
  <c r="I21" i="11"/>
  <c r="I17" i="10"/>
  <c r="I24" i="11"/>
  <c r="I15" i="10"/>
  <c r="I22" i="11"/>
  <c r="I19" i="10"/>
  <c r="I18" i="10"/>
  <c r="I16" i="10"/>
  <c r="I14" i="10"/>
  <c r="I27" i="11"/>
  <c r="G96" i="20"/>
  <c r="L40" i="16"/>
  <c r="N2" i="51" s="1"/>
  <c r="K45" i="16"/>
  <c r="K48" i="16" s="1"/>
  <c r="Y2" i="51" s="1"/>
  <c r="L47" i="16"/>
  <c r="Q2" i="51"/>
  <c r="L42" i="16"/>
  <c r="F45" i="16"/>
  <c r="F48" i="16"/>
  <c r="L46" i="16"/>
  <c r="R2" i="51" s="1"/>
  <c r="H45" i="16"/>
  <c r="H48" i="16" s="1"/>
  <c r="V2" i="51"/>
  <c r="L37" i="16"/>
  <c r="L44" i="16"/>
  <c r="I45" i="16"/>
  <c r="I48" i="16" s="1"/>
  <c r="W2" i="51"/>
  <c r="G45" i="16"/>
  <c r="G48" i="16" s="1"/>
  <c r="U2" i="51"/>
  <c r="L43" i="16"/>
  <c r="P2" i="51" s="1"/>
  <c r="L39" i="16"/>
  <c r="L35" i="16"/>
  <c r="J45" i="16"/>
  <c r="J48" i="16"/>
  <c r="X2" i="51" s="1"/>
  <c r="O2" i="51"/>
  <c r="D45" i="16"/>
  <c r="D48" i="16" s="1"/>
  <c r="Z2" i="51"/>
  <c r="L36" i="16"/>
  <c r="L2" i="51" s="1"/>
  <c r="E45" i="16"/>
  <c r="E48" i="16" s="1"/>
  <c r="T2" i="51"/>
  <c r="E65" i="43"/>
  <c r="G17" i="37" s="1"/>
  <c r="AK2" i="51"/>
  <c r="J150" i="38"/>
  <c r="G89" i="20" l="1"/>
  <c r="G80" i="20"/>
  <c r="G95" i="20"/>
  <c r="G83" i="20"/>
  <c r="G73" i="20"/>
  <c r="G85" i="20"/>
  <c r="G74" i="20"/>
  <c r="G86" i="20"/>
  <c r="G87" i="20"/>
  <c r="G82" i="20"/>
  <c r="G81" i="20"/>
  <c r="G94" i="20"/>
  <c r="G79" i="20"/>
  <c r="G91" i="20"/>
  <c r="G78" i="20"/>
  <c r="G76" i="20"/>
  <c r="F57" i="1"/>
  <c r="E51" i="15"/>
  <c r="G84" i="20"/>
  <c r="L253" i="46"/>
  <c r="AI2" i="51"/>
  <c r="I116" i="11"/>
  <c r="D36" i="15"/>
  <c r="D51" i="15" s="1"/>
  <c r="F25" i="7"/>
  <c r="G88" i="20"/>
  <c r="BL2" i="51"/>
  <c r="I77" i="10"/>
  <c r="N94" i="20"/>
  <c r="M96" i="20"/>
  <c r="L51" i="15"/>
  <c r="K52" i="9"/>
  <c r="K32" i="36"/>
  <c r="L32" i="36"/>
  <c r="L21" i="36"/>
  <c r="N87" i="9"/>
  <c r="K82" i="9"/>
  <c r="BE2" i="51"/>
  <c r="L58" i="9"/>
  <c r="K58" i="9" s="1"/>
  <c r="J63" i="9"/>
  <c r="I37" i="10"/>
  <c r="S107" i="9"/>
  <c r="S120" i="9" s="1"/>
  <c r="I84" i="10"/>
  <c r="I98" i="11"/>
  <c r="K98" i="11" s="1"/>
  <c r="I52" i="13"/>
  <c r="L38" i="16"/>
  <c r="M2" i="51" s="1"/>
  <c r="K2" i="51" s="1"/>
  <c r="N17" i="36"/>
  <c r="K40" i="36"/>
  <c r="L40" i="36"/>
  <c r="K19" i="36"/>
  <c r="L19" i="36"/>
  <c r="K87" i="9"/>
  <c r="I26" i="13"/>
  <c r="I58" i="13" s="1"/>
  <c r="K20" i="36"/>
  <c r="L20" i="36"/>
  <c r="Q121" i="9"/>
  <c r="Q126" i="9" s="1"/>
  <c r="F34" i="49"/>
  <c r="K93" i="9"/>
  <c r="M25" i="52" s="1"/>
  <c r="BJ2" i="51"/>
  <c r="H32" i="20"/>
  <c r="N55" i="36"/>
  <c r="S121" i="9"/>
  <c r="S126" i="9" s="1"/>
  <c r="T126" i="9"/>
  <c r="K68" i="9"/>
  <c r="K28" i="9"/>
  <c r="M24" i="52"/>
  <c r="I51" i="15"/>
  <c r="L55" i="36"/>
  <c r="N107" i="9"/>
  <c r="K96" i="9"/>
  <c r="L37" i="36"/>
  <c r="L50" i="16"/>
  <c r="N30" i="16"/>
  <c r="H24" i="20" s="1"/>
  <c r="I24" i="20" s="1"/>
  <c r="J24" i="20" s="1"/>
  <c r="K24" i="20" s="1"/>
  <c r="L24" i="20" s="1"/>
  <c r="M24" i="20" s="1"/>
  <c r="N24" i="20" s="1"/>
  <c r="O24" i="20" s="1"/>
  <c r="P24" i="20" s="1"/>
  <c r="Q24" i="20" s="1"/>
  <c r="R24" i="20" s="1"/>
  <c r="S24" i="20" s="1"/>
  <c r="T24" i="20" s="1"/>
  <c r="U24" i="20" s="1"/>
  <c r="V24" i="20" s="1"/>
  <c r="U121" i="9"/>
  <c r="U126" i="9" s="1"/>
  <c r="K76" i="9"/>
  <c r="I70" i="11"/>
  <c r="K32" i="9"/>
  <c r="CK2" i="51"/>
  <c r="F30" i="17"/>
  <c r="M16" i="16"/>
  <c r="O16" i="16" s="1"/>
  <c r="O30" i="16" s="1"/>
  <c r="L68" i="9"/>
  <c r="N76" i="9"/>
  <c r="J120" i="9"/>
  <c r="N43" i="9"/>
  <c r="N47" i="9" s="1"/>
  <c r="N121" i="9" s="1"/>
  <c r="M28" i="9"/>
  <c r="M121" i="9" s="1"/>
  <c r="M126" i="9" s="1"/>
  <c r="L39" i="36"/>
  <c r="N93" i="9"/>
  <c r="L38" i="36"/>
  <c r="G101" i="9" l="1"/>
  <c r="G100" i="9"/>
  <c r="J58" i="13"/>
  <c r="J60" i="13" s="1"/>
  <c r="I57" i="11"/>
  <c r="K57" i="11" s="1"/>
  <c r="I48" i="10"/>
  <c r="N19" i="36"/>
  <c r="L27" i="36"/>
  <c r="L28" i="36" s="1"/>
  <c r="L63" i="9"/>
  <c r="I95" i="11"/>
  <c r="K107" i="9"/>
  <c r="I81" i="10"/>
  <c r="G36" i="12"/>
  <c r="K63" i="9"/>
  <c r="I51" i="11"/>
  <c r="I42" i="10"/>
  <c r="I81" i="11"/>
  <c r="I86" i="11" s="1"/>
  <c r="I69" i="10"/>
  <c r="I31" i="11"/>
  <c r="I23" i="10"/>
  <c r="J125" i="9"/>
  <c r="F52" i="49"/>
  <c r="I117" i="9"/>
  <c r="I106" i="9"/>
  <c r="I35" i="9"/>
  <c r="I96" i="9"/>
  <c r="I112" i="9"/>
  <c r="I102" i="9"/>
  <c r="I31" i="9"/>
  <c r="I26" i="9"/>
  <c r="I57" i="9"/>
  <c r="I39" i="9"/>
  <c r="I37" i="9"/>
  <c r="I54" i="9"/>
  <c r="I116" i="9"/>
  <c r="I87" i="9"/>
  <c r="I36" i="9"/>
  <c r="I61" i="9"/>
  <c r="I24" i="9"/>
  <c r="I105" i="9"/>
  <c r="J90" i="48"/>
  <c r="J91" i="48" s="1"/>
  <c r="I56" i="9"/>
  <c r="I53" i="9"/>
  <c r="I22" i="9"/>
  <c r="I52" i="9"/>
  <c r="I50" i="9"/>
  <c r="I51" i="9"/>
  <c r="I91" i="9"/>
  <c r="I28" i="9"/>
  <c r="I84" i="9"/>
  <c r="I73" i="9"/>
  <c r="I25" i="9"/>
  <c r="I76" i="9"/>
  <c r="I99" i="9"/>
  <c r="I62" i="9"/>
  <c r="I58" i="9"/>
  <c r="I59" i="9"/>
  <c r="I32" i="9"/>
  <c r="I83" i="9"/>
  <c r="I80" i="9"/>
  <c r="I104" i="9"/>
  <c r="I107" i="9"/>
  <c r="I27" i="9"/>
  <c r="I82" i="9"/>
  <c r="I40" i="9"/>
  <c r="I90" i="9"/>
  <c r="I86" i="9"/>
  <c r="I55" i="9"/>
  <c r="I47" i="9"/>
  <c r="I93" i="9"/>
  <c r="I23" i="9"/>
  <c r="J101" i="46"/>
  <c r="J102" i="46" s="1"/>
  <c r="I101" i="9"/>
  <c r="I103" i="9"/>
  <c r="I67" i="9"/>
  <c r="I34" i="9"/>
  <c r="I79" i="9"/>
  <c r="I74" i="9"/>
  <c r="I98" i="9"/>
  <c r="I71" i="9"/>
  <c r="I81" i="9"/>
  <c r="I72" i="9"/>
  <c r="I118" i="9"/>
  <c r="I66" i="9"/>
  <c r="I42" i="9"/>
  <c r="I44" i="9"/>
  <c r="I68" i="9"/>
  <c r="I75" i="9"/>
  <c r="I92" i="9"/>
  <c r="I100" i="9"/>
  <c r="I45" i="9"/>
  <c r="I33" i="9"/>
  <c r="I113" i="9"/>
  <c r="I38" i="9"/>
  <c r="I60" i="9"/>
  <c r="I115" i="9"/>
  <c r="I46" i="9"/>
  <c r="I43" i="9"/>
  <c r="I114" i="9"/>
  <c r="I85" i="9"/>
  <c r="I111" i="9"/>
  <c r="I97" i="9"/>
  <c r="I41" i="9"/>
  <c r="K70" i="11"/>
  <c r="K75" i="11" s="1"/>
  <c r="I75" i="11"/>
  <c r="M30" i="16"/>
  <c r="H23" i="20" s="1"/>
  <c r="L43" i="9"/>
  <c r="L45" i="16"/>
  <c r="L48" i="16" s="1"/>
  <c r="N27" i="36"/>
  <c r="L41" i="36"/>
  <c r="H98" i="20" s="1"/>
  <c r="N32" i="36"/>
  <c r="N41" i="36" s="1"/>
  <c r="O94" i="20"/>
  <c r="N96" i="20"/>
  <c r="H26" i="20"/>
  <c r="N28" i="36"/>
  <c r="L25" i="36"/>
  <c r="H71" i="20" s="1"/>
  <c r="I63" i="9"/>
  <c r="I71" i="20" l="1"/>
  <c r="CM2" i="51"/>
  <c r="G71" i="20"/>
  <c r="CS2" i="51"/>
  <c r="CX2" i="51" s="1"/>
  <c r="I98" i="20"/>
  <c r="J98" i="20" s="1"/>
  <c r="K98" i="20" s="1"/>
  <c r="L98" i="20" s="1"/>
  <c r="M98" i="20" s="1"/>
  <c r="N98" i="20" s="1"/>
  <c r="O98" i="20" s="1"/>
  <c r="P98" i="20" s="1"/>
  <c r="Q98" i="20" s="1"/>
  <c r="R98" i="20" s="1"/>
  <c r="S98" i="20" s="1"/>
  <c r="T98" i="20" s="1"/>
  <c r="U98" i="20" s="1"/>
  <c r="V98" i="20" s="1"/>
  <c r="G98" i="20"/>
  <c r="K51" i="11"/>
  <c r="K62" i="11" s="1"/>
  <c r="I62" i="11"/>
  <c r="K43" i="9"/>
  <c r="L47" i="9"/>
  <c r="L121" i="9" s="1"/>
  <c r="H30" i="20"/>
  <c r="I23" i="20"/>
  <c r="K31" i="11"/>
  <c r="P94" i="20"/>
  <c r="O96" i="20"/>
  <c r="K95" i="11"/>
  <c r="K106" i="11" s="1"/>
  <c r="I106" i="11"/>
  <c r="J23" i="20" l="1"/>
  <c r="I30" i="20"/>
  <c r="H35" i="20"/>
  <c r="H37" i="20"/>
  <c r="L126" i="9"/>
  <c r="K121" i="9"/>
  <c r="I34" i="10"/>
  <c r="I42" i="11"/>
  <c r="K47" i="9"/>
  <c r="Q94" i="20"/>
  <c r="P96" i="20"/>
  <c r="J71" i="20"/>
  <c r="K71" i="20" l="1"/>
  <c r="H39" i="20"/>
  <c r="K42" i="11"/>
  <c r="K46" i="11" s="1"/>
  <c r="K118" i="11" s="1"/>
  <c r="G16" i="12" s="1"/>
  <c r="G21" i="12" s="1"/>
  <c r="G23" i="12" s="1"/>
  <c r="G26" i="12" s="1"/>
  <c r="G28" i="12" s="1"/>
  <c r="G30" i="12" s="1"/>
  <c r="G32" i="12" s="1"/>
  <c r="I46" i="11"/>
  <c r="I118" i="11" s="1"/>
  <c r="J121" i="9"/>
  <c r="R94" i="20"/>
  <c r="Q96" i="20"/>
  <c r="I35" i="20"/>
  <c r="I39" i="20" s="1"/>
  <c r="I37" i="20"/>
  <c r="BD2" i="51"/>
  <c r="K120" i="9"/>
  <c r="K23" i="20"/>
  <c r="J30" i="20"/>
  <c r="J37" i="20" l="1"/>
  <c r="J35" i="20"/>
  <c r="L23" i="20"/>
  <c r="K30" i="20"/>
  <c r="G19" i="37"/>
  <c r="J126" i="9"/>
  <c r="L252" i="46"/>
  <c r="L254" i="46" s="1"/>
  <c r="G35" i="12"/>
  <c r="G37" i="12" s="1"/>
  <c r="G39" i="12" s="1"/>
  <c r="G42" i="12" s="1"/>
  <c r="G51" i="12" s="1"/>
  <c r="G53" i="12" s="1"/>
  <c r="F36" i="49" s="1"/>
  <c r="M23" i="52"/>
  <c r="M26" i="52" s="1"/>
  <c r="H72" i="20"/>
  <c r="CL2" i="51"/>
  <c r="R96" i="20"/>
  <c r="S94" i="20"/>
  <c r="L71" i="20"/>
  <c r="BY2" i="51" l="1"/>
  <c r="CE2" i="51"/>
  <c r="N125" i="9"/>
  <c r="F38" i="49"/>
  <c r="S96" i="20"/>
  <c r="T94" i="20"/>
  <c r="I72" i="20"/>
  <c r="CN2" i="51"/>
  <c r="G72" i="20"/>
  <c r="H92" i="20"/>
  <c r="K35" i="20"/>
  <c r="K39" i="20" s="1"/>
  <c r="K37" i="20"/>
  <c r="M71" i="20"/>
  <c r="M23" i="20"/>
  <c r="L30" i="20"/>
  <c r="O26" i="52"/>
  <c r="P26" i="52" s="1"/>
  <c r="M28" i="52"/>
  <c r="J39" i="20"/>
  <c r="L37" i="20" l="1"/>
  <c r="L35" i="20"/>
  <c r="L39" i="20" s="1"/>
  <c r="M30" i="20"/>
  <c r="N23" i="20"/>
  <c r="J72" i="20"/>
  <c r="I92" i="20"/>
  <c r="I101" i="20" s="1"/>
  <c r="I103" i="20" s="1"/>
  <c r="I42" i="20" s="1"/>
  <c r="T96" i="20"/>
  <c r="U94" i="20"/>
  <c r="N71" i="20"/>
  <c r="CA2" i="51"/>
  <c r="F49" i="49"/>
  <c r="J122" i="9"/>
  <c r="N126" i="9"/>
  <c r="K125" i="9"/>
  <c r="K126" i="9" s="1"/>
  <c r="G92" i="20"/>
  <c r="CO2" i="51"/>
  <c r="H101" i="20"/>
  <c r="H103" i="20" s="1"/>
  <c r="H42" i="20" s="1"/>
  <c r="H50" i="20" l="1"/>
  <c r="CT2" i="51" s="1"/>
  <c r="H51" i="20"/>
  <c r="N30" i="20"/>
  <c r="O23" i="20"/>
  <c r="M35" i="20"/>
  <c r="M37" i="20"/>
  <c r="U96" i="20"/>
  <c r="V94" i="20"/>
  <c r="V96" i="20" s="1"/>
  <c r="I50" i="20"/>
  <c r="I51" i="20"/>
  <c r="K72" i="20"/>
  <c r="J92" i="20"/>
  <c r="J101" i="20" s="1"/>
  <c r="J103" i="20" s="1"/>
  <c r="J42" i="20" s="1"/>
  <c r="F53" i="49"/>
  <c r="G25" i="37"/>
  <c r="O71" i="20"/>
  <c r="J50" i="20" l="1"/>
  <c r="J51" i="20"/>
  <c r="L72" i="20"/>
  <c r="K92" i="20"/>
  <c r="K101" i="20" s="1"/>
  <c r="K103" i="20" s="1"/>
  <c r="K42" i="20" s="1"/>
  <c r="P23" i="20"/>
  <c r="O30" i="20"/>
  <c r="N35" i="20"/>
  <c r="N37" i="20"/>
  <c r="M39" i="20"/>
  <c r="I54" i="20"/>
  <c r="I58" i="20" s="1"/>
  <c r="I60" i="20" s="1"/>
  <c r="H54" i="20"/>
  <c r="H58" i="20" s="1"/>
  <c r="H60" i="20" s="1"/>
  <c r="H61" i="20"/>
  <c r="CU2" i="51" s="1"/>
  <c r="P71" i="20"/>
  <c r="N39" i="20" l="1"/>
  <c r="K51" i="20"/>
  <c r="K50" i="20"/>
  <c r="Q71" i="20"/>
  <c r="O37" i="20"/>
  <c r="O35" i="20"/>
  <c r="O39" i="20" s="1"/>
  <c r="Q23" i="20"/>
  <c r="P30" i="20"/>
  <c r="M72" i="20"/>
  <c r="L92" i="20"/>
  <c r="L101" i="20" s="1"/>
  <c r="L103" i="20" s="1"/>
  <c r="L42" i="20" s="1"/>
  <c r="I61" i="20"/>
  <c r="CV2" i="51" s="1"/>
  <c r="J54" i="20"/>
  <c r="J58" i="20" s="1"/>
  <c r="J60" i="20" s="1"/>
  <c r="J61" i="20" l="1"/>
  <c r="CW2" i="51" s="1"/>
  <c r="L50" i="20"/>
  <c r="L51" i="20"/>
  <c r="N72" i="20"/>
  <c r="M92" i="20"/>
  <c r="M101" i="20" s="1"/>
  <c r="M103" i="20" s="1"/>
  <c r="M42" i="20" s="1"/>
  <c r="K54" i="20"/>
  <c r="K58" i="20" s="1"/>
  <c r="K60" i="20" s="1"/>
  <c r="K61" i="20"/>
  <c r="R71" i="20"/>
  <c r="P37" i="20"/>
  <c r="P35" i="20"/>
  <c r="P39" i="20" s="1"/>
  <c r="Q30" i="20"/>
  <c r="R23" i="20"/>
  <c r="S23" i="20" l="1"/>
  <c r="R30" i="20"/>
  <c r="Q35" i="20"/>
  <c r="Q37" i="20"/>
  <c r="O72" i="20"/>
  <c r="N92" i="20"/>
  <c r="N101" i="20" s="1"/>
  <c r="N103" i="20" s="1"/>
  <c r="N42" i="20" s="1"/>
  <c r="S71" i="20"/>
  <c r="M50" i="20"/>
  <c r="M51" i="20"/>
  <c r="L54" i="20"/>
  <c r="L58" i="20" s="1"/>
  <c r="L60" i="20" s="1"/>
  <c r="L61" i="20"/>
  <c r="T71" i="20" l="1"/>
  <c r="P72" i="20"/>
  <c r="O92" i="20"/>
  <c r="O101" i="20" s="1"/>
  <c r="O103" i="20" s="1"/>
  <c r="O42" i="20" s="1"/>
  <c r="M54" i="20"/>
  <c r="M58" i="20" s="1"/>
  <c r="M60" i="20" s="1"/>
  <c r="R35" i="20"/>
  <c r="R37" i="20"/>
  <c r="N50" i="20"/>
  <c r="N51" i="20"/>
  <c r="Q39" i="20"/>
  <c r="T23" i="20"/>
  <c r="S30" i="20"/>
  <c r="R39" i="20" l="1"/>
  <c r="T30" i="20"/>
  <c r="U23" i="20"/>
  <c r="M61" i="20"/>
  <c r="O50" i="20"/>
  <c r="O51" i="20"/>
  <c r="S35" i="20"/>
  <c r="S39" i="20" s="1"/>
  <c r="S37" i="20"/>
  <c r="N54" i="20"/>
  <c r="N58" i="20" s="1"/>
  <c r="N60" i="20" s="1"/>
  <c r="Q72" i="20"/>
  <c r="P92" i="20"/>
  <c r="P101" i="20" s="1"/>
  <c r="P103" i="20" s="1"/>
  <c r="P42" i="20" s="1"/>
  <c r="U71" i="20"/>
  <c r="V71" i="20" l="1"/>
  <c r="P50" i="20"/>
  <c r="P51" i="20"/>
  <c r="R72" i="20"/>
  <c r="Q92" i="20"/>
  <c r="Q101" i="20" s="1"/>
  <c r="Q103" i="20" s="1"/>
  <c r="Q42" i="20" s="1"/>
  <c r="N61" i="20"/>
  <c r="V23" i="20"/>
  <c r="V30" i="20" s="1"/>
  <c r="U30" i="20"/>
  <c r="T37" i="20"/>
  <c r="T35" i="20"/>
  <c r="T39" i="20" s="1"/>
  <c r="O54" i="20"/>
  <c r="O58" i="20" s="1"/>
  <c r="O60" i="20" s="1"/>
  <c r="O61" i="20"/>
  <c r="S72" i="20" l="1"/>
  <c r="R92" i="20"/>
  <c r="R101" i="20" s="1"/>
  <c r="R103" i="20" s="1"/>
  <c r="R42" i="20" s="1"/>
  <c r="Q51" i="20"/>
  <c r="Q50" i="20"/>
  <c r="P54" i="20"/>
  <c r="P58" i="20" s="1"/>
  <c r="P60" i="20" s="1"/>
  <c r="U37" i="20"/>
  <c r="U35" i="20"/>
  <c r="U39" i="20" s="1"/>
  <c r="V35" i="20"/>
  <c r="V39" i="20" s="1"/>
  <c r="V37" i="20"/>
  <c r="T72" i="20" l="1"/>
  <c r="S92" i="20"/>
  <c r="S101" i="20" s="1"/>
  <c r="S103" i="20" s="1"/>
  <c r="S42" i="20" s="1"/>
  <c r="P61" i="20"/>
  <c r="Q54" i="20"/>
  <c r="Q58" i="20" s="1"/>
  <c r="Q60" i="20" s="1"/>
  <c r="R51" i="20"/>
  <c r="R50" i="20"/>
  <c r="Q61" i="20" l="1"/>
  <c r="S50" i="20"/>
  <c r="S51" i="20"/>
  <c r="R54" i="20"/>
  <c r="R58" i="20" s="1"/>
  <c r="R60" i="20" s="1"/>
  <c r="U72" i="20"/>
  <c r="T92" i="20"/>
  <c r="T101" i="20" s="1"/>
  <c r="T103" i="20" s="1"/>
  <c r="T42" i="20" s="1"/>
  <c r="T51" i="20" l="1"/>
  <c r="T50" i="20"/>
  <c r="V72" i="20"/>
  <c r="V92" i="20" s="1"/>
  <c r="V101" i="20" s="1"/>
  <c r="V103" i="20" s="1"/>
  <c r="V42" i="20" s="1"/>
  <c r="U92" i="20"/>
  <c r="U101" i="20" s="1"/>
  <c r="U103" i="20" s="1"/>
  <c r="U42" i="20" s="1"/>
  <c r="R61" i="20"/>
  <c r="S54" i="20"/>
  <c r="S58" i="20" s="1"/>
  <c r="S60" i="20" s="1"/>
  <c r="S61" i="20"/>
  <c r="U51" i="20" l="1"/>
  <c r="U50" i="20"/>
  <c r="V51" i="20"/>
  <c r="V50" i="20"/>
  <c r="T54" i="20"/>
  <c r="T58" i="20" s="1"/>
  <c r="T60" i="20" s="1"/>
  <c r="V54" i="20" l="1"/>
  <c r="V58" i="20" s="1"/>
  <c r="V60" i="20" s="1"/>
  <c r="V61" i="20"/>
  <c r="T61" i="20"/>
  <c r="U54" i="20"/>
  <c r="U58" i="20" s="1"/>
  <c r="U60" i="20" s="1"/>
  <c r="U61" i="20"/>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1"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Whitney Goetter</author>
  </authors>
  <commentList>
    <comment ref="J31"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N94" authorId="1" shapeId="0">
      <text>
        <r>
          <rPr>
            <b/>
            <sz val="9"/>
            <color indexed="81"/>
            <rFont val="Calibri"/>
            <family val="2"/>
          </rPr>
          <t>Capital Funds:</t>
        </r>
        <r>
          <rPr>
            <sz val="9"/>
            <color indexed="81"/>
            <rFont val="Calibri"/>
            <family val="2"/>
          </rPr>
          <t xml:space="preserve">
3 points for 15-24% of TPC
5 points for ≥ 25% of TPC
</t>
        </r>
      </text>
    </comment>
    <comment ref="N111" authorId="1" shape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N125" authorId="1" shapeId="0">
      <text>
        <r>
          <rPr>
            <b/>
            <sz val="9"/>
            <color indexed="81"/>
            <rFont val="Calibri"/>
            <family val="2"/>
          </rPr>
          <t xml:space="preserve">Units at Risk of Market Conversion:
</t>
        </r>
        <r>
          <rPr>
            <sz val="9"/>
            <color indexed="81"/>
            <rFont val="Calibri"/>
            <family val="2"/>
          </rPr>
          <t>79 units or less = 4 points
80 units or more = 6 points</t>
        </r>
      </text>
    </comment>
    <comment ref="N248" authorId="2" shapeId="0">
      <text>
        <r>
          <rPr>
            <b/>
            <sz val="9"/>
            <color indexed="81"/>
            <rFont val="Calibri"/>
            <family val="2"/>
            <scheme val="minor"/>
          </rPr>
          <t>To be completed by the Commission</t>
        </r>
      </text>
    </comment>
  </commentList>
</comments>
</file>

<file path=xl/comments7.xml><?xml version="1.0" encoding="utf-8"?>
<comments xmlns="http://schemas.openxmlformats.org/spreadsheetml/2006/main">
  <authors>
    <author>WSHFC</author>
  </authors>
  <commentList>
    <comment ref="J25"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the WSHFC </t>
        </r>
        <r>
          <rPr>
            <i/>
            <sz val="9"/>
            <color indexed="81"/>
            <rFont val="Tahoma"/>
            <family val="2"/>
          </rPr>
          <t>Policies</t>
        </r>
        <r>
          <rPr>
            <sz val="9"/>
            <color indexed="81"/>
            <rFont val="Tahoma"/>
            <family val="2"/>
          </rPr>
          <t xml:space="preserve">, Chapter 6 for more information.
</t>
        </r>
      </text>
    </comment>
  </commentList>
</comments>
</file>

<file path=xl/sharedStrings.xml><?xml version="1.0" encoding="utf-8"?>
<sst xmlns="http://schemas.openxmlformats.org/spreadsheetml/2006/main" count="7576" uniqueCount="2073">
  <si>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</si>
  <si>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</si>
  <si>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</si>
  <si>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</si>
  <si>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</si>
  <si>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</si>
  <si>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</si>
  <si>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</si>
  <si>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</si>
  <si>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</si>
  <si>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</si>
  <si>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</si>
  <si>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</si>
  <si>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</si>
  <si>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</si>
  <si>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</si>
  <si>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</si>
  <si>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</si>
  <si>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</si>
  <si>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</si>
  <si>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</si>
  <si>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</si>
  <si>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</si>
  <si>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</si>
  <si>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</si>
  <si>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</si>
  <si>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</si>
  <si>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</si>
  <si>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</si>
  <si>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</si>
  <si>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</si>
  <si>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</si>
  <si>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</si>
  <si>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</si>
  <si>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</si>
  <si>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</si>
  <si>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</si>
  <si>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</si>
  <si>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</si>
  <si>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</si>
  <si>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</si>
  <si>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</si>
  <si>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</si>
  <si>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</si>
  <si>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</si>
  <si>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</si>
  <si>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</si>
  <si>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</si>
  <si>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</si>
  <si>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</si>
  <si>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</si>
  <si>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</si>
  <si>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</si>
  <si>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</si>
  <si>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</si>
  <si>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</si>
  <si>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</si>
  <si>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</si>
  <si>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</si>
  <si>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</si>
  <si>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</si>
  <si>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</si>
  <si>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</si>
  <si>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</si>
  <si>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</si>
  <si>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</si>
  <si>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</si>
  <si>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</si>
  <si>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</si>
  <si>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</si>
  <si>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</si>
  <si>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</si>
  <si>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</si>
  <si>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</si>
  <si>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</si>
  <si>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</si>
  <si>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</si>
  <si>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</si>
  <si>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</si>
  <si>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</si>
  <si>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</si>
  <si>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</si>
  <si>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</si>
  <si>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</si>
  <si>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</si>
  <si>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</si>
  <si>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</si>
  <si>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</si>
  <si>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</si>
  <si>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</si>
  <si>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</si>
  <si>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</si>
  <si>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</si>
  <si>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</si>
  <si>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</si>
  <si>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</si>
  <si>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</si>
  <si>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</si>
  <si>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</si>
  <si>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</si>
  <si>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</si>
  <si>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</si>
  <si>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</si>
  <si>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</si>
  <si>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</si>
  <si>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</si>
  <si>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</si>
  <si>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</si>
  <si>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</si>
  <si>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</si>
  <si>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</si>
  <si>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</si>
  <si>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</si>
  <si>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</si>
  <si>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</si>
  <si>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</si>
  <si>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</si>
  <si>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</si>
  <si>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</si>
  <si>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</si>
  <si>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</si>
  <si>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</si>
  <si>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</si>
  <si>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</si>
  <si>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</si>
  <si>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</si>
  <si>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</si>
  <si>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</si>
  <si>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</si>
  <si>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</si>
  <si>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</si>
  <si>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</si>
  <si>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</si>
  <si>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</si>
  <si>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</si>
  <si>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</si>
  <si>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</si>
  <si>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</si>
  <si>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</si>
  <si>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</si>
  <si>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</si>
  <si>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</si>
  <si>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</si>
  <si>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</si>
  <si>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</si>
  <si>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</si>
  <si>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</si>
  <si>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</si>
  <si>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</si>
  <si>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</si>
  <si>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</si>
  <si>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</si>
  <si>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</si>
  <si>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</si>
  <si>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</si>
  <si>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</si>
  <si>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</si>
  <si>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</si>
  <si>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</si>
  <si>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</si>
  <si>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</si>
  <si>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</si>
  <si>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</si>
  <si>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</si>
  <si>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</si>
  <si>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</si>
  <si>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</si>
  <si>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</si>
  <si>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</si>
  <si>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</si>
  <si>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</si>
  <si>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</si>
  <si>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</si>
  <si>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</si>
  <si>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</si>
  <si>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</si>
  <si>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</si>
  <si>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</si>
  <si>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</si>
  <si>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</si>
  <si>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</si>
  <si>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</si>
  <si>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</si>
  <si>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</si>
  <si>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</si>
  <si>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</si>
  <si>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</si>
  <si>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</si>
  <si>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</si>
  <si>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</si>
  <si>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</si>
  <si>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</si>
  <si>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</si>
  <si>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</si>
  <si>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</si>
  <si>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</si>
  <si>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</si>
  <si>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</si>
  <si>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</si>
  <si>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</si>
  <si>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</si>
  <si>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</si>
  <si>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</si>
  <si>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</si>
  <si>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</si>
  <si>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</si>
  <si>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</si>
  <si>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</si>
  <si>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</si>
  <si>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</si>
  <si>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</si>
  <si>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</si>
  <si>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</si>
  <si>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</si>
  <si>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</si>
  <si>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</si>
  <si>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</si>
  <si>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</si>
  <si>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</si>
  <si>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</si>
  <si>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</si>
  <si>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</si>
  <si>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</si>
  <si>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</si>
  <si>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</si>
  <si>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</si>
  <si>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</si>
  <si>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</si>
  <si>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</si>
  <si>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</si>
  <si>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</si>
  <si>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</si>
  <si>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</si>
  <si>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</si>
  <si>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</si>
  <si>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</si>
  <si>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</si>
  <si>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</si>
  <si>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</si>
  <si>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</si>
  <si>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</si>
  <si>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</si>
  <si>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</si>
  <si>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</si>
  <si>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</si>
  <si>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</si>
  <si>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</si>
  <si>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</si>
  <si>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</si>
  <si>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</si>
  <si>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</si>
  <si>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</si>
  <si>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</si>
  <si>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</si>
  <si>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</si>
  <si>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</si>
  <si>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</si>
  <si>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</si>
  <si>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</si>
  <si>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</si>
  <si>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</si>
  <si>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</si>
  <si>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</si>
  <si>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</si>
  <si>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</si>
  <si>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</si>
  <si>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</si>
  <si>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</si>
  <si>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</si>
  <si>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</si>
  <si>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</si>
  <si>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</si>
  <si>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</si>
  <si>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</si>
  <si>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</si>
  <si>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</si>
  <si>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</si>
  <si>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</si>
  <si>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</si>
  <si>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</si>
  <si>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</si>
  <si>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</si>
  <si>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</si>
  <si>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</si>
  <si>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</si>
  <si>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</si>
  <si>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</si>
  <si>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</si>
  <si>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</si>
  <si>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</si>
  <si>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</si>
  <si>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</si>
  <si>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</si>
  <si>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</si>
  <si>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</si>
  <si>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</si>
  <si>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</si>
  <si>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</si>
  <si>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</si>
  <si>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</si>
  <si>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</si>
  <si>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</si>
  <si>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</si>
  <si>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</si>
  <si>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</si>
  <si>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</si>
  <si>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</si>
  <si>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</si>
  <si>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</si>
  <si>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</si>
  <si>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</si>
  <si>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</si>
  <si>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</si>
  <si>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</si>
  <si>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</si>
  <si>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</si>
  <si>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</si>
  <si>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</si>
  <si>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</si>
  <si>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</si>
  <si>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</si>
  <si>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</si>
  <si>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</si>
  <si>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</si>
  <si>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</si>
  <si>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</si>
  <si>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</si>
  <si>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</si>
  <si>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</si>
  <si>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</si>
  <si>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</si>
  <si>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</si>
  <si>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</si>
  <si>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</si>
  <si>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</si>
  <si>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</si>
  <si>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</si>
  <si>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</si>
  <si>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</si>
  <si>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</si>
  <si>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</si>
  <si>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</si>
  <si>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</si>
  <si>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</si>
  <si>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</si>
  <si>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</si>
  <si>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</si>
  <si>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</si>
  <si>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</si>
  <si>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</si>
  <si>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</si>
  <si>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</si>
  <si>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</si>
  <si>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</si>
  <si>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</si>
  <si>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</si>
  <si>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</si>
  <si>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</si>
  <si>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</si>
  <si>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</si>
  <si>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</si>
  <si>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</si>
  <si>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</si>
  <si>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</si>
  <si>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</si>
  <si>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</si>
  <si>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</si>
  <si>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</si>
  <si>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</si>
  <si>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</si>
  <si>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</si>
  <si>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</si>
  <si>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</si>
  <si>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</si>
  <si>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</si>
  <si>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</si>
  <si>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</si>
  <si>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</si>
  <si>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</si>
  <si>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</si>
  <si>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</si>
  <si>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</si>
  <si>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</si>
  <si>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</si>
  <si>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</si>
  <si>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</si>
  <si>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</si>
  <si>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</si>
  <si>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</si>
  <si>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</si>
  <si>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</si>
  <si>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</si>
  <si>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</si>
  <si>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</si>
  <si>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</si>
  <si>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</si>
  <si>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</si>
  <si>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</si>
  <si>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</si>
  <si>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</si>
  <si>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</si>
  <si>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</si>
  <si>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</si>
  <si>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</si>
  <si>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</si>
  <si>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</si>
  <si>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</si>
  <si>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</si>
  <si>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</si>
  <si>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</si>
  <si>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</si>
  <si>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</si>
  <si>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</si>
  <si>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</si>
  <si>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</si>
  <si>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</si>
  <si>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</si>
  <si>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</si>
  <si>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</si>
  <si>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</si>
  <si>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</si>
  <si>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</si>
  <si>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</si>
  <si>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</si>
  <si>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</si>
  <si>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</si>
  <si>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</si>
  <si>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</si>
  <si>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</si>
  <si>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</si>
  <si>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</si>
  <si>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</si>
  <si>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</si>
  <si>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</si>
  <si>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</si>
  <si>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</si>
  <si>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</si>
  <si>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</si>
  <si>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</si>
  <si>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</si>
  <si>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</si>
  <si>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</si>
  <si>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</si>
  <si>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</si>
  <si>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</si>
  <si>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</si>
  <si>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</si>
  <si>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</si>
  <si>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</si>
  <si>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</si>
  <si>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</si>
  <si>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</si>
  <si>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</si>
  <si>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</si>
  <si>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</si>
  <si>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</si>
  <si>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</si>
  <si>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</si>
  <si>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</si>
  <si>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</si>
  <si>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</si>
  <si>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</si>
  <si>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</si>
  <si>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</si>
  <si>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</si>
  <si>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</si>
  <si>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</si>
  <si>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</si>
  <si>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</si>
  <si>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</si>
  <si>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</si>
  <si>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</si>
  <si>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</si>
  <si>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</si>
  <si>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</si>
  <si>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</si>
  <si>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</si>
  <si>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</si>
  <si>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</si>
  <si>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</si>
  <si>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</si>
  <si>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</si>
  <si>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</si>
  <si>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</si>
  <si>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</si>
  <si>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</si>
  <si>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</si>
  <si>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</si>
  <si>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</si>
  <si>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</si>
  <si>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</si>
  <si>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</si>
  <si>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</si>
  <si>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</si>
  <si>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</si>
  <si>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</si>
  <si>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</si>
  <si>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</si>
  <si>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</si>
  <si>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</si>
  <si>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</si>
  <si>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</si>
  <si>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</si>
  <si>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</si>
  <si>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</si>
  <si>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</si>
  <si>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</si>
  <si>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</si>
  <si>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</si>
  <si>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</si>
  <si>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</si>
  <si>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</si>
  <si>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</si>
  <si>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</si>
  <si>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</si>
  <si>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</si>
  <si>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</si>
  <si>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</si>
  <si>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</si>
  <si>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</si>
  <si>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</si>
  <si>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</si>
  <si>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</si>
  <si>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</si>
  <si>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</si>
  <si>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</si>
  <si>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</si>
  <si>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</si>
  <si>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</si>
  <si>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</si>
  <si>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</si>
  <si>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</si>
  <si>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</si>
  <si>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</si>
  <si>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</si>
  <si>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</si>
  <si>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</si>
  <si>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8E: Operating Pro Forma (Page 2)</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</si>
  <si>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</si>
  <si>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</si>
  <si>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</si>
  <si>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</si>
  <si>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</si>
  <si>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</si>
  <si>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</si>
  <si>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</si>
  <si>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</si>
  <si>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</si>
  <si>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</si>
  <si>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</si>
  <si>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</si>
  <si>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</si>
  <si>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</si>
  <si>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</si>
  <si>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</si>
  <si>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</si>
  <si>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</si>
  <si>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</si>
  <si>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</si>
  <si>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</si>
  <si>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</si>
  <si>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</si>
  <si>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</si>
  <si>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</si>
  <si>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</si>
  <si>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</si>
  <si>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</si>
  <si>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</si>
  <si>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</si>
  <si>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</si>
  <si>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</si>
  <si>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</si>
  <si>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</si>
  <si>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</si>
  <si>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</si>
  <si>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</si>
  <si>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</si>
  <si>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</si>
  <si>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</si>
  <si>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</si>
  <si>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</si>
  <si>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</si>
  <si>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</si>
  <si>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</si>
  <si>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</si>
  <si>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</si>
  <si>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</si>
  <si>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</si>
  <si>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</si>
  <si>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</si>
  <si>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</si>
  <si>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</si>
  <si>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</si>
  <si>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</si>
  <si>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</si>
  <si>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</si>
  <si>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</si>
  <si>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</si>
  <si>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</si>
  <si>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</si>
  <si>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</si>
  <si>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</si>
  <si>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</si>
  <si>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</si>
  <si>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</si>
  <si>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</si>
  <si>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</si>
  <si>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</si>
  <si>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</si>
  <si>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</si>
  <si>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</si>
  <si>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</si>
  <si>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</si>
  <si>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</si>
  <si>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</si>
  <si>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</si>
  <si>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</si>
  <si>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</si>
  <si>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</si>
  <si>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</si>
  <si>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</si>
  <si>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</si>
  <si>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</si>
  <si>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</si>
  <si>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</si>
  <si>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</si>
  <si>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</si>
  <si>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</si>
  <si>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</si>
  <si>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</si>
  <si>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</si>
  <si>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</si>
  <si>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</si>
  <si>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</si>
  <si>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</si>
  <si>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</si>
  <si>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</si>
  <si>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</si>
  <si>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</si>
  <si>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Oct - 16</t>
  </si>
  <si>
    <t>Jan - 17</t>
  </si>
  <si>
    <t>Apr - 17</t>
  </si>
  <si>
    <t>Jul - 17</t>
  </si>
  <si>
    <t>Residential Source Name</t>
  </si>
  <si>
    <t>Non Residential Source Name</t>
  </si>
  <si>
    <t>Residential Source Type</t>
  </si>
  <si>
    <t>Bridge Source Name</t>
  </si>
  <si>
    <t>Bridge Source Type</t>
  </si>
  <si>
    <t>Non Residential Source Type</t>
  </si>
  <si>
    <t>Total Capital Sources</t>
  </si>
  <si>
    <t>Developer</t>
  </si>
  <si>
    <t xml:space="preserve">    -----------</t>
  </si>
  <si>
    <t>Expected Placed-In-Service Date (MM/DD/YYYYY)</t>
  </si>
  <si>
    <t>Notes / Status</t>
  </si>
  <si>
    <t>Q4</t>
  </si>
  <si>
    <t>Q1</t>
  </si>
  <si>
    <t>Q2</t>
  </si>
  <si>
    <t>Q3</t>
  </si>
  <si>
    <t>Tax Credit Equity</t>
  </si>
  <si>
    <t>Oct - 19</t>
  </si>
  <si>
    <t>Apr - 19</t>
  </si>
  <si>
    <t>Jul - 19</t>
  </si>
  <si>
    <t>Oct - 17</t>
  </si>
  <si>
    <t>Jan - 18</t>
  </si>
  <si>
    <t>Apr - 18</t>
  </si>
  <si>
    <t>Jul - 18</t>
  </si>
  <si>
    <t>Oct - 18</t>
  </si>
  <si>
    <t>Jan - 19</t>
  </si>
  <si>
    <t>Jan - 20</t>
  </si>
  <si>
    <t>Apr - 20</t>
  </si>
  <si>
    <t>Jul - 20</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</si>
  <si>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</si>
  <si>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</si>
  <si>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</si>
  <si>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</si>
  <si>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</si>
  <si>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</si>
  <si>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</si>
  <si>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</si>
  <si>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</si>
  <si>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</si>
  <si>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</si>
  <si>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</si>
  <si>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</si>
  <si>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</si>
  <si>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</si>
  <si>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</si>
  <si>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</si>
  <si>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</si>
  <si>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</si>
  <si>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</si>
  <si>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</si>
  <si>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</si>
  <si>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</si>
  <si>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</si>
  <si>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</si>
  <si>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</si>
  <si>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</si>
  <si>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</si>
  <si>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</si>
  <si>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</si>
  <si>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</si>
  <si>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</si>
  <si>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</si>
  <si>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</si>
  <si>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</si>
  <si>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</si>
  <si>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</si>
  <si>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</si>
  <si>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</si>
  <si>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</si>
  <si>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</si>
  <si>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</si>
  <si>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</si>
  <si>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</si>
  <si>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</si>
  <si>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</si>
  <si>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</si>
  <si>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</si>
  <si>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</si>
  <si>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</si>
  <si>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</si>
  <si>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</si>
  <si>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</si>
  <si>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</si>
  <si>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</si>
  <si>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</si>
  <si>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</si>
  <si>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</si>
  <si>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</si>
  <si>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</si>
  <si>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</si>
  <si>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</si>
  <si>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</si>
  <si>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</si>
  <si>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</si>
  <si>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</si>
  <si>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</si>
  <si>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</si>
  <si>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</si>
  <si>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</si>
  <si>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</si>
  <si>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</si>
  <si>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</si>
  <si>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</si>
  <si>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</si>
  <si>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</si>
  <si>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</si>
  <si>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</si>
  <si>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</si>
  <si>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</si>
  <si>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</si>
  <si>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</si>
  <si>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</si>
  <si>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</si>
  <si>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</si>
  <si>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</si>
  <si>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</si>
  <si>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</si>
  <si>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</si>
  <si>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</si>
  <si>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</si>
  <si>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</si>
  <si>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</si>
  <si>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</si>
  <si>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</si>
  <si>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</si>
  <si>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</si>
  <si>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</si>
  <si>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</si>
  <si>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</si>
  <si>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</si>
  <si>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</si>
  <si>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</si>
  <si>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</si>
  <si>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</si>
  <si>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</si>
  <si>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</si>
  <si>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</si>
  <si>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</si>
  <si>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</si>
  <si>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</si>
  <si>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</si>
  <si>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</si>
  <si>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</si>
  <si>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</si>
  <si>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</si>
  <si>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</si>
  <si>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</si>
  <si>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</si>
  <si>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</si>
  <si>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</si>
  <si>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</si>
  <si>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</si>
  <si>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</si>
  <si>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</si>
  <si>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</si>
  <si>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</si>
  <si>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</si>
  <si>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</si>
  <si>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</si>
  <si>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</si>
  <si>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</si>
  <si>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</si>
  <si>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</si>
  <si>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</si>
  <si>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</si>
  <si>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</si>
  <si>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</si>
  <si>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</si>
  <si>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</si>
  <si>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</si>
  <si>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</si>
  <si>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</si>
  <si>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</si>
  <si>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</si>
  <si>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</si>
  <si>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</si>
  <si>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</si>
  <si>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</si>
  <si>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</si>
  <si>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</si>
  <si>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</si>
  <si>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</si>
  <si>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</si>
  <si>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</si>
  <si>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</si>
  <si>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</si>
  <si>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</si>
  <si>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</si>
  <si>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</si>
  <si>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</si>
  <si>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</si>
  <si>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</si>
  <si>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</si>
  <si>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</si>
  <si>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</si>
  <si>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</si>
  <si>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</si>
  <si>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</si>
  <si>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</si>
  <si>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</si>
  <si>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</si>
  <si>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</si>
  <si>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</si>
  <si>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</si>
  <si>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</si>
  <si>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</si>
  <si>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</si>
  <si>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</si>
  <si>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</si>
  <si>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</si>
  <si>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</si>
  <si>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</si>
  <si>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</si>
  <si>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</si>
  <si>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</si>
  <si>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</si>
  <si>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</si>
  <si>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</si>
  <si>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</si>
  <si>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</si>
  <si>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</si>
  <si>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</si>
  <si>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</si>
  <si>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</si>
  <si>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</si>
  <si>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</si>
  <si>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</si>
  <si>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</si>
  <si>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</si>
  <si>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</si>
  <si>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</si>
  <si>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</si>
  <si>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</si>
  <si>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</si>
  <si>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</si>
  <si>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</si>
  <si>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</si>
  <si>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</si>
  <si>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</si>
  <si>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</si>
  <si>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</si>
  <si>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</si>
  <si>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</si>
  <si>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</si>
  <si>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</si>
  <si>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</si>
  <si>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</si>
  <si>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</si>
  <si>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</si>
  <si>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</si>
  <si>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</si>
  <si>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</si>
  <si>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</si>
  <si>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</si>
  <si>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</si>
  <si>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</si>
  <si>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</si>
  <si>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</si>
  <si>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</si>
  <si>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</si>
  <si>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</si>
  <si>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</si>
  <si>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</si>
  <si>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</si>
  <si>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</si>
  <si>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</si>
  <si>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</si>
  <si>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</si>
  <si>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</si>
  <si>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</si>
  <si>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</si>
  <si>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</si>
  <si>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</si>
  <si>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</si>
  <si>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</si>
  <si>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</si>
  <si>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</si>
  <si>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</si>
  <si>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</si>
  <si>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</si>
  <si>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</si>
  <si>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</si>
  <si>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</si>
  <si>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</si>
  <si>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</si>
  <si>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</si>
  <si>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</si>
  <si>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</si>
  <si>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</si>
  <si>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</si>
  <si>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</si>
  <si>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</si>
  <si>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</si>
  <si>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</si>
  <si>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</si>
  <si>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</si>
  <si>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</si>
  <si>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</si>
  <si>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</si>
  <si>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</si>
  <si>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</si>
  <si>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</si>
  <si>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</si>
  <si>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</si>
  <si>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</si>
  <si>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</si>
  <si>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</si>
  <si>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</si>
  <si>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</si>
  <si>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</si>
  <si>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</si>
  <si>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</si>
  <si>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</si>
  <si>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</si>
  <si>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</si>
  <si>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</si>
  <si>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</si>
  <si>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</si>
  <si>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</si>
  <si>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</si>
  <si>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</si>
  <si>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</si>
  <si>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</si>
  <si>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</si>
  <si>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</si>
  <si>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</si>
  <si>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</si>
  <si>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</si>
  <si>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</si>
  <si>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</si>
  <si>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</si>
  <si>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</si>
  <si>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</si>
  <si>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</si>
  <si>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</si>
  <si>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</si>
  <si>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</si>
  <si>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</si>
  <si>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</si>
  <si>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</si>
  <si>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</si>
  <si>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</si>
  <si>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</si>
  <si>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</si>
  <si>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</si>
  <si>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</si>
  <si>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</si>
  <si>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</si>
  <si>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</si>
  <si>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</si>
  <si>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</si>
  <si>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</si>
  <si>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</si>
  <si>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</si>
  <si>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</si>
  <si>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</si>
  <si>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</si>
  <si>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</si>
  <si>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</si>
  <si>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</si>
  <si>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</si>
  <si>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</si>
  <si>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</si>
  <si>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</si>
  <si>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</si>
  <si>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</si>
  <si>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</si>
  <si>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</si>
  <si>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</si>
  <si>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</si>
  <si>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</si>
  <si>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</si>
  <si>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</si>
  <si>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</si>
  <si>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</si>
  <si>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</si>
  <si>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</si>
  <si>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</si>
  <si>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</si>
  <si>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</si>
  <si>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</si>
  <si>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</si>
  <si>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</si>
  <si>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</si>
  <si>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</si>
  <si>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</si>
  <si>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</si>
  <si>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</si>
  <si>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</si>
  <si>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</si>
  <si>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</si>
  <si>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</si>
  <si>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</si>
  <si>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</si>
  <si>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</si>
  <si>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</si>
  <si>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</si>
  <si>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</si>
  <si>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</si>
  <si>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</si>
  <si>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</si>
  <si>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</si>
  <si>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</si>
  <si>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</si>
  <si>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</si>
  <si>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</si>
  <si>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</si>
  <si>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</si>
  <si>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</si>
  <si>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</si>
  <si>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</si>
  <si>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</si>
  <si>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</si>
  <si>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</si>
  <si>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</si>
  <si>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</si>
  <si>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</si>
  <si>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</si>
  <si>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</si>
  <si>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</si>
  <si>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</si>
  <si>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</si>
  <si>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</si>
  <si>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</si>
  <si>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</si>
  <si>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</si>
  <si>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</si>
  <si>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</si>
  <si>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</si>
  <si>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</si>
  <si>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</si>
  <si>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</si>
  <si>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</si>
  <si>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</si>
  <si>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</si>
  <si>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</si>
  <si>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</si>
  <si>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</si>
  <si>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</si>
  <si>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</si>
  <si>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</si>
  <si>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</si>
  <si>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</si>
  <si>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</si>
  <si>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</si>
  <si>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</si>
  <si>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</si>
  <si>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</si>
  <si>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</si>
  <si>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</si>
  <si>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</si>
  <si>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</si>
  <si>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</si>
  <si>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</si>
  <si>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</si>
  <si>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</si>
  <si>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</si>
  <si>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</si>
  <si>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</si>
  <si>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</si>
  <si>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</si>
  <si>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</si>
  <si>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</si>
  <si>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</si>
  <si>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</si>
  <si>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</si>
  <si>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</si>
  <si>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</si>
  <si>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</si>
  <si>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</si>
  <si>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</si>
  <si>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</si>
  <si>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</si>
  <si>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</si>
  <si>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</si>
  <si>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</si>
  <si>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</si>
  <si>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</si>
  <si>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</si>
  <si>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</si>
  <si>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</si>
  <si>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</si>
  <si>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</si>
  <si>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</si>
  <si>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</si>
  <si>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</si>
  <si>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</si>
  <si>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</si>
  <si>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</si>
  <si>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</si>
  <si>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</si>
  <si>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</si>
  <si>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</si>
  <si>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</si>
  <si>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</si>
  <si>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</si>
  <si>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</si>
  <si>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</si>
  <si>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</si>
  <si>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</si>
  <si>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</si>
  <si>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</si>
  <si>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</si>
  <si>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</si>
  <si>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</si>
  <si>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</si>
  <si>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</si>
  <si>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</si>
  <si>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</si>
  <si>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</si>
  <si>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</si>
  <si>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</si>
  <si>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</si>
  <si>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</si>
  <si>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</si>
  <si>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</si>
  <si>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</si>
  <si>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</si>
  <si>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</si>
  <si>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</si>
  <si>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</si>
  <si>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</si>
  <si>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</si>
  <si>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</si>
  <si>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</si>
  <si>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</si>
  <si>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</si>
  <si>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</si>
  <si>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</si>
  <si>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</si>
  <si>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</si>
  <si>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</si>
  <si>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</si>
  <si>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</si>
  <si>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</si>
  <si>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</si>
  <si>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</si>
  <si>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</si>
  <si>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</si>
  <si>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</si>
  <si>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</si>
  <si>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</si>
  <si>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</si>
  <si>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</si>
  <si>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</si>
  <si>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</si>
  <si>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</si>
  <si>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</si>
  <si>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Category A.  75% Supportive Housing for the Homeless (35 points)</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</si>
  <si>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</si>
  <si>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</si>
  <si>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</si>
  <si>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</si>
  <si>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</si>
  <si>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</si>
  <si>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</si>
  <si>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</si>
  <si>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</si>
  <si>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</si>
  <si>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</si>
  <si>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</si>
  <si>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</si>
  <si>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</si>
  <si>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</si>
  <si>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</si>
  <si>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</si>
  <si>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</si>
  <si>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</si>
  <si>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</si>
  <si>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</si>
  <si>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</si>
  <si>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</si>
  <si>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</si>
  <si>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</si>
  <si>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</si>
  <si>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</si>
  <si>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</si>
  <si>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</si>
  <si>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</si>
  <si>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</si>
  <si>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</si>
  <si>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Number of Units with Rental Assistance:</t>
  </si>
  <si>
    <t>DEVELOPER FEES</t>
  </si>
  <si>
    <t>Project Owner makes a commitment to limit the maximum Developer Fees for the Project to:</t>
  </si>
  <si>
    <t>15% - 0 Points</t>
  </si>
  <si>
    <t>AT-RISK OF MARKET CONVERSION</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</si>
  <si>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</si>
  <si>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</si>
  <si>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</si>
  <si>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</si>
  <si>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</si>
  <si>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</si>
  <si>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</si>
  <si>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</si>
  <si>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</si>
  <si>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</si>
  <si>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</si>
  <si>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</si>
  <si>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</si>
  <si>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</si>
  <si>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</si>
  <si>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</si>
  <si>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</si>
  <si>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</si>
  <si>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</si>
  <si>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</si>
  <si>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</si>
  <si>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</si>
  <si>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</si>
  <si>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</si>
  <si>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</si>
  <si>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</si>
  <si>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</si>
  <si>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</si>
  <si>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</si>
  <si>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</si>
  <si>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</si>
  <si>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</si>
  <si>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</si>
  <si>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</si>
  <si>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</si>
  <si>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</si>
  <si>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</si>
  <si>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</si>
  <si>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</si>
  <si>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</si>
  <si>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</si>
  <si>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</si>
  <si>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</si>
  <si>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</si>
  <si>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</si>
  <si>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</si>
  <si>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</si>
  <si>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22A</t>
  </si>
  <si>
    <t xml:space="preserve">COST CONTAINMENT INCENTIVE </t>
  </si>
  <si>
    <t>One Point will be awarded if the project is below the applicable TDC limit at the time of application.</t>
  </si>
  <si>
    <t>Applicable Total Development Cost Limit:</t>
  </si>
  <si>
    <t>Project's Total Development Cost (from Maximum Dev Cost tab):</t>
  </si>
  <si>
    <t>Percentage below applicable TDC Limit:</t>
  </si>
  <si>
    <t>TOTAL POINTS SELECTED BY APPLICANT</t>
  </si>
  <si>
    <t>22B</t>
  </si>
  <si>
    <t>Projects will be awarded One Point depending on how they compare to the applicable median Cost/SF in its TDC Limit Area.</t>
  </si>
  <si>
    <t>Gross Residential Square Footage from Form 2B, Cell K34:</t>
  </si>
  <si>
    <t>Cost / SF:</t>
  </si>
  <si>
    <t>TOTAL POINTS AWARDED</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</si>
  <si>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</si>
  <si>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</si>
  <si>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</si>
  <si>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</si>
  <si>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</si>
  <si>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</si>
  <si>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</si>
  <si>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</si>
  <si>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</si>
  <si>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</si>
  <si>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</si>
  <si>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</si>
  <si>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</si>
  <si>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</si>
  <si>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</si>
  <si>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</si>
  <si>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</si>
  <si>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</si>
  <si>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</si>
  <si>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</si>
  <si>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</si>
  <si>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</si>
  <si>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</si>
  <si>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</si>
  <si>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</si>
  <si>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</si>
  <si>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</si>
  <si>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</si>
  <si>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</si>
  <si>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</si>
  <si>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</si>
  <si>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</si>
  <si>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</si>
  <si>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</si>
  <si>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</si>
  <si>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</si>
  <si>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</si>
  <si>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</si>
  <si>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</si>
  <si>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</si>
  <si>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</si>
  <si>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</si>
  <si>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</si>
  <si>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</si>
  <si>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</si>
  <si>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</si>
  <si>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</si>
  <si>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</si>
  <si>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</si>
  <si>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</si>
  <si>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</si>
  <si>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</si>
  <si>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</si>
  <si>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</si>
  <si>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</si>
  <si>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</si>
  <si>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</si>
  <si>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</si>
  <si>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</si>
  <si>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</si>
  <si>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</si>
  <si>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</si>
  <si>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</si>
  <si>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</si>
  <si>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</si>
  <si>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</si>
  <si>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</si>
  <si>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</si>
  <si>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</si>
  <si>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</si>
  <si>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</si>
  <si>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</si>
  <si>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</si>
  <si>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</si>
  <si>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</si>
  <si>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</si>
  <si>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</si>
  <si>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</si>
  <si>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</si>
  <si>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</si>
  <si>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</si>
  <si>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</si>
  <si>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</si>
  <si>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</si>
  <si>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</si>
  <si>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</si>
  <si>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</si>
  <si>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</si>
  <si>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of Units</t>
  </si>
  <si>
    <t>Inc_percent</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</si>
  <si>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</si>
  <si>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</si>
  <si>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</si>
  <si>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</si>
  <si>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</si>
  <si>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</si>
  <si>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</si>
  <si>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</si>
  <si>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</si>
  <si>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</si>
  <si>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</si>
  <si>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</si>
  <si>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</si>
  <si>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</si>
  <si>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</si>
  <si>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</si>
  <si>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</si>
  <si>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</si>
  <si>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</si>
  <si>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</si>
  <si>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</si>
  <si>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</si>
  <si>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</si>
  <si>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Homeless75</t>
  </si>
  <si>
    <t>75% of Total Housing Units as Supportive Housing for the Homeless - 35 Points</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</si>
  <si>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</si>
  <si>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</si>
  <si>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</si>
  <si>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</si>
  <si>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</si>
  <si>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</si>
  <si>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</si>
  <si>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</si>
  <si>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</si>
  <si>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</si>
  <si>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</si>
  <si>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</si>
  <si>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</si>
  <si>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</si>
  <si>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</si>
  <si>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</si>
  <si>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</si>
  <si>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</si>
  <si>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</si>
  <si>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</si>
  <si>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</si>
  <si>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</si>
  <si>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</si>
  <si>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</si>
  <si>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</si>
  <si>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</si>
  <si>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</si>
  <si>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</si>
  <si>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</si>
  <si>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</si>
  <si>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</si>
  <si>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</si>
  <si>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</si>
  <si>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</si>
  <si>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Project-Based Rental Assistance</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</si>
  <si>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</si>
  <si>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</si>
  <si>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</si>
  <si>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</si>
  <si>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</si>
  <si>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</si>
  <si>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</si>
  <si>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</si>
  <si>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</si>
  <si>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</si>
  <si>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</si>
  <si>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</si>
  <si>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</si>
  <si>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</si>
  <si>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King County, has not selected #4 and is not eligible for these points.</t>
  </si>
  <si>
    <t>DevFees</t>
  </si>
  <si>
    <t>10% - 10 Points</t>
  </si>
  <si>
    <t>11% - 8 Points</t>
  </si>
  <si>
    <t>12% - 6 Points</t>
  </si>
  <si>
    <t>13% - 4 Points</t>
  </si>
  <si>
    <t>14% - 2 Points</t>
  </si>
  <si>
    <t>Historic</t>
  </si>
  <si>
    <t>Listed, or determined eligible for listing, in the National Register of Historic Places</t>
  </si>
  <si>
    <t xml:space="preserve">Located in a registered Historic District </t>
  </si>
  <si>
    <t>Eligible Tribal Area</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</si>
  <si>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</si>
  <si>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</si>
  <si>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</si>
  <si>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</si>
  <si>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</si>
  <si>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</si>
  <si>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</si>
  <si>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</si>
  <si>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</si>
  <si>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</si>
  <si>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</si>
  <si>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</si>
  <si>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</si>
  <si>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</si>
  <si>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</si>
  <si>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t>Location Efficient Projects</t>
  </si>
  <si>
    <t>Location_eff</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</si>
  <si>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</si>
  <si>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</si>
  <si>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</si>
  <si>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</si>
  <si>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</si>
  <si>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</si>
  <si>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</si>
  <si>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</si>
  <si>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</si>
  <si>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</si>
  <si>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Job Centers</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</si>
  <si>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</si>
  <si>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</si>
  <si>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</si>
  <si>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</si>
  <si>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</si>
  <si>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</si>
  <si>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</si>
  <si>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</si>
  <si>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</si>
  <si>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</si>
  <si>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</si>
  <si>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</si>
  <si>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</si>
  <si>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</si>
  <si>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</si>
  <si>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</si>
  <si>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</si>
  <si>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</si>
  <si>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</si>
  <si>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</si>
  <si>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</si>
  <si>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</si>
  <si>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</si>
  <si>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</si>
  <si>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</si>
  <si>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</si>
  <si>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</si>
  <si>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</si>
  <si>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</si>
  <si>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</si>
  <si>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</si>
  <si>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</si>
  <si>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</si>
  <si>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</si>
  <si>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</si>
  <si>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</si>
  <si>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</si>
  <si>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</si>
  <si>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</si>
  <si>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</si>
  <si>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</si>
  <si>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</si>
  <si>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</si>
  <si>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</si>
  <si>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</si>
  <si>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</si>
  <si>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</si>
  <si>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</si>
  <si>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</si>
  <si>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</si>
  <si>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</si>
  <si>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</si>
  <si>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</si>
  <si>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NP Sponsor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</si>
  <si>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</si>
  <si>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</si>
  <si>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</si>
  <si>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</si>
  <si>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</si>
  <si>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</si>
  <si>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</si>
  <si>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</si>
  <si>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</si>
  <si>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</si>
  <si>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</si>
  <si>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</si>
  <si>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</si>
  <si>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A portion of the project is a licensed assisted living facility =</t>
  </si>
  <si>
    <t>PROJECT-BASED RENTAL ASISTANCE</t>
  </si>
  <si>
    <t>Points will be awarded to projects that create or preserve project-based government rental assistance.</t>
  </si>
  <si>
    <t xml:space="preserve">RENTAL ASSISTANCE: </t>
  </si>
  <si>
    <t>Number of Units with Rental Assistance</t>
  </si>
  <si>
    <t>Total Low-Income Housing Units</t>
  </si>
  <si>
    <t>% of LIH Units with Rental Assistance</t>
  </si>
  <si>
    <t>LEVERAGING OF PUBLIC RESOURCES</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</si>
  <si>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</si>
  <si>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</si>
  <si>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</si>
  <si>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r>
      <t xml:space="preserve">Total Project Cost </t>
    </r>
    <r>
      <rPr>
        <sz val="8"/>
        <color indexed="8"/>
        <rFont val="Calibri"/>
        <family val="2"/>
      </rPr>
      <t>(Form 6B, Cell F109)</t>
    </r>
    <r>
      <rPr>
        <sz val="11"/>
        <color indexed="8"/>
        <rFont val="Calibri"/>
        <family val="2"/>
      </rPr>
      <t>:</t>
    </r>
  </si>
  <si>
    <t>LEVERAGING OF TAXABLE BONDS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</si>
  <si>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</si>
  <si>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</si>
  <si>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</si>
  <si>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</si>
  <si>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</si>
  <si>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</si>
  <si>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 15% - 0 Points</t>
  </si>
  <si>
    <t>REHABILITATION PROJECT</t>
  </si>
  <si>
    <t>Five points will be awarded to Projects meeting the definition of Rehabilitation Project.</t>
  </si>
  <si>
    <t>Number of existing Housing Units to be rehabilitated:</t>
  </si>
  <si>
    <t>Total number of existing Housing Units in Project:</t>
  </si>
  <si>
    <t>Total number of new Housing Units in Project</t>
  </si>
  <si>
    <t>AT RISK PROPERTY</t>
  </si>
  <si>
    <t>Five points will be awarded to Projects meeting the definition of At-Risk Property.</t>
  </si>
  <si>
    <t>PROPERTY TYPE</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</si>
  <si>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</si>
  <si>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</si>
  <si>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AREA TARGETD BY A LOCAL JURISDICTION</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</si>
  <si>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</si>
  <si>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</si>
  <si>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 xml:space="preserve">HIGH AND VERY HIGH OPPORTUNITY AREAS </t>
  </si>
  <si>
    <t>One Point will be awarded to projects located in a census tract that meets the definition of high/very high opportunity areas as defined in the Section 6.18 of the 9% LIHTC Policies</t>
  </si>
  <si>
    <t>Two points will be awarded to Projects that qualify under one of the scenarios below.</t>
  </si>
  <si>
    <t>DONATION IN SUPPORT OF LOCAL NONPROFIT PROGRAMS</t>
  </si>
  <si>
    <t>DEVELOPMENT AMENITIES</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</si>
  <si>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</si>
  <si>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</si>
  <si>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</si>
  <si>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</si>
  <si>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</si>
  <si>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</si>
  <si>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</si>
  <si>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Lower Income Housing Commitment</t>
  </si>
  <si>
    <t>Bond_LIH_Commitment</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</si>
  <si>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</si>
  <si>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</si>
  <si>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</si>
  <si>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</si>
  <si>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</si>
  <si>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</si>
  <si>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Bond_Years</t>
  </si>
  <si>
    <t>• 2 year - 1 point</t>
  </si>
  <si>
    <t>• 4 years - 2 points</t>
  </si>
  <si>
    <t>• 6 years - 3 points</t>
  </si>
  <si>
    <t>• 8 years - 4 points</t>
  </si>
  <si>
    <t>• 10 years - 5 points</t>
  </si>
  <si>
    <t>• 12 years - 6 points</t>
  </si>
  <si>
    <t>• 14 years - 7 points</t>
  </si>
  <si>
    <t>• 16 years - 8 points</t>
  </si>
  <si>
    <t>• 18 years - 9 points</t>
  </si>
  <si>
    <t>• 20 years - 10 points</t>
  </si>
  <si>
    <t>• 22 years - 11 points</t>
  </si>
  <si>
    <t>Bond_PriorityPopulations10</t>
  </si>
  <si>
    <t>10% for Large Households - 5 Points</t>
  </si>
  <si>
    <t>10% for Persons with Disabilities - 5 Points</t>
  </si>
  <si>
    <r>
      <rPr>
        <b/>
        <sz val="11"/>
        <color indexed="8"/>
        <rFont val="Calibri"/>
        <family val="2"/>
        <scheme val="minor"/>
      </rPr>
      <t>Both</t>
    </r>
    <r>
      <rPr>
        <sz val="11"/>
        <color indexed="8"/>
        <rFont val="Calibri"/>
        <family val="2"/>
        <scheme val="minor"/>
      </rPr>
      <t xml:space="preserve"> 10% for Large Households </t>
    </r>
    <r>
      <rPr>
        <b/>
        <sz val="11"/>
        <color indexed="8"/>
        <rFont val="Calibri"/>
        <family val="2"/>
        <scheme val="minor"/>
      </rPr>
      <t>AND</t>
    </r>
    <r>
      <rPr>
        <sz val="11"/>
        <color indexed="8"/>
        <rFont val="Calibri"/>
        <family val="2"/>
        <scheme val="minor"/>
      </rPr>
      <t xml:space="preserve"> 10% for Persons with Disabilities - 10 points</t>
    </r>
  </si>
  <si>
    <t>Bond_PriorityPopulations20</t>
  </si>
  <si>
    <t>20% for Large Households - 10 Points</t>
  </si>
  <si>
    <t>20% for Persons with Disabilities - 10 Points</t>
  </si>
  <si>
    <r>
      <rPr>
        <b/>
        <sz val="11"/>
        <color indexed="8"/>
        <rFont val="Calibri"/>
        <family val="2"/>
        <scheme val="minor"/>
      </rPr>
      <t>Both</t>
    </r>
    <r>
      <rPr>
        <sz val="11"/>
        <color indexed="8"/>
        <rFont val="Calibri"/>
        <family val="2"/>
        <scheme val="minor"/>
      </rPr>
      <t xml:space="preserve"> 20% for Large Households </t>
    </r>
    <r>
      <rPr>
        <b/>
        <sz val="11"/>
        <color indexed="8"/>
        <rFont val="Calibri"/>
        <family val="2"/>
        <scheme val="minor"/>
      </rPr>
      <t>AND</t>
    </r>
    <r>
      <rPr>
        <sz val="11"/>
        <color indexed="8"/>
        <rFont val="Calibri"/>
        <family val="2"/>
        <scheme val="minor"/>
      </rPr>
      <t xml:space="preserve"> 20% for Persons with Disabilities - 20 points</t>
    </r>
  </si>
  <si>
    <t>Bond_PriorityPopulations100</t>
  </si>
  <si>
    <t>100% Elderly Project - 3 Points</t>
  </si>
  <si>
    <t>Assisted Living Project - 10 Points</t>
  </si>
  <si>
    <r>
      <rPr>
        <b/>
        <sz val="11"/>
        <rFont val="Calibri"/>
        <family val="2"/>
        <scheme val="minor"/>
      </rPr>
      <t>Both</t>
    </r>
    <r>
      <rPr>
        <sz val="11"/>
        <rFont val="Calibri"/>
        <family val="2"/>
        <scheme val="minor"/>
      </rPr>
      <t xml:space="preserve"> 100% Elderly </t>
    </r>
    <r>
      <rPr>
        <b/>
        <sz val="11"/>
        <rFont val="Calibri"/>
        <family val="2"/>
        <scheme val="minor"/>
      </rPr>
      <t>AND</t>
    </r>
    <r>
      <rPr>
        <sz val="11"/>
        <rFont val="Calibri"/>
        <family val="2"/>
        <scheme val="minor"/>
      </rPr>
      <t xml:space="preserve"> a portion of the project is  Assisted Living - 13 points</t>
    </r>
  </si>
  <si>
    <t>Bond_PBRA</t>
  </si>
  <si>
    <t>Less than 25% of the low-income housing units - 1 points</t>
  </si>
  <si>
    <t>25-49% of the low-income housing units - 5 points</t>
  </si>
  <si>
    <t>50-74% of the low-income housing units - 10 points</t>
  </si>
  <si>
    <t xml:space="preserve">75% or more of the low-income housing units - 15 points </t>
  </si>
  <si>
    <t>LeveragingPublicResources10</t>
  </si>
  <si>
    <t>Bond_LvgPubRes_10</t>
  </si>
  <si>
    <t>5% of the Total Project Costs - 3 points</t>
  </si>
  <si>
    <t>10% of the Total Project Costs - 5 points</t>
  </si>
  <si>
    <t>15% of the Total Project Costs - 10 points</t>
  </si>
  <si>
    <t>LeveragingTaxableBonds7</t>
  </si>
  <si>
    <t>Bond_LvgTaxBonds_7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</si>
  <si>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</si>
  <si>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</si>
  <si>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</si>
  <si>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</si>
  <si>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</si>
  <si>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</si>
  <si>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</si>
  <si>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 10% - 10 Points</t>
  </si>
  <si>
    <t>Bond_DevFees</t>
  </si>
  <si>
    <t>• 11% - 8 Points</t>
  </si>
  <si>
    <t>• 12% - 6 Points</t>
  </si>
  <si>
    <t>• 13% - 4 Points</t>
  </si>
  <si>
    <t>• 14% - 2 Points</t>
  </si>
  <si>
    <t>PropertyType10</t>
  </si>
  <si>
    <t>property_type_10</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</si>
  <si>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</si>
  <si>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</si>
  <si>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</si>
  <si>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r>
      <rPr>
        <b/>
        <sz val="11"/>
        <rFont val="Calibri"/>
        <family val="2"/>
        <scheme val="minor"/>
      </rPr>
      <t>Option 4:</t>
    </r>
    <r>
      <rPr>
        <sz val="11"/>
        <rFont val="Calibri"/>
        <family val="2"/>
        <scheme val="minor"/>
      </rPr>
      <t xml:space="preserve"> Brownfield site - 10 points</t>
    </r>
  </si>
  <si>
    <t>Bond_NP_Sponsor</t>
  </si>
  <si>
    <t>Nonprofit Only - 2 Points</t>
  </si>
  <si>
    <t>For Profit / Nonprofit Partnership - 2 Points</t>
  </si>
  <si>
    <t>Bond_LIH40percent</t>
  </si>
  <si>
    <t>Bond_LIH50percent</t>
  </si>
  <si>
    <t>Bond_LIH60percent</t>
  </si>
  <si>
    <t>NP_Donation</t>
  </si>
  <si>
    <t>10 basis points (.01%) of the total bond amount or $10,000, whichever is greater - 5 points</t>
  </si>
  <si>
    <t>20 basis points (.02%) of the total bond amount or $20,000, whichever is greater - 10 points</t>
  </si>
  <si>
    <t>Form 11B: 4% LIHTC/Bond Scoring Synopsis</t>
  </si>
  <si>
    <t>Form 11B: 4% LIHTC/Bond Scoring Synopsis (Page 2)</t>
  </si>
  <si>
    <t>Form 11B: 4% LIHTC/Bond Scoring Synopsis (Page 3)</t>
  </si>
  <si>
    <t>Form 11A: 9% LIHTC Scoring Synopsis</t>
  </si>
  <si>
    <t>Total Project Cost (from Form 6A, Cell J118):</t>
  </si>
  <si>
    <t>* 2016 Maximum Annual Credit Per Low-Income Unit Limit</t>
  </si>
  <si>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</si>
  <si>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</si>
  <si>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</si>
  <si>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</si>
  <si>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</si>
  <si>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</si>
  <si>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</si>
  <si>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</si>
  <si>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</si>
  <si>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</si>
  <si>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</si>
  <si>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</si>
  <si>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</si>
  <si>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</si>
  <si>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</si>
  <si>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</si>
  <si>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</si>
  <si>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</si>
  <si>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</si>
  <si>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</si>
  <si>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</si>
  <si>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</si>
  <si>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</si>
  <si>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</si>
  <si>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</si>
  <si>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</si>
  <si>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</si>
  <si>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</si>
  <si>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</si>
  <si>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</si>
  <si>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</si>
  <si>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</si>
  <si>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</si>
  <si>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</si>
  <si>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</si>
  <si>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</si>
  <si>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</si>
  <si>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</si>
  <si>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</si>
  <si>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</si>
  <si>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TDC_Limit</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</si>
  <si>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</si>
  <si>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</si>
  <si>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</si>
  <si>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</si>
  <si>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</si>
  <si>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</si>
  <si>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</si>
  <si>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</si>
  <si>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</si>
  <si>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</si>
  <si>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</si>
  <si>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</si>
  <si>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</si>
  <si>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</si>
  <si>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</si>
  <si>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</si>
  <si>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</si>
  <si>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</si>
  <si>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</si>
  <si>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</si>
  <si>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</si>
  <si>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</si>
  <si>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</si>
  <si>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</si>
  <si>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</si>
  <si>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</si>
  <si>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</si>
  <si>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</si>
  <si>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</si>
  <si>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</si>
  <si>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</si>
  <si>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</si>
  <si>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</si>
  <si>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</si>
  <si>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</si>
  <si>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</si>
  <si>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</si>
  <si>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</si>
  <si>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</si>
  <si>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</si>
  <si>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</si>
  <si>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</si>
  <si>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</si>
  <si>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</si>
  <si>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</si>
  <si>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</si>
  <si>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</si>
  <si>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</si>
  <si>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</si>
  <si>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</si>
  <si>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</si>
  <si>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</si>
  <si>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</si>
  <si>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</si>
  <si>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</si>
  <si>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</si>
  <si>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</si>
  <si>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</si>
  <si>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</si>
  <si>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</si>
  <si>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</si>
  <si>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</si>
  <si>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</si>
  <si>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</si>
  <si>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</si>
  <si>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</si>
  <si>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</si>
  <si>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</si>
  <si>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</si>
  <si>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</si>
  <si>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</si>
  <si>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</si>
  <si>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</si>
  <si>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</si>
  <si>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</si>
  <si>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</si>
  <si>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</si>
  <si>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</si>
  <si>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</si>
  <si>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</si>
  <si>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</si>
  <si>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</si>
  <si>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</si>
  <si>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</si>
  <si>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Compass Broadview</t>
  </si>
  <si>
    <t>Compass Housing Alliance</t>
  </si>
  <si>
    <t>Compass Housing</t>
  </si>
  <si>
    <t>Bill Reddy</t>
  </si>
  <si>
    <t>206-474-1020</t>
  </si>
  <si>
    <t>breddy@compasshousingalliance.org</t>
  </si>
  <si>
    <t>Bellwether Housing</t>
  </si>
  <si>
    <t>JoAnna Martin</t>
  </si>
  <si>
    <t>206-588-4791</t>
  </si>
  <si>
    <t>jmartin@bellwetherhousing.org</t>
  </si>
  <si>
    <t>TBD</t>
  </si>
  <si>
    <t>Seattle</t>
  </si>
  <si>
    <t>WA</t>
  </si>
  <si>
    <t>13047 Greenwood Ave N</t>
  </si>
  <si>
    <t>242603-9134;  242603-9022</t>
  </si>
  <si>
    <t>Program Manager</t>
  </si>
  <si>
    <t>Laundry</t>
  </si>
  <si>
    <t>Misc. Fees (cable, late fees, etc.)</t>
  </si>
  <si>
    <t>Per CHA experience with similar projects</t>
  </si>
  <si>
    <t>Exempt except for surface water managerment and othe misc. fees</t>
  </si>
  <si>
    <t>Misc. office/admin costs plus WSHFC annual LIHTC compliance fees</t>
  </si>
  <si>
    <t>Capitalized 6 months for operating expenses, per LIHTC investor requirement</t>
  </si>
  <si>
    <t>77 South Washington Street</t>
  </si>
  <si>
    <t>13047 Greenwood Ave N    (Luther Memorial Church Pkg Lot)</t>
  </si>
  <si>
    <t>91-0578229</t>
  </si>
  <si>
    <t>Janet Pope</t>
  </si>
  <si>
    <t>206-474-1000</t>
  </si>
  <si>
    <t>206-474-1001</t>
  </si>
  <si>
    <t>jpope@compasshousingalliance.org</t>
  </si>
  <si>
    <t>1651 Bellevue Ave</t>
  </si>
  <si>
    <t>206-634-9407</t>
  </si>
  <si>
    <t>Option 2:  50% @ 30% AMI, 50% @ 50% AMI (60 Points)</t>
  </si>
  <si>
    <t>City of Seattle - Office of Housing</t>
  </si>
  <si>
    <t>Seattle Office of Housing</t>
  </si>
  <si>
    <t>State Department of Commerce</t>
  </si>
  <si>
    <t>Urban:  within 1/4 mile of 3 services and within 1/2 mile of a grocery store</t>
  </si>
  <si>
    <t>Escalation, Other constr costs</t>
  </si>
  <si>
    <t>Total Development Cost Limit Calculation</t>
  </si>
  <si>
    <t>The following outlines the Commission’s Total Development Cost Limit policy:</t>
  </si>
  <si>
    <t>1.</t>
  </si>
  <si>
    <t>Total Development Cost = Total Project Cost less land and capitalized reserves</t>
  </si>
  <si>
    <t>2.</t>
  </si>
  <si>
    <t>All units - market rate, low-income and common area - are included in the calculation.</t>
  </si>
  <si>
    <t>3.</t>
  </si>
  <si>
    <t>Projects located in any county other than King County that fit the definition of an Urban Project may request to be allowed to use the TDC limits one category higher than their current category.</t>
  </si>
  <si>
    <t>Projects are subject to the Development Cost Limit Schedule in place at application.</t>
  </si>
  <si>
    <t>Which limits is this project subject to?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</si>
  <si>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</si>
  <si>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</si>
  <si>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</si>
  <si>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</si>
  <si>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</si>
  <si>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Appropriate Cost/Unit Limits</t>
  </si>
  <si>
    <t>Max Cost by Unit Type</t>
  </si>
  <si>
    <t>Project's Total Development Cost Limit:</t>
  </si>
  <si>
    <r>
      <t xml:space="preserve">Total Residential Project Cost </t>
    </r>
    <r>
      <rPr>
        <b/>
        <sz val="9"/>
        <color indexed="8"/>
        <rFont val="Calibri"/>
        <family val="2"/>
      </rPr>
      <t>(from Form 6D, Cell F89)</t>
    </r>
  </si>
  <si>
    <t>- Land</t>
  </si>
  <si>
    <t>- Capitalized Reserves</t>
  </si>
  <si>
    <t>Total Development Cost</t>
  </si>
  <si>
    <r>
      <t xml:space="preserve">Total Development Cost </t>
    </r>
    <r>
      <rPr>
        <b/>
        <sz val="11"/>
        <color indexed="8"/>
        <rFont val="Symbol"/>
        <family val="1"/>
        <charset val="2"/>
      </rPr>
      <t xml:space="preserve">£ </t>
    </r>
    <r>
      <rPr>
        <b/>
        <sz val="11"/>
        <color indexed="8"/>
        <rFont val="Calibri"/>
        <family val="2"/>
      </rPr>
      <t>Total Project Cost Limit</t>
    </r>
  </si>
  <si>
    <t>If the Total Development Cost exceeds the Project's Total Develoment Cost Limit  and has not been approved for a waiver, the application will be disqualified.</t>
  </si>
  <si>
    <t xml:space="preserve">  Waiver has been approved.</t>
  </si>
  <si>
    <t xml:space="preserve">Approved Total Development Cost in Waiver = </t>
  </si>
  <si>
    <t>To improve our analysis of factors that influence Total Development Costs, please fill in the following information:</t>
  </si>
  <si>
    <t>Number of Units by Building Type:</t>
  </si>
  <si>
    <t>Single Family Detached</t>
  </si>
  <si>
    <t>Walk-Up/Garden Style Apartments</t>
  </si>
  <si>
    <t>Low-Rise (2-3 stories with elevator)</t>
  </si>
  <si>
    <t>Wage Rate Requirements</t>
  </si>
  <si>
    <t>Mid-Rise (4-6 stories with elevator)</t>
  </si>
  <si>
    <t>State Prevailing Wages - Residential</t>
  </si>
  <si>
    <t>High Rise (7+ stories with elevator)</t>
  </si>
  <si>
    <t>State Prevailing Wages - Commercial</t>
  </si>
  <si>
    <t>Davis Bacon Wages - Residential</t>
  </si>
  <si>
    <t>Parking</t>
  </si>
  <si>
    <t>Davis Bacon Wages - Commercial</t>
  </si>
  <si>
    <t xml:space="preserve">  Number of Residential Structured Parking Stalls</t>
  </si>
  <si>
    <t>No wage requirements</t>
  </si>
  <si>
    <t>Seattle OH</t>
  </si>
  <si>
    <t>State HTF</t>
  </si>
  <si>
    <t>Luther Memorial</t>
  </si>
  <si>
    <t>x</t>
  </si>
  <si>
    <t>preconstruction mtgs</t>
  </si>
  <si>
    <t>MUP intake fees</t>
  </si>
  <si>
    <t>SEPA review</t>
  </si>
  <si>
    <t>EDG, Design Review, MUP issuance</t>
  </si>
  <si>
    <t>based off DCI fee estimator</t>
  </si>
  <si>
    <t>subcontractors pay side permits</t>
  </si>
  <si>
    <t>estimate per similar projects</t>
  </si>
  <si>
    <t>up front sewer capacity charge</t>
  </si>
  <si>
    <t>per similar projects</t>
  </si>
  <si>
    <t>Electrical hook-up fees, per similar projects</t>
  </si>
  <si>
    <t>studios</t>
  </si>
  <si>
    <t>Property Manager</t>
  </si>
  <si>
    <t>Case Manager - Homeless Services</t>
  </si>
  <si>
    <t>The 2.5% inflation for Revenues,  3.5% inflation for Expensesand 5% Vacancy rate all all consitent with LIHTC investor underwriting criteria (although CHA typically experiences a lower vacancy rate).</t>
  </si>
  <si>
    <t>Staffing plan per CHA experience with similar projects</t>
  </si>
  <si>
    <t>8% Effective Gross Income, per CHA experience with similar projects</t>
  </si>
  <si>
    <t>Annual audit, per CHA experience with similar projects</t>
  </si>
  <si>
    <t>Per CHA experience with similar projects where the owner pays all water/sewer</t>
  </si>
  <si>
    <t>Per CHA experience with similar projects: for common areas only (tenants pay individual electric bills)</t>
  </si>
  <si>
    <t>Per CHA experience with similar projects: Central gas hot water boiler</t>
  </si>
  <si>
    <t>Per CHA experience with similar projects, including phone/internet</t>
  </si>
  <si>
    <t>Service Provider</t>
  </si>
  <si>
    <t>CHA is the sponsor, developer, service provider, and managing member of the LIHTC formed LLC ownership entity.</t>
  </si>
  <si>
    <t>NA</t>
  </si>
  <si>
    <t>Executed PSA</t>
  </si>
  <si>
    <t>Completed</t>
  </si>
  <si>
    <t>After CofO</t>
  </si>
  <si>
    <t>Initial letter, community meeting, ongoing activities</t>
  </si>
  <si>
    <t>Complete (sales price at steep discount from market)</t>
  </si>
  <si>
    <t>Application for funding (Seattle):</t>
  </si>
  <si>
    <t>Complete</t>
  </si>
  <si>
    <t>Application for funding (State):</t>
  </si>
  <si>
    <t>Walsh construction</t>
  </si>
  <si>
    <t>Award date for funding source (Seattle):</t>
  </si>
  <si>
    <t>Award date for funding source (State):</t>
  </si>
  <si>
    <t>LIHTC 9%</t>
  </si>
  <si>
    <t>over</t>
  </si>
  <si>
    <t>Impact Capital</t>
  </si>
  <si>
    <t>12 mos</t>
  </si>
  <si>
    <t>Luther Memorial Church</t>
  </si>
  <si>
    <t>Facility Assistant</t>
  </si>
  <si>
    <t>Community Engagement Specialist</t>
  </si>
  <si>
    <t>Per PSA, which reflects a discounted price from the appraised value of over $2.5m</t>
  </si>
  <si>
    <t>Estimated per similar projects</t>
  </si>
  <si>
    <t>Per Walsh Construction cost estimate 9/9/16</t>
  </si>
  <si>
    <t>6% per similar sized new construction projects</t>
  </si>
  <si>
    <t>9.6% Seattle rate</t>
  </si>
  <si>
    <t>Per similar CHA projects</t>
  </si>
  <si>
    <t>As-is appraisal required for LIHTC investor</t>
  </si>
  <si>
    <t>Per funding requirements</t>
  </si>
  <si>
    <t>Soils report plus geotechnical monitoring during construction underground garage</t>
  </si>
  <si>
    <t>Per similar LIHTC projects, plus Lot Line Adjustment legal work</t>
  </si>
  <si>
    <t>Per draft Development Services Agreement with Bellwether Housing</t>
  </si>
  <si>
    <t>Estimate per other CHA projects</t>
  </si>
  <si>
    <t>Impact Capital Phase 2 loan fees estimate</t>
  </si>
  <si>
    <t>Estimate for $500k Phase 2 loan at 50% draw down over 12 months</t>
  </si>
  <si>
    <t>1% loan fee per similar projects and discussions with lenders</t>
  </si>
  <si>
    <t>Estimate for construction review/monitoring</t>
  </si>
  <si>
    <t>Estimate per similar projects</t>
  </si>
  <si>
    <t>Estimate based on 85% bridge of LIHTC equity, with partial draw down over construction period</t>
  </si>
  <si>
    <t>Estimate of 100% loan amount until final equity pay-in</t>
  </si>
  <si>
    <t>Application and WSHFC published credit fees</t>
  </si>
  <si>
    <t>Investor plus other fees</t>
  </si>
  <si>
    <t>Per similar experience for closing/title costs</t>
  </si>
  <si>
    <t>2% per State requirement</t>
  </si>
  <si>
    <t>6 months operating expenses per LIHTC investor requirements for housing with supportive services</t>
  </si>
  <si>
    <t>Eligible for state exemption. Stormwater and misc. local fees for 2 years.</t>
  </si>
  <si>
    <t>Estimate for Liability and Builder's Risk per similar projects</t>
  </si>
  <si>
    <t>Per similar projects</t>
  </si>
  <si>
    <t>Per tab 6D estimate and similar projects</t>
  </si>
  <si>
    <t>Per WSHFC policy</t>
  </si>
  <si>
    <t>LIHTC Cost certifications: 10% and final</t>
  </si>
  <si>
    <t>Per CHA experience for similar projects</t>
  </si>
  <si>
    <t>40% AMI target rent</t>
  </si>
  <si>
    <t>Deferred Dev Fee</t>
  </si>
  <si>
    <t>Deferred Developer Fee</t>
  </si>
  <si>
    <t>NK Architects</t>
  </si>
  <si>
    <t>206-494-9784</t>
  </si>
  <si>
    <t>paulh@nkarch.com</t>
  </si>
  <si>
    <t>Kantor Taylor</t>
  </si>
  <si>
    <t>Andrea Sato, Shareholder</t>
  </si>
  <si>
    <t>206-812-2505</t>
  </si>
  <si>
    <t>asato@kantortaylor.com</t>
  </si>
  <si>
    <t>Gary Klockenteger</t>
  </si>
  <si>
    <t>206-205-0200</t>
  </si>
  <si>
    <t>garyk@kiddermathews.com</t>
  </si>
  <si>
    <t>Kidder Mathews</t>
  </si>
  <si>
    <t>Mike Bang</t>
  </si>
  <si>
    <t>mbang@walshconstruction.com</t>
  </si>
  <si>
    <t>Paul Hanson, Project Manager</t>
  </si>
  <si>
    <t>Pastor Julie Hutson</t>
  </si>
  <si>
    <t>13047 Greenwood Ave. N</t>
  </si>
  <si>
    <t>206-364-2510</t>
  </si>
  <si>
    <t>pastor@luthermemorialseattle.com</t>
  </si>
  <si>
    <t>Parker Apartments</t>
  </si>
  <si>
    <t>Seattle, WA</t>
  </si>
  <si>
    <t>1/2015</t>
  </si>
  <si>
    <t>4&amp; LIHTC, Bonds, OH, Sponsor Loan</t>
  </si>
  <si>
    <t>Sunset House</t>
  </si>
  <si>
    <t>07/2012</t>
  </si>
  <si>
    <t>9% LIHTC, OH</t>
  </si>
  <si>
    <t>Rose Street Apartments</t>
  </si>
  <si>
    <t>03/2011</t>
  </si>
  <si>
    <t>4% LIHTC, Bonds, OH, CTED, King County DD, Capital Campaign</t>
  </si>
  <si>
    <t>4% LIHTC, Bonds, City, Sponsor Loan</t>
  </si>
  <si>
    <t>4/2018</t>
  </si>
  <si>
    <t>Anchor Flats</t>
  </si>
  <si>
    <t>Arbora Court</t>
  </si>
  <si>
    <t>2/2018</t>
  </si>
  <si>
    <t>4% LIHTC, 9% LIHTC, Bonds, City, HTF, County, Sponsor Loan</t>
  </si>
  <si>
    <t>Gethsemane - Dekko Place</t>
  </si>
  <si>
    <t>Owner, Developer</t>
  </si>
  <si>
    <t>50</t>
  </si>
  <si>
    <t>11/2010</t>
  </si>
  <si>
    <t>4/2012</t>
  </si>
  <si>
    <t>9% LIHTC, HTF</t>
  </si>
  <si>
    <t>Compass on Dexter</t>
  </si>
  <si>
    <t>Nyer Urness House</t>
  </si>
  <si>
    <t>80</t>
  </si>
  <si>
    <t>6/2009</t>
  </si>
  <si>
    <t>12/2012</t>
  </si>
  <si>
    <t>9% LIHTC, HTF, City</t>
  </si>
  <si>
    <t>Ronald Commons</t>
  </si>
  <si>
    <t>Shoreline, WA</t>
  </si>
  <si>
    <t>Compass Crossing</t>
  </si>
  <si>
    <t>60</t>
  </si>
  <si>
    <t>12/2016</t>
  </si>
  <si>
    <t>The Compass Broadview project will be turning an under utilized church parking lot into 59 units of low income housing with underground parking.  While some church parking was retained on the church's property,it was necessary to provide six stalls for church use in the apartment garage to meet the code required parking.  In addition, a 2,000 s.f. wing of the church will be demolished to create the parcel size required for the Compass Broadview project.  This parcel will be defined through a Lot Boundary Adjustment.  The costs and revenue associated with the church parking and wing demolition are included as Non-Residential Costs.</t>
  </si>
  <si>
    <t>Compass Broadview intends to serve a 50:50 mix of extremely low income and very-low-income households with an emphasis on families.  There will be a high number of children living in the building and many of them will be in families who are exiting homeless or are "at risk", doubled up, etc.  Compass will set aside 20% of the units for homeless families coming from the King County Coordinated Entry system.  It will set aside another 20% of the units for residents with disabilities.  These disabilities could be physical or mental impairments that interfere with daily functioning.  It is therefore expected that most of the residents in the building will require some level of supportive services.   The building is intended to operate as a holistic, supportive community for all residents.</t>
  </si>
  <si>
    <t>change if CAU</t>
  </si>
  <si>
    <t>Purchase Option</t>
  </si>
  <si>
    <t>Complete CHA</t>
  </si>
  <si>
    <t>for cost estimates</t>
  </si>
  <si>
    <t>Application for funding (WSHFC):</t>
  </si>
  <si>
    <t>Not started</t>
  </si>
  <si>
    <t>Internal underwriting for Board Approval</t>
  </si>
  <si>
    <t>Application for funding (ORS):</t>
  </si>
  <si>
    <t>In process</t>
  </si>
  <si>
    <t>Award date for funding source (KC ORS):</t>
  </si>
  <si>
    <t>Award date for funding source (WSHFC):</t>
  </si>
  <si>
    <t>SEPA/NEPA Checklist</t>
  </si>
  <si>
    <t>Pending</t>
  </si>
  <si>
    <t>Investor/Lender selection</t>
  </si>
  <si>
    <t>Subcontractor Bidding</t>
  </si>
  <si>
    <t>Presubmittal Conference with SDCI</t>
  </si>
  <si>
    <t>Design Review</t>
  </si>
  <si>
    <t>SD only</t>
  </si>
  <si>
    <t>Due Diligence in process</t>
  </si>
  <si>
    <t>Service/Operating Funding Starts</t>
  </si>
  <si>
    <t>Closing on Impact Capital Phase 2 Predev</t>
  </si>
  <si>
    <t>Phase 1 awarded; Phase 2 not started</t>
  </si>
  <si>
    <t>$985k cash fee limit per Seattle OH, less Project Management fees below</t>
  </si>
  <si>
    <t>3% escalation for one year, per Walsh recommendation</t>
  </si>
  <si>
    <t>Phase 1 Actual per ATC</t>
  </si>
  <si>
    <t>Land survey, ALTA, plus as-built survey</t>
  </si>
  <si>
    <t>Estimate for construction monitoring, traffic study, arborist, acoustical report, etc.</t>
  </si>
  <si>
    <t>Per negotiations with NK Architects, including engineers and reimbursables</t>
  </si>
  <si>
    <t>$1k per unit initial reserve</t>
  </si>
  <si>
    <t>24 mos</t>
  </si>
  <si>
    <t>Building Assistant(on call)</t>
  </si>
  <si>
    <t>hourly employee</t>
  </si>
  <si>
    <t>Included above</t>
  </si>
  <si>
    <t>Annual contribution per unit/year per other CHA projects and investor underwriting</t>
  </si>
  <si>
    <t>Walsh Construction (Preconstruction services)</t>
  </si>
  <si>
    <t>In CHA's experience with the proposed population, Management and Services teams must be fully staffed during the first couple of years in order to stabilize the building operations, resident lives, and community connections. Starting in Year 3 the Program Manager position can be reduced to 75% time or less.</t>
  </si>
  <si>
    <t>13</t>
  </si>
  <si>
    <t>Capital Campaign; Grant from Paul Allen Foundation</t>
  </si>
  <si>
    <t>2014</t>
  </si>
  <si>
    <t>2012</t>
  </si>
  <si>
    <t>72</t>
  </si>
  <si>
    <t>62</t>
  </si>
  <si>
    <t>Low- and Extremely-Low Income</t>
  </si>
  <si>
    <t>State, LIHTC</t>
  </si>
  <si>
    <t>Compass On Dexter</t>
  </si>
  <si>
    <t>City, State, LIHTC</t>
  </si>
  <si>
    <t>Dekko Place</t>
  </si>
  <si>
    <t>Formerly Homeless Adults</t>
  </si>
  <si>
    <t>Karlstrom Apartments</t>
  </si>
  <si>
    <t>23</t>
  </si>
  <si>
    <t>Katie Talcott, Director of Housing Operations</t>
  </si>
  <si>
    <t>206-474-1303</t>
  </si>
  <si>
    <t>ktalcott@compasshousingalliance.org</t>
  </si>
  <si>
    <t>206-547-4008</t>
  </si>
  <si>
    <t>2017</t>
  </si>
  <si>
    <t>CURRENT</t>
  </si>
  <si>
    <t>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</si>
</sst>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mm\-yy;@"/>
  </numFmts>
  <fonts count="1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sz val="8"/>
      <color indexed="8"/>
      <name val="Calibri"/>
      <family val="2"/>
    </font>
    <font>
      <sz val="11"/>
      <color rgb="FFFF6600"/>
      <name val="Calibri"/>
      <family val="2"/>
      <scheme val="minor"/>
    </font>
    <font>
      <u/>
      <sz val="11"/>
      <color theme="10"/>
      <name val="Calibri"/>
      <family val="2"/>
      <scheme val="minor"/>
    </font>
    <font>
      <u/>
      <sz val="11"/>
      <color theme="11"/>
      <name val="Calibri"/>
      <family val="2"/>
      <scheme val="minor"/>
    </font>
    <font>
      <sz val="9"/>
      <color indexed="8"/>
      <name val="Calibri"/>
      <family val="2"/>
    </font>
    <font>
      <b/>
      <sz val="9"/>
      <color theme="1"/>
      <name val="Calibri"/>
      <family val="2"/>
      <scheme val="minor"/>
    </font>
    <font>
      <b/>
      <sz val="11"/>
      <color indexed="8"/>
      <name val="Symbol"/>
      <family val="1"/>
      <charset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sz val="10"/>
      <color indexed="10"/>
      <name val="Calibri"/>
      <family val="2"/>
    </font>
    <font>
      <sz val="11"/>
      <color rgb="FFFF0000"/>
      <name val="Calibri"/>
      <family val="2"/>
      <scheme val="minor"/>
    </font>
    <font>
      <sz val="8"/>
      <color rgb="FFFF0000"/>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9"/>
      </patternFill>
    </fill>
  </fills>
  <borders count="627">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style="thin">
        <color auto="1"/>
      </right>
      <top/>
      <bottom style="medium">
        <color auto="1"/>
      </bottom>
      <diagonal/>
    </border>
    <border>
      <left/>
      <right style="medium">
        <color auto="1"/>
      </right>
      <top/>
      <bottom style="thin">
        <color auto="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auto="1"/>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medium">
        <color auto="1"/>
      </bottom>
      <diagonal/>
    </border>
    <border>
      <left/>
      <right style="medium">
        <color auto="1"/>
      </right>
      <top style="thin">
        <color auto="1"/>
      </top>
      <bottom style="thin">
        <color auto="1"/>
      </bottom>
      <diagonal/>
    </border>
    <border>
      <left style="thin">
        <color theme="0" tint="-0.1499679555650502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theme="0" tint="-0.24994659260841701"/>
      </left>
      <right/>
      <top/>
      <bottom style="thin">
        <color auto="1"/>
      </bottom>
      <diagonal/>
    </border>
    <border>
      <left/>
      <right/>
      <top/>
      <bottom style="medium">
        <color theme="5" tint="-0.499984740745262"/>
      </bottom>
      <diagonal/>
    </border>
    <border>
      <left style="thin">
        <color auto="1"/>
      </left>
      <right style="medium">
        <color auto="1"/>
      </right>
      <top style="thin">
        <color auto="1"/>
      </top>
      <bottom style="thin">
        <color auto="1"/>
      </bottom>
      <diagonal/>
    </border>
    <border>
      <left style="medium">
        <color auto="1"/>
      </left>
      <right/>
      <top/>
      <bottom style="thin">
        <color theme="0" tint="-0.24994659260841701"/>
      </bottom>
      <diagonal/>
    </border>
    <border>
      <left/>
      <right/>
      <top/>
      <bottom style="thin">
        <color theme="0" tint="-0.24994659260841701"/>
      </bottom>
      <diagonal/>
    </border>
    <border>
      <left/>
      <right style="medium">
        <color auto="1"/>
      </right>
      <top style="thin">
        <color theme="0" tint="-0.24994659260841701"/>
      </top>
      <bottom/>
      <diagonal/>
    </border>
    <border>
      <left/>
      <right style="medium">
        <color auto="1"/>
      </right>
      <top/>
      <bottom style="thin">
        <color theme="0" tint="-0.24994659260841701"/>
      </bottom>
      <diagonal/>
    </border>
    <border>
      <left style="thin">
        <color theme="0" tint="-0.24994659260841701"/>
      </left>
      <right/>
      <top/>
      <bottom style="thin">
        <color theme="0" tint="-0.24994659260841701"/>
      </bottom>
      <diagonal/>
    </border>
    <border>
      <left/>
      <right style="medium">
        <color auto="1"/>
      </right>
      <top style="medium">
        <color auto="1"/>
      </top>
      <bottom style="thin">
        <color auto="1"/>
      </bottom>
      <diagonal/>
    </border>
    <border>
      <left style="thin">
        <color auto="1"/>
      </left>
      <right style="thin">
        <color theme="0" tint="-0.24994659260841701"/>
      </right>
      <top style="thin">
        <color auto="1"/>
      </top>
      <bottom style="medium">
        <color auto="1"/>
      </bottom>
      <diagonal/>
    </border>
    <border>
      <left style="thin">
        <color theme="0" tint="-0.14996795556505021"/>
      </left>
      <right/>
      <top style="thin">
        <color theme="0" tint="-0.14993743705557422"/>
      </top>
      <bottom style="medium">
        <color auto="1"/>
      </bottom>
      <diagonal/>
    </border>
    <border>
      <left style="medium">
        <color auto="1"/>
      </left>
      <right/>
      <top style="thin">
        <color auto="1"/>
      </top>
      <bottom style="medium">
        <color auto="1"/>
      </bottom>
      <diagonal/>
    </border>
    <border>
      <left style="double">
        <color auto="1"/>
      </left>
      <right/>
      <top/>
      <bottom style="medium">
        <color auto="1"/>
      </bottom>
      <diagonal/>
    </border>
    <border>
      <left style="thin">
        <color auto="1"/>
      </left>
      <right/>
      <top style="thin">
        <color theme="0" tint="-0.24994659260841701"/>
      </top>
      <bottom/>
      <diagonal/>
    </border>
    <border>
      <left style="thin">
        <color auto="1"/>
      </left>
      <right/>
      <top style="thin">
        <color theme="0" tint="-0.24994659260841701"/>
      </top>
      <bottom style="thin">
        <color theme="0" tint="-0.2499465926084170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bottom/>
      <diagonal/>
    </border>
    <border>
      <left style="thin">
        <color theme="0" tint="-0.24994659260841701"/>
      </left>
      <right/>
      <top style="thin">
        <color theme="0" tint="-0.24994659260841701"/>
      </top>
      <bottom style="medium">
        <color auto="1"/>
      </bottom>
      <diagonal/>
    </border>
    <border>
      <left style="thin">
        <color theme="0" tint="-0.14996795556505021"/>
      </left>
      <right/>
      <top style="thin">
        <color auto="1"/>
      </top>
      <bottom style="medium">
        <color auto="1"/>
      </bottom>
      <diagonal/>
    </border>
    <border>
      <left style="thin">
        <color auto="1"/>
      </left>
      <right/>
      <top style="thin">
        <color theme="0" tint="-0.2499465926084170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double">
        <color auto="1"/>
      </left>
      <right style="double">
        <color auto="1"/>
      </right>
      <top style="double">
        <color auto="1"/>
      </top>
      <bottom style="double">
        <color auto="1"/>
      </bottom>
      <diagonal/>
    </border>
    <border>
      <left style="thin">
        <color theme="0" tint="-0.24994659260841701"/>
      </left>
      <right style="medium">
        <color auto="1"/>
      </right>
      <top style="thin">
        <color auto="1"/>
      </top>
      <bottom style="medium">
        <color auto="1"/>
      </bottom>
      <diagonal/>
    </border>
    <border>
      <left style="thin">
        <color theme="0" tint="-0.14996795556505021"/>
      </left>
      <right style="medium">
        <color auto="1"/>
      </right>
      <top/>
      <bottom style="medium">
        <color auto="1"/>
      </bottom>
      <diagonal/>
    </border>
    <border>
      <left style="thin">
        <color theme="0" tint="-0.24994659260841701"/>
      </left>
      <right style="thin">
        <color theme="0" tint="-0.24994659260841701"/>
      </right>
      <top style="medium">
        <color auto="1"/>
      </top>
      <bottom style="medium">
        <color auto="1"/>
      </bottom>
      <diagonal/>
    </border>
    <border>
      <left/>
      <right style="medium">
        <color auto="1"/>
      </right>
      <top style="thin">
        <color theme="0" tint="-0.24994659260841701"/>
      </top>
      <bottom style="thin">
        <color auto="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auto="1"/>
      </left>
      <right style="thin">
        <color theme="0" tint="-0.24994659260841701"/>
      </right>
      <top style="thin">
        <color auto="1"/>
      </top>
      <bottom style="medium">
        <color auto="1"/>
      </bottom>
      <diagonal/>
    </border>
    <border>
      <left style="medium">
        <color auto="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thin">
        <color theme="0" tint="-0.24994659260841701"/>
      </left>
      <right style="medium">
        <color auto="1"/>
      </right>
      <top/>
      <bottom style="thin">
        <color theme="0" tint="-0.24994659260841701"/>
      </bottom>
      <diagonal/>
    </border>
    <border>
      <left style="thin">
        <color theme="0" tint="-0.24994659260841701"/>
      </left>
      <right style="thin">
        <color theme="0" tint="-0.24994659260841701"/>
      </right>
      <top style="medium">
        <color auto="1"/>
      </top>
      <bottom/>
      <diagonal/>
    </border>
    <border>
      <left style="thin">
        <color theme="0" tint="-0.24994659260841701"/>
      </left>
      <right style="thin">
        <color theme="0" tint="-0.24994659260841701"/>
      </right>
      <top/>
      <bottom style="thin">
        <color auto="1"/>
      </bottom>
      <diagonal/>
    </border>
    <border>
      <left/>
      <right style="thin">
        <color auto="1"/>
      </right>
      <top style="thin">
        <color auto="1"/>
      </top>
      <bottom style="medium">
        <color auto="1"/>
      </bottom>
      <diagonal/>
    </border>
    <border>
      <left style="thin">
        <color theme="0" tint="-0.24994659260841701"/>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double">
        <color auto="1"/>
      </left>
      <right/>
      <top/>
      <bottom/>
      <diagonal/>
    </border>
    <border>
      <left style="medium">
        <color auto="1"/>
      </left>
      <right/>
      <top style="thin">
        <color auto="1"/>
      </top>
      <bottom style="thin">
        <color auto="1"/>
      </bottom>
      <diagonal/>
    </border>
    <border>
      <left/>
      <right style="medium">
        <color theme="3" tint="-0.24994659260841701"/>
      </right>
      <top style="medium">
        <color theme="3" tint="-0.499984740745262"/>
      </top>
      <bottom/>
      <diagonal/>
    </border>
    <border>
      <left style="thin">
        <color auto="1"/>
      </left>
      <right style="medium">
        <color auto="1"/>
      </right>
      <top style="thin">
        <color auto="1"/>
      </top>
      <bottom style="medium">
        <color auto="1"/>
      </bottom>
      <diagonal/>
    </border>
    <border>
      <left style="thin">
        <color auto="1"/>
      </left>
      <right style="thin">
        <color theme="0" tint="-0.24994659260841701"/>
      </right>
      <top style="medium">
        <color auto="1"/>
      </top>
      <bottom style="medium">
        <color auto="1"/>
      </bottom>
      <diagonal/>
    </border>
    <border>
      <left style="thin">
        <color auto="1"/>
      </left>
      <right style="thin">
        <color theme="0" tint="-0.24994659260841701"/>
      </right>
      <top style="medium">
        <color auto="1"/>
      </top>
      <bottom/>
      <diagonal/>
    </border>
    <border>
      <left style="thin">
        <color theme="0" tint="-0.2499465926084170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theme="3" tint="-0.24994659260841701"/>
      </left>
      <right style="medium">
        <color auto="1"/>
      </right>
      <top/>
      <bottom/>
      <diagonal/>
    </border>
    <border>
      <left style="medium">
        <color auto="1"/>
      </left>
      <right style="medium">
        <color theme="3" tint="-0.24994659260841701"/>
      </right>
      <top/>
      <bottom/>
      <diagonal/>
    </border>
    <border>
      <left style="medium">
        <color auto="1"/>
      </left>
      <right style="thin">
        <color theme="0" tint="-0.24994659260841701"/>
      </right>
      <top/>
      <bottom style="thin">
        <color auto="1"/>
      </bottom>
      <diagonal/>
    </border>
    <border>
      <left style="thin">
        <color auto="1"/>
      </left>
      <right style="medium">
        <color auto="1"/>
      </right>
      <top/>
      <bottom style="thin">
        <color theme="0" tint="-0.24994659260841701"/>
      </bottom>
      <diagonal/>
    </border>
    <border>
      <left style="thick">
        <color auto="1"/>
      </left>
      <right/>
      <top style="thin">
        <color theme="0" tint="-0.24994659260841701"/>
      </top>
      <bottom style="thin">
        <color theme="0" tint="-0.2499465926084170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thin">
        <color theme="0" tint="-0.24994659260841701"/>
      </bottom>
      <diagonal/>
    </border>
    <border>
      <left style="thin">
        <color auto="1"/>
      </left>
      <right/>
      <top style="medium">
        <color auto="1"/>
      </top>
      <bottom/>
      <diagonal/>
    </border>
    <border>
      <left/>
      <right style="medium">
        <color auto="1"/>
      </right>
      <top style="medium">
        <color auto="1"/>
      </top>
      <bottom style="thin">
        <color auto="1"/>
      </bottom>
      <diagonal/>
    </border>
    <border>
      <left style="thin">
        <color auto="1"/>
      </left>
      <right/>
      <top style="medium">
        <color auto="1"/>
      </top>
      <bottom style="thin">
        <color theme="0" tint="-0.24994659260841701"/>
      </bottom>
      <diagonal/>
    </border>
    <border>
      <left style="medium">
        <color auto="1"/>
      </left>
      <right/>
      <top style="medium">
        <color auto="1"/>
      </top>
      <bottom style="thin">
        <color auto="1"/>
      </bottom>
      <diagonal/>
    </border>
    <border>
      <left style="thin">
        <color theme="0" tint="-0.24994659260841701"/>
      </left>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style="medium">
        <color auto="1"/>
      </right>
      <top style="medium">
        <color auto="1"/>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theme="0" tint="-0.1499679555650502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theme="0" tint="-0.24994659260841701"/>
      </bottom>
      <diagonal/>
    </border>
    <border>
      <left style="thin">
        <color auto="1"/>
      </left>
      <right style="thin">
        <color auto="1"/>
      </right>
      <top style="medium">
        <color auto="1"/>
      </top>
      <bottom/>
      <diagonal/>
    </border>
    <border>
      <left style="thin">
        <color theme="0" tint="-0.14996795556505021"/>
      </left>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medium">
        <color auto="1"/>
      </left>
      <right style="thin">
        <color theme="0" tint="-0.24994659260841701"/>
      </right>
      <top style="medium">
        <color auto="1"/>
      </top>
      <bottom style="medium">
        <color auto="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auto="1"/>
      </top>
      <bottom/>
      <diagonal/>
    </border>
    <border>
      <left style="thin">
        <color theme="0" tint="-0.2499465926084170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theme="0" tint="-0.24994659260841701"/>
      </right>
      <top style="medium">
        <color auto="1"/>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auto="1"/>
      </right>
      <top style="medium">
        <color auto="1"/>
      </top>
      <bottom style="medium">
        <color auto="1"/>
      </bottom>
      <diagonal/>
    </border>
    <border>
      <left/>
      <right/>
      <top/>
      <bottom style="double">
        <color auto="1"/>
      </bottom>
      <diagonal/>
    </border>
    <border>
      <left style="medium">
        <color auto="1"/>
      </left>
      <right style="thin">
        <color indexed="22"/>
      </right>
      <top/>
      <bottom style="medium">
        <color auto="1"/>
      </bottom>
      <diagonal/>
    </border>
    <border>
      <left style="thin">
        <color indexed="22"/>
      </left>
      <right style="thin">
        <color indexed="22"/>
      </right>
      <top/>
      <bottom style="medium">
        <color auto="1"/>
      </bottom>
      <diagonal/>
    </border>
    <border>
      <left style="thin">
        <color indexed="22"/>
      </left>
      <right style="medium">
        <color auto="1"/>
      </right>
      <top/>
      <bottom style="medium">
        <color auto="1"/>
      </bottom>
      <diagonal/>
    </border>
    <border>
      <left style="medium">
        <color auto="1"/>
      </left>
      <right style="thin">
        <color indexed="22"/>
      </right>
      <top style="double">
        <color auto="1"/>
      </top>
      <bottom style="medium">
        <color auto="1"/>
      </bottom>
      <diagonal/>
    </border>
    <border>
      <left style="thin">
        <color indexed="22"/>
      </left>
      <right style="thin">
        <color indexed="22"/>
      </right>
      <top style="double">
        <color auto="1"/>
      </top>
      <bottom style="medium">
        <color auto="1"/>
      </bottom>
      <diagonal/>
    </border>
    <border>
      <left style="hair">
        <color auto="1"/>
      </left>
      <right style="hair">
        <color auto="1"/>
      </right>
      <top style="hair">
        <color auto="1"/>
      </top>
      <bottom/>
      <diagonal/>
    </border>
    <border>
      <left/>
      <right/>
      <top/>
      <bottom style="hair">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auto="1"/>
      </right>
      <top/>
      <bottom style="thin">
        <color theme="0" tint="-0.14996795556505021"/>
      </bottom>
      <diagonal/>
    </border>
    <border>
      <left style="thin">
        <color theme="0" tint="-0.14996795556505021"/>
      </left>
      <right style="thin">
        <color theme="0" tint="-0.14996795556505021"/>
      </right>
      <top/>
      <bottom style="double">
        <color auto="1"/>
      </bottom>
      <diagonal/>
    </border>
    <border>
      <left style="thin">
        <color theme="0" tint="-0.14996795556505021"/>
      </left>
      <right style="medium">
        <color auto="1"/>
      </right>
      <top/>
      <bottom style="double">
        <color auto="1"/>
      </bottom>
      <diagonal/>
    </border>
    <border>
      <left style="medium">
        <color auto="1"/>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auto="1"/>
      </right>
      <top/>
      <bottom/>
      <diagonal/>
    </border>
    <border>
      <left style="medium">
        <color auto="1"/>
      </left>
      <right style="thin">
        <color theme="0" tint="-0.14996795556505021"/>
      </right>
      <top style="double">
        <color auto="1"/>
      </top>
      <bottom style="medium">
        <color auto="1"/>
      </bottom>
      <diagonal/>
    </border>
    <border>
      <left style="thin">
        <color theme="0" tint="-0.14996795556505021"/>
      </left>
      <right style="thin">
        <color theme="0" tint="-0.14996795556505021"/>
      </right>
      <top style="double">
        <color auto="1"/>
      </top>
      <bottom style="medium">
        <color auto="1"/>
      </bottom>
      <diagonal/>
    </border>
    <border>
      <left style="thin">
        <color theme="0" tint="-0.14996795556505021"/>
      </left>
      <right style="medium">
        <color auto="1"/>
      </right>
      <top style="double">
        <color auto="1"/>
      </top>
      <bottom style="medium">
        <color auto="1"/>
      </bottom>
      <diagonal/>
    </border>
    <border>
      <left style="medium">
        <color auto="1"/>
      </left>
      <right style="thin">
        <color theme="0" tint="-0.14996795556505021"/>
      </right>
      <top style="medium">
        <color auto="1"/>
      </top>
      <bottom style="medium">
        <color auto="1"/>
      </bottom>
      <diagonal/>
    </border>
    <border>
      <left style="thin">
        <color theme="0" tint="-0.14996795556505021"/>
      </left>
      <right style="thin">
        <color theme="0" tint="-0.14996795556505021"/>
      </right>
      <top style="medium">
        <color auto="1"/>
      </top>
      <bottom style="medium">
        <color auto="1"/>
      </bottom>
      <diagonal/>
    </border>
    <border>
      <left style="medium">
        <color auto="1"/>
      </left>
      <right style="thin">
        <color theme="0" tint="-0.14996795556505021"/>
      </right>
      <top/>
      <bottom style="double">
        <color auto="1"/>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auto="1"/>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auto="1"/>
      </right>
      <top style="double">
        <color auto="1"/>
      </top>
      <bottom style="medium">
        <color auto="1"/>
      </bottom>
      <diagonal/>
    </border>
    <border>
      <left style="medium">
        <color auto="1"/>
      </left>
      <right style="thin">
        <color theme="0" tint="-0.14996795556505021"/>
      </right>
      <top style="thin">
        <color auto="1"/>
      </top>
      <bottom/>
      <diagonal/>
    </border>
    <border>
      <left style="thin">
        <color theme="0" tint="-0.14996795556505021"/>
      </left>
      <right style="thin">
        <color theme="0" tint="-0.14996795556505021"/>
      </right>
      <top style="thin">
        <color auto="1"/>
      </top>
      <bottom/>
      <diagonal/>
    </border>
    <border>
      <left style="thin">
        <color theme="0" tint="-0.14996795556505021"/>
      </left>
      <right style="medium">
        <color auto="1"/>
      </right>
      <top style="thin">
        <color auto="1"/>
      </top>
      <bottom/>
      <diagonal/>
    </border>
    <border>
      <left/>
      <right style="medium">
        <color auto="1"/>
      </right>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hair">
        <color theme="0" tint="-0.14993743705557422"/>
      </top>
      <bottom style="medium">
        <color auto="1"/>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auto="1"/>
      </right>
      <top style="hair">
        <color auto="1"/>
      </top>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medium">
        <color indexed="18"/>
      </top>
      <bottom/>
      <diagonal/>
    </border>
    <border>
      <left style="medium">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theme="0" tint="-0.14996795556505021"/>
      </left>
      <right style="double">
        <color auto="1"/>
      </right>
      <top style="double">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medium">
        <color theme="0" tint="-0.1499679555650502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thin">
        <color theme="0" tint="-0.14996795556505021"/>
      </right>
      <top style="double">
        <color auto="1"/>
      </top>
      <bottom style="double">
        <color auto="1"/>
      </bottom>
      <diagonal/>
    </border>
    <border>
      <left style="medium">
        <color auto="1"/>
      </left>
      <right style="double">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theme="0" tint="-0.24994659260841701"/>
      </bottom>
      <diagonal/>
    </border>
    <border>
      <left/>
      <right style="hair">
        <color auto="1"/>
      </right>
      <top style="thin">
        <color auto="1"/>
      </top>
      <bottom style="thin">
        <color theme="0" tint="-0.24994659260841701"/>
      </bottom>
      <diagonal/>
    </border>
    <border>
      <left/>
      <right style="hair">
        <color auto="1"/>
      </right>
      <top style="thin">
        <color theme="0" tint="-0.24994659260841701"/>
      </top>
      <bottom style="thin">
        <color theme="0" tint="-0.24994659260841701"/>
      </bottom>
      <diagonal/>
    </border>
    <border>
      <left/>
      <right style="hair">
        <color auto="1"/>
      </right>
      <top style="thin">
        <color theme="0" tint="-0.24994659260841701"/>
      </top>
      <bottom/>
      <diagonal/>
    </border>
    <border>
      <left style="double">
        <color auto="1"/>
      </left>
      <right/>
      <top style="thin">
        <color auto="1"/>
      </top>
      <bottom style="medium">
        <color auto="1"/>
      </bottom>
      <diagonal/>
    </border>
    <border>
      <left/>
      <right/>
      <top style="medium">
        <color auto="1"/>
      </top>
      <bottom style="medium">
        <color indexed="18"/>
      </bottom>
      <diagonal/>
    </border>
    <border>
      <left style="medium">
        <color auto="1"/>
      </left>
      <right/>
      <top style="medium">
        <color auto="1"/>
      </top>
      <bottom style="thin">
        <color theme="3" tint="0.39994506668294322"/>
      </bottom>
      <diagonal/>
    </border>
    <border>
      <left style="thin">
        <color theme="0" tint="-0.14996795556505021"/>
      </left>
      <right/>
      <top style="medium">
        <color auto="1"/>
      </top>
      <bottom style="thin">
        <color theme="3" tint="0.39994506668294322"/>
      </bottom>
      <diagonal/>
    </border>
    <border>
      <left style="thin">
        <color theme="0" tint="-0.14993743705557422"/>
      </left>
      <right/>
      <top style="medium">
        <color auto="1"/>
      </top>
      <bottom style="thin">
        <color theme="3" tint="0.39994506668294322"/>
      </bottom>
      <diagonal/>
    </border>
    <border>
      <left/>
      <right/>
      <top style="medium">
        <color auto="1"/>
      </top>
      <bottom style="thin">
        <color theme="3" tint="0.39994506668294322"/>
      </bottom>
      <diagonal/>
    </border>
    <border>
      <left/>
      <right style="medium">
        <color auto="1"/>
      </right>
      <top style="medium">
        <color auto="1"/>
      </top>
      <bottom style="thin">
        <color theme="3" tint="0.39994506668294322"/>
      </bottom>
      <diagonal/>
    </border>
    <border>
      <left style="medium">
        <color auto="1"/>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auto="1"/>
      </right>
      <top style="thin">
        <color theme="3" tint="0.39994506668294322"/>
      </top>
      <bottom style="thin">
        <color theme="3" tint="0.39994506668294322"/>
      </bottom>
      <diagonal/>
    </border>
    <border>
      <left style="medium">
        <color auto="1"/>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auto="1"/>
      </left>
      <right style="medium">
        <color auto="1"/>
      </right>
      <top style="thin">
        <color theme="3" tint="0.39994506668294322"/>
      </top>
      <bottom style="thin">
        <color theme="3" tint="0.39994506668294322"/>
      </bottom>
      <diagonal/>
    </border>
    <border>
      <left style="thin">
        <color theme="0" tint="-0.14996795556505021"/>
      </left>
      <right/>
      <top/>
      <bottom style="medium">
        <color auto="1"/>
      </bottom>
      <diagonal/>
    </border>
    <border>
      <left style="thin">
        <color theme="0" tint="-0.14993743705557422"/>
      </left>
      <right/>
      <top/>
      <bottom style="medium">
        <color auto="1"/>
      </bottom>
      <diagonal/>
    </border>
    <border>
      <left style="medium">
        <color auto="1"/>
      </left>
      <right style="medium">
        <color auto="1"/>
      </right>
      <top style="medium">
        <color auto="1"/>
      </top>
      <bottom style="thin">
        <color theme="3" tint="0.39994506668294322"/>
      </bottom>
      <diagonal/>
    </border>
    <border>
      <left style="thin">
        <color theme="0" tint="-0.14993743705557422"/>
      </left>
      <right style="thin">
        <color theme="0" tint="-0.14993743705557422"/>
      </right>
      <top/>
      <bottom style="medium">
        <color auto="1"/>
      </bottom>
      <diagonal/>
    </border>
    <border>
      <left style="thin">
        <color theme="0" tint="-0.14990691854609822"/>
      </left>
      <right style="thin">
        <color theme="0" tint="-0.14993743705557422"/>
      </right>
      <top/>
      <bottom style="medium">
        <color auto="1"/>
      </bottom>
      <diagonal/>
    </border>
    <border>
      <left style="thin">
        <color theme="0" tint="-0.14993743705557422"/>
      </left>
      <right style="medium">
        <color auto="1"/>
      </right>
      <top/>
      <bottom style="medium">
        <color auto="1"/>
      </bottom>
      <diagonal/>
    </border>
    <border>
      <left style="thin">
        <color theme="0" tint="-0.14993743705557422"/>
      </left>
      <right style="thin">
        <color theme="0" tint="-0.14993743705557422"/>
      </right>
      <top style="medium">
        <color auto="1"/>
      </top>
      <bottom style="thin">
        <color theme="3" tint="0.39994506668294322"/>
      </bottom>
      <diagonal/>
    </border>
    <border>
      <left style="thin">
        <color theme="0" tint="-0.14993743705557422"/>
      </left>
      <right style="thin">
        <color theme="0" tint="-0.14990691854609822"/>
      </right>
      <top style="medium">
        <color auto="1"/>
      </top>
      <bottom style="thin">
        <color theme="3" tint="0.39994506668294322"/>
      </bottom>
      <diagonal/>
    </border>
    <border>
      <left style="thin">
        <color theme="0" tint="-0.14990691854609822"/>
      </left>
      <right style="thin">
        <color theme="0" tint="-0.14990691854609822"/>
      </right>
      <top style="medium">
        <color auto="1"/>
      </top>
      <bottom style="thin">
        <color theme="3" tint="0.39994506668294322"/>
      </bottom>
      <diagonal/>
    </border>
    <border>
      <left style="thin">
        <color theme="0" tint="-0.14990691854609822"/>
      </left>
      <right style="thin">
        <color theme="0" tint="-0.14993743705557422"/>
      </right>
      <top style="medium">
        <color auto="1"/>
      </top>
      <bottom style="thin">
        <color theme="3" tint="0.39994506668294322"/>
      </bottom>
      <diagonal/>
    </border>
    <border>
      <left style="thin">
        <color theme="0" tint="-0.14993743705557422"/>
      </left>
      <right style="medium">
        <color auto="1"/>
      </right>
      <top style="medium">
        <color auto="1"/>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auto="1"/>
      </right>
      <top style="thin">
        <color theme="3" tint="0.39994506668294322"/>
      </top>
      <bottom style="thin">
        <color theme="3" tint="0.39994506668294322"/>
      </bottom>
      <diagonal/>
    </border>
    <border>
      <left style="thin">
        <color theme="0" tint="-0.24994659260841701"/>
      </left>
      <right/>
      <top/>
      <bottom style="medium">
        <color auto="1"/>
      </bottom>
      <diagonal/>
    </border>
    <border>
      <left style="thin">
        <color theme="0" tint="-0.14990691854609822"/>
      </left>
      <right style="thin">
        <color theme="0" tint="-0.24994659260841701"/>
      </right>
      <top/>
      <bottom style="medium">
        <color auto="1"/>
      </bottom>
      <diagonal/>
    </border>
    <border>
      <left style="thin">
        <color theme="0" tint="-0.24994659260841701"/>
      </left>
      <right/>
      <top style="medium">
        <color auto="1"/>
      </top>
      <bottom style="thin">
        <color theme="3" tint="0.39994506668294322"/>
      </bottom>
      <diagonal/>
    </border>
    <border>
      <left style="thin">
        <color theme="0" tint="-0.14990691854609822"/>
      </left>
      <right style="thin">
        <color theme="0" tint="-0.24994659260841701"/>
      </right>
      <top style="medium">
        <color auto="1"/>
      </top>
      <bottom style="thin">
        <color theme="3" tint="0.39994506668294322"/>
      </bottom>
      <diagonal/>
    </border>
    <border>
      <left style="thin">
        <color theme="0" tint="-0.24994659260841701"/>
      </left>
      <right style="medium">
        <color auto="1"/>
      </right>
      <top style="medium">
        <color auto="1"/>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auto="1"/>
      </right>
      <top style="thin">
        <color theme="3" tint="0.39994506668294322"/>
      </top>
      <bottom style="thin">
        <color theme="3" tint="0.39994506668294322"/>
      </bottom>
      <diagonal/>
    </border>
    <border>
      <left/>
      <right style="thin">
        <color theme="0" tint="-0.24994659260841701"/>
      </right>
      <top style="medium">
        <color auto="1"/>
      </top>
      <bottom/>
      <diagonal/>
    </border>
    <border>
      <left style="medium">
        <color auto="1"/>
      </left>
      <right style="thin">
        <color auto="1"/>
      </right>
      <top style="medium">
        <color auto="1"/>
      </top>
      <bottom style="thin">
        <color theme="3" tint="0.39994506668294322"/>
      </bottom>
      <diagonal/>
    </border>
    <border>
      <left style="thin">
        <color auto="1"/>
      </left>
      <right style="thin">
        <color theme="0" tint="-0.24994659260841701"/>
      </right>
      <top style="medium">
        <color auto="1"/>
      </top>
      <bottom style="thin">
        <color theme="3" tint="0.39994506668294322"/>
      </bottom>
      <diagonal/>
    </border>
    <border>
      <left style="thin">
        <color theme="0" tint="-0.24994659260841701"/>
      </left>
      <right style="thin">
        <color theme="0" tint="-0.24994659260841701"/>
      </right>
      <top style="medium">
        <color auto="1"/>
      </top>
      <bottom style="thin">
        <color theme="3" tint="0.39994506668294322"/>
      </bottom>
      <diagonal/>
    </border>
    <border>
      <left style="thin">
        <color auto="1"/>
      </left>
      <right style="medium">
        <color auto="1"/>
      </right>
      <top style="medium">
        <color auto="1"/>
      </top>
      <bottom style="thin">
        <color theme="3" tint="0.39994506668294322"/>
      </bottom>
      <diagonal/>
    </border>
    <border>
      <left style="thin">
        <color auto="1"/>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auto="1"/>
      </left>
      <right style="medium">
        <color auto="1"/>
      </right>
      <top style="thin">
        <color theme="3" tint="0.39994506668294322"/>
      </top>
      <bottom style="thin">
        <color theme="3" tint="0.39994506668294322"/>
      </bottom>
      <diagonal/>
    </border>
    <border>
      <left style="thin">
        <color auto="1"/>
      </left>
      <right style="thin">
        <color theme="0" tint="-0.24994659260841701"/>
      </right>
      <top style="thin">
        <color auto="1"/>
      </top>
      <bottom style="thin">
        <color theme="3" tint="0.39994506668294322"/>
      </bottom>
      <diagonal/>
    </border>
    <border>
      <left style="thin">
        <color theme="0" tint="-0.24994659260841701"/>
      </left>
      <right style="thin">
        <color theme="0" tint="-0.24994659260841701"/>
      </right>
      <top style="thin">
        <color auto="1"/>
      </top>
      <bottom style="thin">
        <color theme="3" tint="0.39994506668294322"/>
      </bottom>
      <diagonal/>
    </border>
    <border>
      <left style="thin">
        <color theme="0" tint="-0.24994659260841701"/>
      </left>
      <right/>
      <top style="thin">
        <color auto="1"/>
      </top>
      <bottom style="thin">
        <color theme="3" tint="0.39994506668294322"/>
      </bottom>
      <diagonal/>
    </border>
    <border>
      <left style="thin">
        <color auto="1"/>
      </left>
      <right style="medium">
        <color auto="1"/>
      </right>
      <top style="thin">
        <color auto="1"/>
      </top>
      <bottom style="thin">
        <color theme="3" tint="0.39994506668294322"/>
      </bottom>
      <diagonal/>
    </border>
    <border>
      <left style="thin">
        <color auto="1"/>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auto="1"/>
      </left>
      <right style="medium">
        <color auto="1"/>
      </right>
      <top style="thin">
        <color theme="3" tint="0.39994506668294322"/>
      </top>
      <bottom style="double">
        <color auto="1"/>
      </bottom>
      <diagonal/>
    </border>
    <border>
      <left style="thin">
        <color auto="1"/>
      </left>
      <right style="thin">
        <color theme="0" tint="-0.24994659260841701"/>
      </right>
      <top style="thin">
        <color theme="3" tint="0.39994506668294322"/>
      </top>
      <bottom style="medium">
        <color auto="1"/>
      </bottom>
      <diagonal/>
    </border>
    <border>
      <left style="thin">
        <color theme="0" tint="-0.24994659260841701"/>
      </left>
      <right style="thin">
        <color theme="0" tint="-0.24994659260841701"/>
      </right>
      <top style="thin">
        <color theme="3" tint="0.39994506668294322"/>
      </top>
      <bottom style="medium">
        <color auto="1"/>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auto="1"/>
      </left>
      <right/>
      <top style="thin">
        <color auto="1"/>
      </top>
      <bottom style="thin">
        <color theme="3" tint="0.39994506668294322"/>
      </bottom>
      <diagonal/>
    </border>
    <border>
      <left style="medium">
        <color auto="1"/>
      </left>
      <right style="thin">
        <color theme="0" tint="-0.24994659260841701"/>
      </right>
      <top style="thin">
        <color theme="3" tint="0.39994506668294322"/>
      </top>
      <bottom/>
      <diagonal/>
    </border>
    <border>
      <left style="thin">
        <color auto="1"/>
      </left>
      <right style="thin">
        <color theme="0" tint="-0.24994659260841701"/>
      </right>
      <top style="thin">
        <color theme="3" tint="0.39994506668294322"/>
      </top>
      <bottom style="thin">
        <color theme="0" tint="-0.24994659260841701"/>
      </bottom>
      <diagonal/>
    </border>
    <border>
      <left style="medium">
        <color auto="1"/>
      </left>
      <right style="thin">
        <color auto="1"/>
      </right>
      <top style="thin">
        <color theme="3" tint="0.39994506668294322"/>
      </top>
      <bottom style="medium">
        <color auto="1"/>
      </bottom>
      <diagonal/>
    </border>
    <border>
      <left style="thin">
        <color theme="0" tint="-0.24994659260841701"/>
      </left>
      <right style="thin">
        <color auto="1"/>
      </right>
      <top style="medium">
        <color auto="1"/>
      </top>
      <bottom style="thin">
        <color theme="3" tint="0.39994506668294322"/>
      </bottom>
      <diagonal/>
    </border>
    <border>
      <left style="thin">
        <color theme="0" tint="-0.24994659260841701"/>
      </left>
      <right style="thin">
        <color auto="1"/>
      </right>
      <top style="thin">
        <color theme="3" tint="0.39994506668294322"/>
      </top>
      <bottom style="thin">
        <color theme="3" tint="0.39994506668294322"/>
      </bottom>
      <diagonal/>
    </border>
    <border>
      <left style="thin">
        <color auto="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theme="0" tint="-0.24994659260841701"/>
      </left>
      <right style="thin">
        <color auto="1"/>
      </right>
      <top style="thin">
        <color auto="1"/>
      </top>
      <bottom style="thin">
        <color theme="3" tint="0.39994506668294322"/>
      </bottom>
      <diagonal/>
    </border>
    <border>
      <left style="thin">
        <color theme="0" tint="-0.24994659260841701"/>
      </left>
      <right style="thin">
        <color auto="1"/>
      </right>
      <top style="thin">
        <color theme="3" tint="0.39994506668294322"/>
      </top>
      <bottom style="medium">
        <color auto="1"/>
      </bottom>
      <diagonal/>
    </border>
    <border>
      <left style="thin">
        <color theme="0" tint="-0.24994659260841701"/>
      </left>
      <right/>
      <top style="thin">
        <color theme="3" tint="0.39994506668294322"/>
      </top>
      <bottom style="medium">
        <color auto="1"/>
      </bottom>
      <diagonal/>
    </border>
    <border>
      <left style="medium">
        <color auto="1"/>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auto="1"/>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auto="1"/>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auto="1"/>
      </bottom>
      <diagonal/>
    </border>
    <border>
      <left style="thin">
        <color auto="1"/>
      </left>
      <right/>
      <top style="thin">
        <color auto="1"/>
      </top>
      <bottom style="thin">
        <color theme="3" tint="0.39994506668294322"/>
      </bottom>
      <diagonal/>
    </border>
    <border>
      <left/>
      <right/>
      <top style="thin">
        <color auto="1"/>
      </top>
      <bottom style="thin">
        <color theme="3" tint="0.39994506668294322"/>
      </bottom>
      <diagonal/>
    </border>
    <border>
      <left/>
      <right style="thin">
        <color auto="1"/>
      </right>
      <top style="thin">
        <color auto="1"/>
      </top>
      <bottom style="thin">
        <color theme="3" tint="0.39994506668294322"/>
      </bottom>
      <diagonal/>
    </border>
    <border>
      <left style="thin">
        <color auto="1"/>
      </left>
      <right/>
      <top style="thin">
        <color theme="3" tint="0.39994506668294322"/>
      </top>
      <bottom style="thin">
        <color auto="1"/>
      </bottom>
      <diagonal/>
    </border>
    <border>
      <left/>
      <right/>
      <top style="thin">
        <color theme="3" tint="0.39994506668294322"/>
      </top>
      <bottom style="thin">
        <color auto="1"/>
      </bottom>
      <diagonal/>
    </border>
    <border>
      <left/>
      <right style="thin">
        <color auto="1"/>
      </right>
      <top style="thin">
        <color theme="3" tint="0.39994506668294322"/>
      </top>
      <bottom style="thin">
        <color auto="1"/>
      </bottom>
      <diagonal/>
    </border>
    <border>
      <left style="medium">
        <color auto="1"/>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auto="1"/>
      </right>
      <top/>
      <bottom style="thin">
        <color theme="3" tint="0.39994506668294322"/>
      </bottom>
      <diagonal/>
    </border>
    <border>
      <left style="medium">
        <color auto="1"/>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auto="1"/>
      </right>
      <top style="thin">
        <color theme="3" tint="0.39994506668294322"/>
      </top>
      <bottom style="thin">
        <color theme="3" tint="0.39994506668294322"/>
      </bottom>
      <diagonal/>
    </border>
    <border>
      <left style="medium">
        <color auto="1"/>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auto="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auto="1"/>
      </right>
      <top style="thin">
        <color theme="0" tint="-0.14996795556505021"/>
      </top>
      <bottom style="thin">
        <color theme="3" tint="0.39994506668294322"/>
      </bottom>
      <diagonal/>
    </border>
    <border>
      <left style="medium">
        <color auto="1"/>
      </left>
      <right style="thin">
        <color theme="0" tint="-0.14996795556505021"/>
      </right>
      <top style="thin">
        <color theme="3" tint="0.39994506668294322"/>
      </top>
      <bottom style="thin">
        <color auto="1"/>
      </bottom>
      <diagonal/>
    </border>
    <border>
      <left style="thin">
        <color theme="0" tint="-0.14996795556505021"/>
      </left>
      <right style="thin">
        <color theme="0" tint="-0.14996795556505021"/>
      </right>
      <top style="thin">
        <color theme="3" tint="0.39994506668294322"/>
      </top>
      <bottom style="thin">
        <color auto="1"/>
      </bottom>
      <diagonal/>
    </border>
    <border>
      <left style="thin">
        <color theme="0" tint="-0.14996795556505021"/>
      </left>
      <right style="medium">
        <color auto="1"/>
      </right>
      <top style="thin">
        <color theme="3" tint="0.39994506668294322"/>
      </top>
      <bottom style="thin">
        <color auto="1"/>
      </bottom>
      <diagonal/>
    </border>
    <border>
      <left style="medium">
        <color auto="1"/>
      </left>
      <right style="thin">
        <color theme="0" tint="-0.24994659260841701"/>
      </right>
      <top/>
      <bottom style="thin">
        <color theme="3" tint="0.39994506668294322"/>
      </bottom>
      <diagonal/>
    </border>
    <border>
      <left style="thin">
        <color theme="0" tint="-0.24994659260841701"/>
      </left>
      <right style="medium">
        <color auto="1"/>
      </right>
      <top/>
      <bottom style="thin">
        <color theme="3" tint="0.39994506668294322"/>
      </bottom>
      <diagonal/>
    </border>
    <border>
      <left style="medium">
        <color auto="1"/>
      </left>
      <right style="thin">
        <color theme="0" tint="-0.24994659260841701"/>
      </right>
      <top style="thin">
        <color theme="3" tint="0.39994506668294322"/>
      </top>
      <bottom style="double">
        <color auto="1"/>
      </bottom>
      <diagonal/>
    </border>
    <border>
      <left style="thin">
        <color theme="0" tint="-0.24994659260841701"/>
      </left>
      <right style="thin">
        <color theme="0" tint="-0.24994659260841701"/>
      </right>
      <top style="thin">
        <color theme="3" tint="0.39994506668294322"/>
      </top>
      <bottom style="double">
        <color auto="1"/>
      </bottom>
      <diagonal/>
    </border>
    <border>
      <left style="thin">
        <color theme="0" tint="-0.24994659260841701"/>
      </left>
      <right style="medium">
        <color auto="1"/>
      </right>
      <top style="thin">
        <color theme="3" tint="0.39994506668294322"/>
      </top>
      <bottom style="double">
        <color auto="1"/>
      </bottom>
      <diagonal/>
    </border>
    <border>
      <left/>
      <right style="thin">
        <color indexed="22"/>
      </right>
      <top style="medium">
        <color auto="1"/>
      </top>
      <bottom style="thin">
        <color theme="3" tint="0.39994506668294322"/>
      </bottom>
      <diagonal/>
    </border>
    <border>
      <left style="thin">
        <color indexed="22"/>
      </left>
      <right/>
      <top style="medium">
        <color auto="1"/>
      </top>
      <bottom style="thin">
        <color theme="3" tint="0.39994506668294322"/>
      </bottom>
      <diagonal/>
    </border>
    <border>
      <left style="medium">
        <color auto="1"/>
      </left>
      <right style="thin">
        <color indexed="22"/>
      </right>
      <top style="medium">
        <color auto="1"/>
      </top>
      <bottom style="thin">
        <color theme="3" tint="0.39994506668294322"/>
      </bottom>
      <diagonal/>
    </border>
    <border>
      <left style="thin">
        <color indexed="22"/>
      </left>
      <right style="thin">
        <color indexed="22"/>
      </right>
      <top style="medium">
        <color auto="1"/>
      </top>
      <bottom style="thin">
        <color theme="3" tint="0.39994506668294322"/>
      </bottom>
      <diagonal/>
    </border>
    <border>
      <left style="thin">
        <color theme="0" tint="-0.14996795556505021"/>
      </left>
      <right style="medium">
        <color auto="1"/>
      </right>
      <top style="medium">
        <color auto="1"/>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auto="1"/>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auto="1"/>
      </left>
      <right/>
      <top style="thin">
        <color theme="3" tint="0.39994506668294322"/>
      </top>
      <bottom style="medium">
        <color auto="1"/>
      </bottom>
      <diagonal/>
    </border>
    <border>
      <left/>
      <right/>
      <top style="thin">
        <color theme="3" tint="0.39994506668294322"/>
      </top>
      <bottom style="medium">
        <color auto="1"/>
      </bottom>
      <diagonal/>
    </border>
    <border>
      <left/>
      <right style="thin">
        <color indexed="22"/>
      </right>
      <top style="thin">
        <color theme="3" tint="0.39994506668294322"/>
      </top>
      <bottom style="medium">
        <color auto="1"/>
      </bottom>
      <diagonal/>
    </border>
    <border>
      <left style="thin">
        <color indexed="22"/>
      </left>
      <right/>
      <top style="thin">
        <color theme="3" tint="0.39994506668294322"/>
      </top>
      <bottom style="medium">
        <color auto="1"/>
      </bottom>
      <diagonal/>
    </border>
    <border>
      <left/>
      <right style="medium">
        <color auto="1"/>
      </right>
      <top style="thin">
        <color theme="3" tint="0.39994506668294322"/>
      </top>
      <bottom style="medium">
        <color auto="1"/>
      </bottom>
      <diagonal/>
    </border>
    <border>
      <left style="medium">
        <color auto="1"/>
      </left>
      <right style="thin">
        <color indexed="22"/>
      </right>
      <top style="thin">
        <color theme="3" tint="0.39994506668294322"/>
      </top>
      <bottom style="medium">
        <color auto="1"/>
      </bottom>
      <diagonal/>
    </border>
    <border>
      <left style="thin">
        <color indexed="22"/>
      </left>
      <right style="thin">
        <color indexed="22"/>
      </right>
      <top style="thin">
        <color theme="3" tint="0.39994506668294322"/>
      </top>
      <bottom style="medium">
        <color auto="1"/>
      </bottom>
      <diagonal/>
    </border>
    <border>
      <left style="thin">
        <color theme="0" tint="-0.14996795556505021"/>
      </left>
      <right style="medium">
        <color auto="1"/>
      </right>
      <top style="thin">
        <color theme="3" tint="0.39994506668294322"/>
      </top>
      <bottom style="medium">
        <color auto="1"/>
      </bottom>
      <diagonal/>
    </border>
    <border>
      <left style="medium">
        <color auto="1"/>
      </left>
      <right style="thin">
        <color indexed="22"/>
      </right>
      <top style="double">
        <color auto="1"/>
      </top>
      <bottom style="thin">
        <color theme="3" tint="0.39994506668294322"/>
      </bottom>
      <diagonal/>
    </border>
    <border>
      <left style="thin">
        <color indexed="22"/>
      </left>
      <right style="thin">
        <color indexed="22"/>
      </right>
      <top style="double">
        <color auto="1"/>
      </top>
      <bottom style="thin">
        <color theme="3" tint="0.39994506668294322"/>
      </bottom>
      <diagonal/>
    </border>
    <border>
      <left style="thin">
        <color indexed="22"/>
      </left>
      <right style="medium">
        <color auto="1"/>
      </right>
      <top style="double">
        <color auto="1"/>
      </top>
      <bottom style="thin">
        <color theme="3" tint="0.39994506668294322"/>
      </bottom>
      <diagonal/>
    </border>
    <border>
      <left style="medium">
        <color auto="1"/>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auto="1"/>
      </left>
      <right style="thin">
        <color indexed="22"/>
      </right>
      <top style="thin">
        <color theme="3" tint="0.39994506668294322"/>
      </top>
      <bottom style="double">
        <color auto="1"/>
      </bottom>
      <diagonal/>
    </border>
    <border>
      <left style="thin">
        <color indexed="22"/>
      </left>
      <right style="thin">
        <color indexed="22"/>
      </right>
      <top style="thin">
        <color theme="3" tint="0.39994506668294322"/>
      </top>
      <bottom style="double">
        <color auto="1"/>
      </bottom>
      <diagonal/>
    </border>
    <border>
      <left style="medium">
        <color auto="1"/>
      </left>
      <right style="thin">
        <color theme="0" tint="-0.24994659260841701"/>
      </right>
      <top style="medium">
        <color auto="1"/>
      </top>
      <bottom style="thin">
        <color theme="3" tint="0.39994506668294322"/>
      </bottom>
      <diagonal/>
    </border>
    <border>
      <left style="medium">
        <color auto="1"/>
      </left>
      <right style="thin">
        <color theme="0" tint="-0.24994659260841701"/>
      </right>
      <top style="thin">
        <color theme="3" tint="0.39994506668294322"/>
      </top>
      <bottom style="medium">
        <color auto="1"/>
      </bottom>
      <diagonal/>
    </border>
    <border>
      <left style="thin">
        <color theme="0" tint="-0.24994659260841701"/>
      </left>
      <right style="medium">
        <color auto="1"/>
      </right>
      <top style="thin">
        <color theme="3" tint="0.39994506668294322"/>
      </top>
      <bottom style="medium">
        <color auto="1"/>
      </bottom>
      <diagonal/>
    </border>
    <border>
      <left style="medium">
        <color auto="1"/>
      </left>
      <right style="thin">
        <color theme="0" tint="-0.34998626667073579"/>
      </right>
      <top style="medium">
        <color auto="1"/>
      </top>
      <bottom style="thin">
        <color theme="3" tint="0.39994506668294322"/>
      </bottom>
      <diagonal/>
    </border>
    <border>
      <left style="thin">
        <color theme="0" tint="-0.34998626667073579"/>
      </left>
      <right style="thin">
        <color theme="0" tint="-0.34998626667073579"/>
      </right>
      <top style="medium">
        <color auto="1"/>
      </top>
      <bottom style="thin">
        <color theme="3" tint="0.39994506668294322"/>
      </bottom>
      <diagonal/>
    </border>
    <border>
      <left style="thin">
        <color theme="0" tint="-0.34998626667073579"/>
      </left>
      <right style="medium">
        <color auto="1"/>
      </right>
      <top style="medium">
        <color auto="1"/>
      </top>
      <bottom style="thin">
        <color theme="3" tint="0.39994506668294322"/>
      </bottom>
      <diagonal/>
    </border>
    <border>
      <left style="medium">
        <color auto="1"/>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auto="1"/>
      </right>
      <top style="thin">
        <color theme="3" tint="0.39994506668294322"/>
      </top>
      <bottom style="thin">
        <color theme="3" tint="0.39994506668294322"/>
      </bottom>
      <diagonal/>
    </border>
    <border>
      <left style="medium">
        <color auto="1"/>
      </left>
      <right style="medium">
        <color auto="1"/>
      </right>
      <top style="thin">
        <color theme="3" tint="0.39994506668294322"/>
      </top>
      <bottom style="medium">
        <color auto="1"/>
      </bottom>
      <diagonal/>
    </border>
    <border>
      <left style="medium">
        <color auto="1"/>
      </left>
      <right style="thin">
        <color theme="0" tint="-0.34998626667073579"/>
      </right>
      <top style="thin">
        <color theme="3" tint="0.39994506668294322"/>
      </top>
      <bottom style="thin">
        <color auto="1"/>
      </bottom>
      <diagonal/>
    </border>
    <border>
      <left style="thin">
        <color theme="0" tint="-0.34998626667073579"/>
      </left>
      <right style="thin">
        <color theme="0" tint="-0.34998626667073579"/>
      </right>
      <top style="thin">
        <color theme="3" tint="0.39994506668294322"/>
      </top>
      <bottom style="thin">
        <color auto="1"/>
      </bottom>
      <diagonal/>
    </border>
    <border>
      <left style="thin">
        <color theme="0" tint="-0.34998626667073579"/>
      </left>
      <right style="medium">
        <color auto="1"/>
      </right>
      <top style="thin">
        <color theme="3" tint="0.39994506668294322"/>
      </top>
      <bottom style="thin">
        <color auto="1"/>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auto="1"/>
      </right>
      <top style="thin">
        <color theme="0" tint="-0.14996795556505021"/>
      </top>
      <bottom style="thin">
        <color theme="3" tint="0.39994506668294322"/>
      </bottom>
      <diagonal/>
    </border>
    <border>
      <left style="medium">
        <color auto="1"/>
      </left>
      <right style="medium">
        <color auto="1"/>
      </right>
      <top style="thin">
        <color theme="3" tint="0.39994506668294322"/>
      </top>
      <bottom style="double">
        <color auto="1"/>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auto="1"/>
      </right>
      <top style="thin">
        <color theme="3" tint="0.39994506668294322"/>
      </top>
      <bottom/>
      <diagonal/>
    </border>
    <border>
      <left style="medium">
        <color auto="1"/>
      </left>
      <right style="thin">
        <color theme="0" tint="-0.14996795556505021"/>
      </right>
      <top style="medium">
        <color auto="1"/>
      </top>
      <bottom style="thin">
        <color theme="3" tint="0.39994506668294322"/>
      </bottom>
      <diagonal/>
    </border>
    <border>
      <left style="thin">
        <color auto="1"/>
      </left>
      <right style="thin">
        <color theme="0" tint="-0.14996795556505021"/>
      </right>
      <top style="medium">
        <color auto="1"/>
      </top>
      <bottom style="thin">
        <color theme="3" tint="0.39994506668294322"/>
      </bottom>
      <diagonal/>
    </border>
    <border>
      <left style="thin">
        <color theme="0" tint="-0.14996795556505021"/>
      </left>
      <right style="thin">
        <color auto="1"/>
      </right>
      <top style="medium">
        <color auto="1"/>
      </top>
      <bottom style="thin">
        <color theme="3" tint="0.39994506668294322"/>
      </bottom>
      <diagonal/>
    </border>
    <border>
      <left style="thin">
        <color auto="1"/>
      </left>
      <right style="thin">
        <color theme="0" tint="-0.14996795556505021"/>
      </right>
      <top style="thin">
        <color theme="3" tint="0.39994506668294322"/>
      </top>
      <bottom style="thin">
        <color theme="3" tint="0.39994506668294322"/>
      </bottom>
      <diagonal/>
    </border>
    <border>
      <left style="thin">
        <color theme="0" tint="-0.14996795556505021"/>
      </left>
      <right style="thin">
        <color auto="1"/>
      </right>
      <top style="thin">
        <color theme="3" tint="0.39994506668294322"/>
      </top>
      <bottom style="thin">
        <color theme="3" tint="0.39994506668294322"/>
      </bottom>
      <diagonal/>
    </border>
    <border>
      <left style="thin">
        <color auto="1"/>
      </left>
      <right style="thin">
        <color theme="0" tint="-0.14996795556505021"/>
      </right>
      <top style="thin">
        <color theme="3" tint="0.39994506668294322"/>
      </top>
      <bottom style="thin">
        <color auto="1"/>
      </bottom>
      <diagonal/>
    </border>
    <border>
      <left style="thin">
        <color theme="0" tint="-0.14996795556505021"/>
      </left>
      <right style="thin">
        <color auto="1"/>
      </right>
      <top style="thin">
        <color theme="3" tint="0.39994506668294322"/>
      </top>
      <bottom style="thin">
        <color auto="1"/>
      </bottom>
      <diagonal/>
    </border>
    <border>
      <left style="thin">
        <color auto="1"/>
      </left>
      <right style="thin">
        <color auto="1"/>
      </right>
      <top style="medium">
        <color auto="1"/>
      </top>
      <bottom style="thin">
        <color theme="3" tint="0.39994506668294322"/>
      </bottom>
      <diagonal/>
    </border>
    <border>
      <left style="thin">
        <color auto="1"/>
      </left>
      <right style="thin">
        <color auto="1"/>
      </right>
      <top style="thin">
        <color theme="3" tint="0.39994506668294322"/>
      </top>
      <bottom style="thin">
        <color theme="3" tint="0.39994506668294322"/>
      </bottom>
      <diagonal/>
    </border>
    <border>
      <left style="thin">
        <color auto="1"/>
      </left>
      <right style="thin">
        <color auto="1"/>
      </right>
      <top style="thin">
        <color theme="3" tint="0.39994506668294322"/>
      </top>
      <bottom style="thin">
        <color auto="1"/>
      </bottom>
      <diagonal/>
    </border>
    <border>
      <left/>
      <right style="thin">
        <color auto="1"/>
      </right>
      <top style="thin">
        <color theme="3" tint="0.39994506668294322"/>
      </top>
      <bottom style="thin">
        <color theme="3" tint="0.39994506668294322"/>
      </bottom>
      <diagonal/>
    </border>
    <border>
      <left style="thin">
        <color auto="1"/>
      </left>
      <right/>
      <top style="thin">
        <color theme="3" tint="0.39994506668294322"/>
      </top>
      <bottom style="thin">
        <color theme="3" tint="0.39994506668294322"/>
      </bottom>
      <diagonal/>
    </border>
    <border>
      <left style="thin">
        <color auto="1"/>
      </left>
      <right style="thin">
        <color auto="1"/>
      </right>
      <top style="thin">
        <color auto="1"/>
      </top>
      <bottom style="thin">
        <color theme="3" tint="0.39994506668294322"/>
      </bottom>
      <diagonal/>
    </border>
    <border>
      <left style="medium">
        <color auto="1"/>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auto="1"/>
      </bottom>
      <diagonal/>
    </border>
    <border>
      <left style="thin">
        <color auto="1"/>
      </left>
      <right style="thin">
        <color auto="1"/>
      </right>
      <top style="thin">
        <color theme="3" tint="0.39994506668294322"/>
      </top>
      <bottom/>
      <diagonal/>
    </border>
    <border>
      <left style="thin">
        <color auto="1"/>
      </left>
      <right style="thin">
        <color auto="1"/>
      </right>
      <top/>
      <bottom style="thin">
        <color theme="3" tint="0.39994506668294322"/>
      </bottom>
      <diagonal/>
    </border>
    <border>
      <left/>
      <right style="thin">
        <color theme="0" tint="-0.24994659260841701"/>
      </right>
      <top style="thin">
        <color auto="1"/>
      </top>
      <bottom style="thin">
        <color theme="3" tint="0.39994506668294322"/>
      </bottom>
      <diagonal/>
    </border>
    <border>
      <left style="medium">
        <color auto="1"/>
      </left>
      <right style="thin">
        <color auto="1"/>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auto="1"/>
      </left>
      <right style="thin">
        <color auto="1"/>
      </right>
      <top style="thin">
        <color theme="3" tint="0.39994506668294322"/>
      </top>
      <bottom style="thin">
        <color auto="1"/>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auto="1"/>
      </bottom>
      <diagonal/>
    </border>
    <border>
      <left style="thin">
        <color theme="0" tint="-0.24994659260841701"/>
      </left>
      <right style="thin">
        <color theme="0" tint="-0.24994659260841701"/>
      </right>
      <top style="double">
        <color auto="1"/>
      </top>
      <bottom style="medium">
        <color auto="1"/>
      </bottom>
      <diagonal/>
    </border>
    <border>
      <left style="thin">
        <color theme="0" tint="-0.24994659260841701"/>
      </left>
      <right style="thin">
        <color auto="1"/>
      </right>
      <top style="double">
        <color auto="1"/>
      </top>
      <bottom style="medium">
        <color auto="1"/>
      </bottom>
      <diagonal/>
    </border>
    <border>
      <left style="medium">
        <color auto="1"/>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auto="1"/>
      </bottom>
      <diagonal/>
    </border>
    <border>
      <left style="thin">
        <color theme="0" tint="-0.14996795556505021"/>
      </left>
      <right style="medium">
        <color auto="1"/>
      </right>
      <top style="thin">
        <color theme="3" tint="0.39994506668294322"/>
      </top>
      <bottom style="double">
        <color auto="1"/>
      </bottom>
      <diagonal/>
    </border>
    <border>
      <left style="medium">
        <color auto="1"/>
      </left>
      <right/>
      <top style="thin">
        <color theme="3" tint="0.39994506668294322"/>
      </top>
      <bottom style="thin">
        <color auto="1"/>
      </bottom>
      <diagonal/>
    </border>
    <border>
      <left style="medium">
        <color auto="1"/>
      </left>
      <right style="thin">
        <color auto="1"/>
      </right>
      <top style="medium">
        <color auto="1"/>
      </top>
      <bottom style="thin">
        <color theme="3" tint="0.39994506668294322"/>
      </bottom>
      <diagonal/>
    </border>
    <border>
      <left style="thin">
        <color auto="1"/>
      </left>
      <right/>
      <top style="medium">
        <color auto="1"/>
      </top>
      <bottom style="thin">
        <color theme="3" tint="0.39994506668294322"/>
      </bottom>
      <diagonal/>
    </border>
    <border>
      <left style="medium">
        <color auto="1"/>
      </left>
      <right style="thin">
        <color auto="1"/>
      </right>
      <top style="thin">
        <color theme="3" tint="0.39994506668294322"/>
      </top>
      <bottom style="thin">
        <color theme="0" tint="-0.14996795556505021"/>
      </bottom>
      <diagonal/>
    </border>
    <border>
      <left style="thin">
        <color auto="1"/>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auto="1"/>
      </bottom>
      <diagonal/>
    </border>
    <border>
      <left style="thin">
        <color theme="0" tint="-0.24994659260841701"/>
      </left>
      <right style="medium">
        <color auto="1"/>
      </right>
      <top style="thin">
        <color theme="3" tint="0.39994506668294322"/>
      </top>
      <bottom style="thin">
        <color auto="1"/>
      </bottom>
      <diagonal/>
    </border>
    <border>
      <left style="thin">
        <color auto="1"/>
      </left>
      <right/>
      <top style="thin">
        <color theme="3" tint="0.39994506668294322"/>
      </top>
      <bottom style="medium">
        <color auto="1"/>
      </bottom>
      <diagonal/>
    </border>
    <border>
      <left style="thin">
        <color auto="1"/>
      </left>
      <right/>
      <top style="thin">
        <color theme="0" tint="-0.24994659260841701"/>
      </top>
      <bottom style="thin">
        <color theme="3" tint="0.39994506668294322"/>
      </bottom>
      <diagonal/>
    </border>
    <border>
      <left style="thin">
        <color auto="1"/>
      </left>
      <right/>
      <top style="thin">
        <color theme="3" tint="0.39994506668294322"/>
      </top>
      <bottom style="thin">
        <color theme="0" tint="-0.24994659260841701"/>
      </bottom>
      <diagonal/>
    </border>
    <border>
      <left style="medium">
        <color auto="1"/>
      </left>
      <right style="thin">
        <color theme="0" tint="-0.24994659260841701"/>
      </right>
      <top style="thin">
        <color theme="3" tint="0.39994506668294322"/>
      </top>
      <bottom style="thin">
        <color auto="1"/>
      </bottom>
      <diagonal/>
    </border>
    <border>
      <left style="medium">
        <color auto="1"/>
      </left>
      <right style="medium">
        <color auto="1"/>
      </right>
      <top style="thin">
        <color theme="3" tint="0.39994506668294322"/>
      </top>
      <bottom style="thin">
        <color auto="1"/>
      </bottom>
      <diagonal/>
    </border>
    <border>
      <left style="thin">
        <color auto="1"/>
      </left>
      <right style="medium">
        <color auto="1"/>
      </right>
      <top style="thin">
        <color theme="3" tint="0.39994506668294322"/>
      </top>
      <bottom style="thin">
        <color auto="1"/>
      </bottom>
      <diagonal/>
    </border>
    <border>
      <left style="medium">
        <color auto="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auto="1"/>
      </bottom>
      <diagonal/>
    </border>
    <border>
      <left/>
      <right style="medium">
        <color auto="1"/>
      </right>
      <top style="thin">
        <color theme="0" tint="-0.24994659260841701"/>
      </top>
      <bottom style="double">
        <color auto="1"/>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auto="1"/>
      </bottom>
      <diagonal/>
    </border>
    <border>
      <left style="thin">
        <color auto="1"/>
      </left>
      <right style="thin">
        <color indexed="22"/>
      </right>
      <top style="medium">
        <color auto="1"/>
      </top>
      <bottom style="thin">
        <color theme="3" tint="0.39994506668294322"/>
      </bottom>
      <diagonal/>
    </border>
    <border>
      <left style="thin">
        <color auto="1"/>
      </left>
      <right style="thin">
        <color indexed="22"/>
      </right>
      <top style="thin">
        <color theme="3" tint="0.39994506668294322"/>
      </top>
      <bottom style="thin">
        <color theme="3" tint="0.39994506668294322"/>
      </bottom>
      <diagonal/>
    </border>
    <border>
      <left style="thin">
        <color auto="1"/>
      </left>
      <right style="thin">
        <color indexed="22"/>
      </right>
      <top style="thin">
        <color theme="3" tint="0.39994506668294322"/>
      </top>
      <bottom style="medium">
        <color auto="1"/>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0" tint="-0.14996795556505021"/>
      </right>
      <top style="thin">
        <color theme="3" tint="0.39994506668294322"/>
      </top>
      <bottom/>
      <diagonal/>
    </border>
    <border>
      <left style="thin">
        <color auto="1"/>
      </left>
      <right/>
      <top style="thin">
        <color theme="3" tint="0.39994506668294322"/>
      </top>
      <bottom/>
      <diagonal/>
    </border>
    <border>
      <left style="thin">
        <color auto="1"/>
      </left>
      <right style="medium">
        <color auto="1"/>
      </right>
      <top style="thin">
        <color theme="3" tint="0.39994506668294322"/>
      </top>
      <bottom/>
      <diagonal/>
    </border>
    <border>
      <left style="thin">
        <color auto="1"/>
      </left>
      <right/>
      <top/>
      <bottom style="thin">
        <color theme="3" tint="0.39994506668294322"/>
      </bottom>
      <diagonal/>
    </border>
    <border>
      <left/>
      <right style="thin">
        <color auto="1"/>
      </right>
      <top style="thin">
        <color theme="3" tint="0.39994506668294322"/>
      </top>
      <bottom/>
      <diagonal/>
    </border>
    <border>
      <left/>
      <right style="thin">
        <color auto="1"/>
      </right>
      <top style="medium">
        <color auto="1"/>
      </top>
      <bottom style="medium">
        <color auto="1"/>
      </bottom>
      <diagonal/>
    </border>
    <border>
      <left style="thin">
        <color theme="0" tint="-0.24994659260841701"/>
      </left>
      <right style="medium">
        <color auto="1"/>
      </right>
      <top/>
      <bottom/>
      <diagonal/>
    </border>
    <border>
      <left style="thin">
        <color theme="0" tint="-0.24994659260841701"/>
      </left>
      <right style="medium">
        <color auto="1"/>
      </right>
      <top style="medium">
        <color auto="1"/>
      </top>
      <bottom style="thin">
        <color auto="1"/>
      </bottom>
      <diagonal/>
    </border>
    <border>
      <left style="medium">
        <color auto="1"/>
      </left>
      <right/>
      <top style="thin">
        <color theme="4" tint="0.39997558519241921"/>
      </top>
      <bottom/>
      <diagonal/>
    </border>
    <border>
      <left style="thin">
        <color auto="1"/>
      </left>
      <right/>
      <top style="thin">
        <color theme="4" tint="0.39997558519241921"/>
      </top>
      <bottom/>
      <diagonal/>
    </border>
    <border>
      <left style="thin">
        <color auto="1"/>
      </left>
      <right style="medium">
        <color auto="1"/>
      </right>
      <top style="thin">
        <color theme="4" tint="0.39997558519241921"/>
      </top>
      <bottom/>
      <diagonal/>
    </border>
    <border>
      <left style="thin">
        <color theme="0" tint="-0.24994659260841701"/>
      </left>
      <right/>
      <top style="medium">
        <color auto="1"/>
      </top>
      <bottom/>
      <diagonal/>
    </border>
    <border>
      <left style="thin">
        <color theme="0" tint="-0.24994659260841701"/>
      </left>
      <right style="medium">
        <color auto="1"/>
      </right>
      <top style="thin">
        <color theme="3" tint="0.39994506668294322"/>
      </top>
      <bottom/>
      <diagonal/>
    </border>
    <border>
      <left style="medium">
        <color theme="1" tint="4.9989318521683403E-2"/>
      </left>
      <right/>
      <top/>
      <bottom style="thin">
        <color theme="3" tint="0.39994506668294322"/>
      </bottom>
      <diagonal/>
    </border>
    <border>
      <left style="thin">
        <color auto="1"/>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auto="1"/>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auto="1"/>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auto="1"/>
      </left>
      <right/>
      <top style="thin">
        <color auto="1"/>
      </top>
      <bottom style="thin">
        <color theme="4" tint="0.39994506668294322"/>
      </bottom>
      <diagonal/>
    </border>
    <border>
      <left style="thin">
        <color theme="0" tint="-0.14993743705557422"/>
      </left>
      <right/>
      <top style="thin">
        <color auto="1"/>
      </top>
      <bottom style="thin">
        <color theme="4" tint="0.39994506668294322"/>
      </bottom>
      <diagonal/>
    </border>
    <border>
      <left/>
      <right/>
      <top style="thin">
        <color auto="1"/>
      </top>
      <bottom style="thin">
        <color theme="4" tint="0.39994506668294322"/>
      </bottom>
      <diagonal/>
    </border>
    <border>
      <left/>
      <right style="thin">
        <color theme="0" tint="-0.14993743705557422"/>
      </right>
      <top style="thin">
        <color auto="1"/>
      </top>
      <bottom style="thin">
        <color theme="4" tint="0.39994506668294322"/>
      </bottom>
      <diagonal/>
    </border>
    <border>
      <left style="thin">
        <color theme="0" tint="-0.14993743705557422"/>
      </left>
      <right style="thin">
        <color theme="0" tint="-0.14996795556505021"/>
      </right>
      <top style="thin">
        <color auto="1"/>
      </top>
      <bottom style="thin">
        <color theme="3" tint="0.59996337778862885"/>
      </bottom>
      <diagonal/>
    </border>
    <border>
      <left style="thin">
        <color theme="0" tint="-0.14996795556505021"/>
      </left>
      <right style="thin">
        <color auto="1"/>
      </right>
      <top style="thin">
        <color theme="3" tint="0.59996337778862885"/>
      </top>
      <bottom style="thin">
        <color theme="3" tint="0.59996337778862885"/>
      </bottom>
      <diagonal/>
    </border>
    <border>
      <left style="thin">
        <color auto="1"/>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auto="1"/>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auto="1"/>
      </bottom>
      <diagonal/>
    </border>
    <border>
      <left/>
      <right/>
      <top style="thin">
        <color theme="4" tint="0.39994506668294322"/>
      </top>
      <bottom style="thin">
        <color auto="1"/>
      </bottom>
      <diagonal/>
    </border>
    <border>
      <left/>
      <right style="thin">
        <color theme="0" tint="-0.14993743705557422"/>
      </right>
      <top style="thin">
        <color theme="4" tint="0.39994506668294322"/>
      </top>
      <bottom style="thin">
        <color auto="1"/>
      </bottom>
      <diagonal/>
    </border>
    <border>
      <left style="thin">
        <color theme="0" tint="-0.14993743705557422"/>
      </left>
      <right/>
      <top style="thin">
        <color auto="1"/>
      </top>
      <bottom style="thin">
        <color theme="3" tint="0.59996337778862885"/>
      </bottom>
      <diagonal/>
    </border>
    <border>
      <left/>
      <right/>
      <top style="thin">
        <color auto="1"/>
      </top>
      <bottom style="thin">
        <color theme="3" tint="0.59996337778862885"/>
      </bottom>
      <diagonal/>
    </border>
    <border>
      <left/>
      <right style="thin">
        <color theme="0" tint="-0.14993743705557422"/>
      </right>
      <top style="thin">
        <color auto="1"/>
      </top>
      <bottom style="thin">
        <color theme="3" tint="0.59996337778862885"/>
      </bottom>
      <diagonal/>
    </border>
    <border>
      <left style="thin">
        <color auto="1"/>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auto="1"/>
      </bottom>
      <diagonal/>
    </border>
    <border>
      <left/>
      <right/>
      <top style="thin">
        <color theme="3" tint="0.59996337778862885"/>
      </top>
      <bottom style="thin">
        <color auto="1"/>
      </bottom>
      <diagonal/>
    </border>
    <border>
      <left/>
      <right style="thin">
        <color theme="0" tint="-0.14993743705557422"/>
      </right>
      <top style="thin">
        <color theme="3" tint="0.59996337778862885"/>
      </top>
      <bottom style="thin">
        <color auto="1"/>
      </bottom>
      <diagonal/>
    </border>
    <border>
      <left style="thin">
        <color theme="0" tint="-0.14993743705557422"/>
      </left>
      <right style="thin">
        <color theme="0" tint="-0.14996795556505021"/>
      </right>
      <top style="thin">
        <color auto="1"/>
      </top>
      <bottom style="thin">
        <color theme="4" tint="0.39994506668294322"/>
      </bottom>
      <diagonal/>
    </border>
    <border>
      <left style="thin">
        <color theme="0" tint="-0.14993743705557422"/>
      </left>
      <right style="thin">
        <color theme="0" tint="-0.14996795556505021"/>
      </right>
      <top style="thin">
        <color theme="4" tint="0.39994506668294322"/>
      </top>
      <bottom style="thin">
        <color auto="1"/>
      </bottom>
      <diagonal/>
    </border>
    <border>
      <left style="thin">
        <color auto="1"/>
      </left>
      <right style="thin">
        <color theme="0" tint="-0.14996795556505021"/>
      </right>
      <top style="thin">
        <color auto="1"/>
      </top>
      <bottom style="thin">
        <color theme="4" tint="0.39994506668294322"/>
      </bottom>
      <diagonal/>
    </border>
    <border>
      <left style="thin">
        <color theme="0" tint="-0.14996795556505021"/>
      </left>
      <right/>
      <top style="thin">
        <color auto="1"/>
      </top>
      <bottom style="thin">
        <color theme="4" tint="0.39994506668294322"/>
      </bottom>
      <diagonal/>
    </border>
    <border>
      <left style="thin">
        <color auto="1"/>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auto="1"/>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auto="1"/>
      </left>
      <right/>
      <top style="thin">
        <color theme="4" tint="0.39994506668294322"/>
      </top>
      <bottom style="thin">
        <color auto="1"/>
      </bottom>
      <diagonal/>
    </border>
    <border>
      <left style="thin">
        <color theme="0" tint="-0.14996795556505021"/>
      </left>
      <right style="thin">
        <color theme="0" tint="-0.14996795556505021"/>
      </right>
      <top style="thin">
        <color theme="4" tint="0.39994506668294322"/>
      </top>
      <bottom style="thin">
        <color auto="1"/>
      </bottom>
      <diagonal/>
    </border>
    <border>
      <left/>
      <right/>
      <top style="thin">
        <color auto="1"/>
      </top>
      <bottom style="medium">
        <color theme="3" tint="-0.24994659260841701"/>
      </bottom>
      <diagonal/>
    </border>
    <border>
      <left style="thin">
        <color auto="1"/>
      </left>
      <right style="thin">
        <color theme="0" tint="-0.14996795556505021"/>
      </right>
      <top style="thin">
        <color auto="1"/>
      </top>
      <bottom style="thin">
        <color theme="3" tint="0.59996337778862885"/>
      </bottom>
      <diagonal/>
    </border>
    <border>
      <left style="thin">
        <color theme="0" tint="-0.14996795556505021"/>
      </left>
      <right/>
      <top style="thin">
        <color auto="1"/>
      </top>
      <bottom style="thin">
        <color theme="3" tint="0.59996337778862885"/>
      </bottom>
      <diagonal/>
    </border>
    <border>
      <left/>
      <right style="thin">
        <color theme="0" tint="-0.14996795556505021"/>
      </right>
      <top style="thin">
        <color auto="1"/>
      </top>
      <bottom style="thin">
        <color theme="3" tint="0.59996337778862885"/>
      </bottom>
      <diagonal/>
    </border>
    <border>
      <left style="thin">
        <color auto="1"/>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auto="1"/>
      </left>
      <right style="thin">
        <color theme="0" tint="-0.14996795556505021"/>
      </right>
      <top style="thin">
        <color theme="3" tint="0.59996337778862885"/>
      </top>
      <bottom style="thin">
        <color auto="1"/>
      </bottom>
      <diagonal/>
    </border>
    <border>
      <left style="thin">
        <color theme="0" tint="-0.14996795556505021"/>
      </left>
      <right/>
      <top style="thin">
        <color theme="3" tint="0.59996337778862885"/>
      </top>
      <bottom style="thin">
        <color auto="1"/>
      </bottom>
      <diagonal/>
    </border>
    <border>
      <left/>
      <right style="thin">
        <color theme="0" tint="-0.14996795556505021"/>
      </right>
      <top style="thin">
        <color theme="3" tint="0.59996337778862885"/>
      </top>
      <bottom style="thin">
        <color auto="1"/>
      </bottom>
      <diagonal/>
    </border>
    <border>
      <left style="thin">
        <color theme="0" tint="-0.14996795556505021"/>
      </left>
      <right style="thin">
        <color theme="0" tint="-0.14996795556505021"/>
      </right>
      <top style="thin">
        <color auto="1"/>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auto="1"/>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auto="1"/>
      </left>
      <right/>
      <top style="medium">
        <color auto="1"/>
      </top>
      <bottom style="thin">
        <color theme="4" tint="0.39994506668294322"/>
      </bottom>
      <diagonal/>
    </border>
    <border>
      <left style="thin">
        <color auto="1"/>
      </left>
      <right style="medium">
        <color auto="1"/>
      </right>
      <top style="medium">
        <color auto="1"/>
      </top>
      <bottom style="thin">
        <color theme="4" tint="0.39994506668294322"/>
      </bottom>
      <diagonal/>
    </border>
    <border>
      <left style="medium">
        <color auto="1"/>
      </left>
      <right/>
      <top style="thin">
        <color theme="4" tint="0.39994506668294322"/>
      </top>
      <bottom style="thin">
        <color theme="4" tint="0.39994506668294322"/>
      </bottom>
      <diagonal/>
    </border>
    <border>
      <left style="thin">
        <color auto="1"/>
      </left>
      <right style="medium">
        <color auto="1"/>
      </right>
      <top style="thin">
        <color theme="4" tint="0.39994506668294322"/>
      </top>
      <bottom style="thin">
        <color theme="4" tint="0.39994506668294322"/>
      </bottom>
      <diagonal/>
    </border>
    <border>
      <left style="medium">
        <color auto="1"/>
      </left>
      <right/>
      <top style="thin">
        <color theme="4" tint="0.39994506668294322"/>
      </top>
      <bottom style="double">
        <color auto="1"/>
      </bottom>
      <diagonal/>
    </border>
    <border>
      <left style="thin">
        <color auto="1"/>
      </left>
      <right style="medium">
        <color auto="1"/>
      </right>
      <top style="thin">
        <color theme="4" tint="0.39994506668294322"/>
      </top>
      <bottom style="double">
        <color auto="1"/>
      </bottom>
      <diagonal/>
    </border>
    <border>
      <left style="thin">
        <color theme="0" tint="-0.14993743705557422"/>
      </left>
      <right style="thin">
        <color theme="0" tint="-0.14993743705557422"/>
      </right>
      <top style="thin">
        <color auto="1"/>
      </top>
      <bottom style="thin">
        <color theme="3" tint="0.59996337778862885"/>
      </bottom>
      <diagonal/>
    </border>
    <border>
      <left style="thin">
        <color theme="0" tint="-0.14993743705557422"/>
      </left>
      <right style="thin">
        <color theme="0" tint="-0.14993743705557422"/>
      </right>
      <top style="thin">
        <color theme="3" tint="0.59996337778862885"/>
      </top>
      <bottom style="thin">
        <color auto="1"/>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auto="1"/>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auto="1"/>
      </bottom>
      <diagonal/>
    </border>
    <border>
      <left style="thin">
        <color theme="0" tint="-0.14996795556505021"/>
      </left>
      <right style="thin">
        <color theme="0" tint="-0.14996795556505021"/>
      </right>
      <top style="thin">
        <color auto="1"/>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auto="1"/>
      </bottom>
      <diagonal/>
    </border>
    <border>
      <left style="thin">
        <color auto="1"/>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auto="1"/>
      </right>
      <top/>
      <bottom style="thin">
        <color theme="4" tint="0.39994506668294322"/>
      </bottom>
      <diagonal/>
    </border>
    <border>
      <left style="thin">
        <color theme="0" tint="-0.14996795556505021"/>
      </left>
      <right style="thin">
        <color auto="1"/>
      </right>
      <top style="thin">
        <color auto="1"/>
      </top>
      <bottom style="thin">
        <color theme="4" tint="0.39994506668294322"/>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theme="0" tint="-0.14993743705557422"/>
      </left>
      <right style="thin">
        <color theme="0" tint="-0.14993743705557422"/>
      </right>
      <top/>
      <bottom/>
      <diagonal/>
    </border>
    <border>
      <left style="thin">
        <color theme="0" tint="-0.14996795556505021"/>
      </left>
      <right style="thin">
        <color auto="1"/>
      </right>
      <top/>
      <bottom/>
      <diagonal/>
    </border>
    <border>
      <left style="thin">
        <color theme="0" tint="-0.14993743705557422"/>
      </left>
      <right style="thin">
        <color theme="0" tint="-0.14993743705557422"/>
      </right>
      <top/>
      <bottom style="thin">
        <color auto="1"/>
      </bottom>
      <diagonal/>
    </border>
    <border>
      <left style="thin">
        <color theme="0" tint="-0.14996795556505021"/>
      </left>
      <right style="thin">
        <color auto="1"/>
      </right>
      <top style="thin">
        <color auto="1"/>
      </top>
      <bottom/>
      <diagonal/>
    </border>
    <border>
      <left style="medium">
        <color auto="1"/>
      </left>
      <right/>
      <top/>
      <bottom/>
      <diagonal/>
    </border>
    <border>
      <left/>
      <right style="thin">
        <color auto="1"/>
      </right>
      <top/>
      <bottom style="thin">
        <color theme="0" tint="-0.24994659260841701"/>
      </bottom>
      <diagonal/>
    </border>
    <border>
      <left/>
      <right style="double">
        <color auto="1"/>
      </right>
      <top style="thin">
        <color auto="1"/>
      </top>
      <bottom style="medium">
        <color auto="1"/>
      </bottom>
      <diagonal/>
    </border>
    <border>
      <left/>
      <right style="thin">
        <color auto="1"/>
      </right>
      <top style="medium">
        <color auto="1"/>
      </top>
      <bottom style="thin">
        <color theme="0" tint="-0.14996795556505021"/>
      </bottom>
      <diagonal/>
    </border>
    <border>
      <left/>
      <right/>
      <top style="medium">
        <color auto="1"/>
      </top>
      <bottom style="thin">
        <color theme="0" tint="-0.14996795556505021"/>
      </bottom>
      <diagonal/>
    </border>
    <border>
      <left/>
      <right style="thin">
        <color auto="1"/>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medium">
        <color auto="1"/>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rgb="FF00B050"/>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auto="1"/>
      </left>
      <right style="thin">
        <color auto="1"/>
      </right>
      <top style="thin">
        <color theme="0" tint="-0.14996795556505021"/>
      </top>
      <bottom style="thin">
        <color theme="0" tint="-0.14996795556505021"/>
      </bottom>
      <diagonal/>
    </border>
    <border>
      <left/>
      <right style="medium">
        <color auto="1"/>
      </right>
      <top style="thin">
        <color auto="1"/>
      </top>
      <bottom style="thin">
        <color theme="3" tint="0.39994506668294322"/>
      </bottom>
      <diagonal/>
    </border>
    <border>
      <left/>
      <right style="medium">
        <color auto="1"/>
      </right>
      <top style="thin">
        <color theme="3" tint="0.39994506668294322"/>
      </top>
      <bottom style="thin">
        <color auto="1"/>
      </bottom>
      <diagonal/>
    </border>
    <border>
      <left/>
      <right style="thin">
        <color theme="0" tint="-0.14990691854609822"/>
      </right>
      <top style="medium">
        <color auto="1"/>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auto="1"/>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auto="1"/>
      </bottom>
      <diagonal/>
    </border>
    <border>
      <left/>
      <right style="thin">
        <color theme="0" tint="-0.14996795556505021"/>
      </right>
      <top style="medium">
        <color auto="1"/>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auto="1"/>
      </left>
      <right style="medium">
        <color auto="1"/>
      </right>
      <top/>
      <bottom style="thin">
        <color theme="3" tint="0.39994506668294322"/>
      </bottom>
      <diagonal/>
    </border>
    <border>
      <left/>
      <right style="medium">
        <color auto="1"/>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auto="1"/>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auto="1"/>
      </left>
      <right style="medium">
        <color auto="1"/>
      </right>
      <top/>
      <bottom style="medium">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double">
        <color auto="1"/>
      </right>
      <top/>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hair">
        <color auto="1"/>
      </left>
      <right style="medium">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6">
    <xf numFmtId="0" fontId="0" fillId="0" borderId="0"/>
    <xf numFmtId="44" fontId="1" fillId="0" borderId="0" applyFont="0" applyFill="0" applyBorder="0" applyAlignment="0" applyProtection="0"/>
    <xf numFmtId="9" fontId="1" fillId="0" borderId="0" applyFon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38"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105" fillId="45"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48" borderId="0" applyNumberFormat="0" applyBorder="0" applyAlignment="0" applyProtection="0"/>
    <xf numFmtId="0" fontId="10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52" borderId="0" applyNumberFormat="0" applyBorder="0" applyAlignment="0" applyProtection="0"/>
    <xf numFmtId="0" fontId="106" fillId="36" borderId="0" applyNumberFormat="0" applyBorder="0" applyAlignment="0" applyProtection="0"/>
    <xf numFmtId="0" fontId="107" fillId="53" borderId="618" applyNumberFormat="0" applyAlignment="0" applyProtection="0"/>
    <xf numFmtId="0" fontId="107" fillId="53" borderId="618" applyNumberFormat="0" applyAlignment="0" applyProtection="0"/>
    <xf numFmtId="0" fontId="108" fillId="54" borderId="619"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09" fillId="0" borderId="0" applyNumberFormat="0" applyFill="0" applyBorder="0" applyAlignment="0" applyProtection="0"/>
    <xf numFmtId="0" fontId="110" fillId="37" borderId="0" applyNumberFormat="0" applyBorder="0" applyAlignment="0" applyProtection="0"/>
    <xf numFmtId="0" fontId="111" fillId="0" borderId="620" applyNumberFormat="0" applyFill="0" applyAlignment="0" applyProtection="0"/>
    <xf numFmtId="0" fontId="112" fillId="0" borderId="621" applyNumberFormat="0" applyFill="0" applyAlignment="0" applyProtection="0"/>
    <xf numFmtId="0" fontId="113" fillId="0" borderId="622" applyNumberFormat="0" applyFill="0" applyAlignment="0" applyProtection="0"/>
    <xf numFmtId="0" fontId="113" fillId="0" borderId="0" applyNumberFormat="0" applyFill="0" applyBorder="0" applyAlignment="0" applyProtection="0"/>
    <xf numFmtId="0" fontId="114" fillId="0" borderId="0" applyNumberFormat="0" applyFill="0" applyBorder="0" applyAlignment="0" applyProtection="0">
      <alignment vertical="top"/>
      <protection locked="0"/>
    </xf>
    <xf numFmtId="0" fontId="115" fillId="40" borderId="618" applyNumberFormat="0" applyAlignment="0" applyProtection="0"/>
    <xf numFmtId="0" fontId="115" fillId="40" borderId="618" applyNumberFormat="0" applyAlignment="0" applyProtection="0"/>
    <xf numFmtId="0" fontId="116" fillId="0" borderId="623" applyNumberFormat="0" applyFill="0" applyAlignment="0" applyProtection="0"/>
    <xf numFmtId="0" fontId="117" fillId="55"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8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6" borderId="624" applyNumberFormat="0" applyFont="0" applyAlignment="0" applyProtection="0"/>
    <xf numFmtId="0" fontId="3" fillId="56" borderId="624" applyNumberFormat="0" applyFont="0" applyAlignment="0" applyProtection="0"/>
    <xf numFmtId="0" fontId="118" fillId="53" borderId="62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9" fillId="0" borderId="0" applyNumberFormat="0" applyFill="0" applyBorder="0" applyAlignment="0" applyProtection="0"/>
    <xf numFmtId="0" fontId="82" fillId="0" borderId="626" applyNumberFormat="0" applyFill="0" applyAlignment="0" applyProtection="0"/>
    <xf numFmtId="0" fontId="12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cellStyleXfs>
  <cellXfs count="2775">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43" fillId="16" borderId="151" xfId="0"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92" xfId="0" applyFont="1" applyBorder="1" applyProtection="1"/>
    <xf numFmtId="0" fontId="16" fillId="0" borderId="93" xfId="0" applyFont="1" applyBorder="1" applyProtection="1"/>
    <xf numFmtId="9" fontId="16" fillId="0" borderId="93" xfId="0" applyNumberFormat="1" applyFont="1" applyFill="1" applyBorder="1" applyProtection="1"/>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16" fillId="0" borderId="94"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3" fillId="0" borderId="53" xfId="0" applyFont="1" applyBorder="1" applyProtection="1">
      <protection locked="0"/>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0" fontId="16" fillId="0" borderId="166" xfId="0" applyFont="1" applyFill="1" applyBorder="1" applyProtection="1">
      <protection locked="0"/>
    </xf>
    <xf numFmtId="0" fontId="16" fillId="0" borderId="119" xfId="0" applyFont="1" applyFill="1" applyBorder="1" applyProtection="1">
      <protection locked="0"/>
    </xf>
    <xf numFmtId="0" fontId="16" fillId="0" borderId="23" xfId="0" applyFont="1" applyFill="1" applyBorder="1" applyProtection="1">
      <protection locked="0"/>
    </xf>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16" fillId="0" borderId="164"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16" fillId="16" borderId="163" xfId="0" applyFont="1" applyFill="1" applyBorder="1" applyAlignment="1" applyProtection="1">
      <alignment wrapText="1"/>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0" fontId="0" fillId="0" borderId="34" xfId="0" applyFill="1" applyBorder="1" applyProtection="1">
      <protection locked="0"/>
    </xf>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42"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7" fillId="0" borderId="292" xfId="0" applyNumberFormat="1" applyFont="1" applyFill="1" applyBorder="1" applyAlignment="1" applyProtection="1">
      <alignment vertical="center"/>
      <protection locked="0"/>
    </xf>
    <xf numFmtId="3" fontId="17" fillId="0" borderId="293" xfId="0" applyNumberFormat="1" applyFont="1" applyFill="1" applyBorder="1" applyAlignment="1" applyProtection="1">
      <alignment vertical="center"/>
      <protection locked="0"/>
    </xf>
    <xf numFmtId="3" fontId="17" fillId="0" borderId="294"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14" fontId="3" fillId="0" borderId="290" xfId="0" applyNumberFormat="1" applyFont="1" applyBorder="1" applyAlignment="1" applyProtection="1">
      <alignment vertical="center"/>
      <protection locked="0"/>
    </xf>
    <xf numFmtId="0" fontId="3" fillId="0" borderId="290" xfId="0" applyFont="1" applyFill="1" applyBorder="1" applyAlignment="1" applyProtection="1">
      <alignment vertical="center"/>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0" fontId="16" fillId="0" borderId="287" xfId="0" applyFont="1" applyFill="1" applyBorder="1" applyProtection="1">
      <protection locked="0"/>
    </xf>
    <xf numFmtId="0" fontId="16" fillId="0" borderId="288" xfId="0" applyFont="1" applyFill="1" applyBorder="1" applyProtection="1">
      <protection locked="0"/>
    </xf>
    <xf numFmtId="0" fontId="16" fillId="0" borderId="401" xfId="0" applyFont="1" applyFill="1" applyBorder="1" applyProtection="1">
      <protection locked="0"/>
    </xf>
    <xf numFmtId="0" fontId="16" fillId="0" borderId="290" xfId="0" applyFont="1" applyFill="1" applyBorder="1" applyProtection="1">
      <protection locked="0"/>
    </xf>
    <xf numFmtId="0" fontId="16" fillId="0" borderId="291" xfId="0" applyFont="1" applyFill="1" applyBorder="1" applyProtection="1">
      <protection locked="0"/>
    </xf>
    <xf numFmtId="0" fontId="16" fillId="0" borderId="428" xfId="0" applyFont="1" applyFill="1" applyBorder="1" applyProtection="1">
      <protection locked="0"/>
    </xf>
    <xf numFmtId="0" fontId="16" fillId="0" borderId="402" xfId="0" applyFont="1" applyFill="1" applyBorder="1" applyProtection="1">
      <protection locked="0"/>
    </xf>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297" xfId="0" applyFont="1" applyFill="1" applyBorder="1" applyProtection="1">
      <protection locked="0"/>
    </xf>
    <xf numFmtId="0" fontId="16" fillId="0" borderId="431" xfId="0" applyFont="1" applyFill="1" applyBorder="1" applyProtection="1">
      <protection locked="0"/>
    </xf>
    <xf numFmtId="0" fontId="16" fillId="0" borderId="432" xfId="0" applyFont="1" applyFill="1" applyBorder="1" applyProtection="1">
      <protection locked="0"/>
    </xf>
    <xf numFmtId="0" fontId="16" fillId="0" borderId="315" xfId="0" applyFont="1" applyFill="1" applyBorder="1" applyProtection="1">
      <protection locked="0"/>
    </xf>
    <xf numFmtId="0" fontId="16" fillId="0" borderId="433" xfId="0" applyFont="1" applyFill="1" applyBorder="1" applyProtection="1">
      <protection locked="0"/>
    </xf>
    <xf numFmtId="42" fontId="16" fillId="0" borderId="291" xfId="0" applyNumberFormat="1" applyFont="1" applyFill="1" applyBorder="1" applyAlignment="1" applyProtection="1">
      <alignment vertical="center"/>
      <protection locked="0"/>
    </xf>
    <xf numFmtId="0" fontId="16" fillId="0" borderId="246" xfId="0" applyFont="1" applyFill="1" applyBorder="1" applyAlignment="1" applyProtection="1">
      <alignment wrapText="1"/>
      <protection locked="0"/>
    </xf>
    <xf numFmtId="0" fontId="16" fillId="0" borderId="251" xfId="0" applyFont="1" applyFill="1" applyBorder="1" applyProtection="1">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2"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left"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3" xfId="0" applyFont="1" applyFill="1" applyBorder="1" applyAlignment="1" applyProtection="1">
      <alignment horizontal="center" wrapText="1"/>
      <protection locked="0"/>
    </xf>
    <xf numFmtId="0" fontId="16" fillId="0" borderId="444" xfId="0" applyFont="1" applyFill="1" applyBorder="1" applyAlignment="1" applyProtection="1">
      <alignment wrapText="1"/>
      <protection locked="0"/>
    </xf>
    <xf numFmtId="0" fontId="16" fillId="0" borderId="444" xfId="0" applyFont="1" applyBorder="1" applyAlignment="1" applyProtection="1">
      <alignment horizontal="left" wrapText="1"/>
      <protection locked="0"/>
    </xf>
    <xf numFmtId="49" fontId="16" fillId="0" borderId="444" xfId="0" applyNumberFormat="1" applyFont="1" applyFill="1" applyBorder="1" applyAlignment="1" applyProtection="1">
      <alignment horizontal="center" wrapText="1"/>
      <protection locked="0"/>
    </xf>
    <xf numFmtId="49" fontId="16" fillId="0" borderId="444"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3" xfId="0" applyFont="1" applyFill="1" applyBorder="1" applyAlignment="1" applyProtection="1">
      <alignment horizontal="left" wrapText="1"/>
      <protection locked="0"/>
    </xf>
    <xf numFmtId="0" fontId="16" fillId="0" borderId="444"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4" xfId="0" applyNumberFormat="1" applyFont="1" applyFill="1" applyBorder="1" applyAlignment="1" applyProtection="1">
      <alignment horizontal="right" wrapText="1"/>
      <protection locked="0"/>
    </xf>
    <xf numFmtId="0" fontId="16" fillId="0" borderId="443"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0" fontId="1" fillId="0" borderId="408" xfId="0" applyFont="1" applyFill="1" applyBorder="1" applyAlignment="1" applyProtection="1">
      <alignment horizontal="center"/>
      <protection locked="0"/>
    </xf>
    <xf numFmtId="0" fontId="1" fillId="0" borderId="410" xfId="0"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0" fontId="15" fillId="0" borderId="323" xfId="0" applyFont="1" applyFill="1" applyBorder="1" applyAlignment="1" applyProtection="1">
      <alignment horizontal="center"/>
    </xf>
    <xf numFmtId="0" fontId="15" fillId="0" borderId="398" xfId="0" applyFont="1" applyFill="1" applyBorder="1" applyAlignment="1" applyProtection="1">
      <alignment horizontal="center"/>
    </xf>
    <xf numFmtId="0" fontId="0" fillId="0" borderId="398" xfId="0" applyFont="1" applyFill="1" applyBorder="1" applyAlignment="1" applyProtection="1">
      <alignment horizontal="center"/>
    </xf>
    <xf numFmtId="0" fontId="0" fillId="0" borderId="451" xfId="0" applyFont="1" applyFill="1" applyBorder="1" applyAlignment="1" applyProtection="1">
      <alignment horizontal="center"/>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17" fillId="0" borderId="0" xfId="0" applyFont="1" applyAlignment="1" applyProtection="1">
      <alignment horizontal="center"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10" fontId="8" fillId="16" borderId="315" xfId="0" applyNumberFormat="1" applyFont="1" applyFill="1" applyBorder="1" applyAlignment="1" applyProtection="1">
      <alignment horizontal="center" vertical="center" wrapText="1"/>
      <protection locked="0"/>
    </xf>
    <xf numFmtId="10" fontId="8" fillId="16" borderId="251" xfId="0" applyNumberFormat="1" applyFont="1" applyFill="1" applyBorder="1" applyAlignment="1" applyProtection="1">
      <alignment horizontal="center" vertical="center" wrapText="1"/>
      <protection locked="0"/>
    </xf>
    <xf numFmtId="9" fontId="8" fillId="0" borderId="218" xfId="0" applyNumberFormat="1" applyFont="1" applyBorder="1" applyAlignment="1" applyProtection="1">
      <alignment vertical="center"/>
      <protection locked="0"/>
    </xf>
    <xf numFmtId="1" fontId="8" fillId="0" borderId="458" xfId="0" applyNumberFormat="1" applyFont="1" applyBorder="1" applyAlignment="1" applyProtection="1">
      <protection locked="0"/>
    </xf>
    <xf numFmtId="42" fontId="8" fillId="0" borderId="458"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41" fillId="0" borderId="464" xfId="0" applyFont="1" applyFill="1" applyBorder="1" applyAlignment="1" applyProtection="1">
      <alignment vertical="center" wrapText="1"/>
      <protection locked="0"/>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9" fontId="54" fillId="6" borderId="424" xfId="0" applyNumberFormat="1" applyFont="1" applyFill="1" applyBorder="1" applyProtection="1"/>
    <xf numFmtId="10" fontId="54" fillId="0" borderId="428" xfId="0" applyNumberFormat="1" applyFont="1" applyFill="1" applyBorder="1" applyProtection="1">
      <protection locked="0"/>
    </xf>
    <xf numFmtId="0" fontId="51" fillId="0" borderId="0" xfId="0" applyFont="1" applyFill="1" applyAlignment="1" applyProtection="1">
      <alignment horizontal="right"/>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50"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7"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8"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8" xfId="0" applyFont="1" applyFill="1" applyBorder="1" applyAlignment="1" applyProtection="1">
      <alignment horizontal="center"/>
    </xf>
    <xf numFmtId="0" fontId="0" fillId="0" borderId="482" xfId="0" applyFont="1" applyFill="1" applyBorder="1" applyProtection="1"/>
    <xf numFmtId="0" fontId="16" fillId="0" borderId="483" xfId="0" applyFont="1" applyFill="1" applyBorder="1" applyAlignment="1" applyProtection="1">
      <alignment horizontal="center" vertical="top" wrapText="1"/>
      <protection locked="0"/>
    </xf>
    <xf numFmtId="0" fontId="0" fillId="0" borderId="484" xfId="0" applyFont="1" applyFill="1" applyBorder="1" applyAlignment="1" applyProtection="1">
      <alignment horizontal="center"/>
    </xf>
    <xf numFmtId="0" fontId="0" fillId="0" borderId="488" xfId="0" applyFont="1" applyFill="1" applyBorder="1" applyProtection="1"/>
    <xf numFmtId="0" fontId="1" fillId="0" borderId="489" xfId="0" applyFont="1" applyFill="1" applyBorder="1" applyAlignment="1" applyProtection="1">
      <alignment horizontal="center"/>
    </xf>
    <xf numFmtId="0" fontId="0" fillId="0" borderId="490" xfId="0" applyFont="1" applyFill="1" applyBorder="1" applyProtection="1"/>
    <xf numFmtId="0" fontId="0" fillId="0" borderId="489"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7" xfId="0" applyFont="1" applyFill="1" applyBorder="1" applyAlignment="1" applyProtection="1">
      <alignment horizontal="center"/>
    </xf>
    <xf numFmtId="0" fontId="0" fillId="0" borderId="498" xfId="0" applyFont="1" applyFill="1" applyBorder="1" applyProtection="1"/>
    <xf numFmtId="0" fontId="49" fillId="0" borderId="34" xfId="0" applyFont="1" applyFill="1" applyBorder="1" applyProtection="1"/>
    <xf numFmtId="0" fontId="0" fillId="0" borderId="497"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7"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4" xfId="0" applyFont="1" applyFill="1" applyBorder="1" applyProtection="1"/>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6" xfId="0" applyFont="1" applyFill="1" applyBorder="1" applyAlignment="1" applyProtection="1">
      <alignment horizontal="center"/>
    </xf>
    <xf numFmtId="0" fontId="0" fillId="0" borderId="480" xfId="0" applyFont="1" applyFill="1" applyBorder="1" applyProtection="1"/>
    <xf numFmtId="0" fontId="0" fillId="0" borderId="508" xfId="0" applyFont="1" applyFill="1" applyBorder="1" applyAlignment="1" applyProtection="1">
      <alignment horizontal="center"/>
    </xf>
    <xf numFmtId="16" fontId="0" fillId="0" borderId="509" xfId="0" applyNumberFormat="1" applyFont="1" applyFill="1" applyBorder="1" applyProtection="1"/>
    <xf numFmtId="0" fontId="0" fillId="0" borderId="486" xfId="0" applyFont="1" applyFill="1" applyBorder="1" applyProtection="1"/>
    <xf numFmtId="0" fontId="1" fillId="0" borderId="510" xfId="0" applyNumberFormat="1" applyFont="1" applyFill="1" applyBorder="1" applyAlignment="1" applyProtection="1">
      <alignment horizontal="center"/>
    </xf>
    <xf numFmtId="0" fontId="0" fillId="0" borderId="513" xfId="0" applyFont="1" applyFill="1" applyBorder="1" applyProtection="1"/>
    <xf numFmtId="0" fontId="1" fillId="0" borderId="515" xfId="0" applyFont="1" applyFill="1" applyBorder="1" applyAlignment="1" applyProtection="1">
      <alignment horizontal="center"/>
    </xf>
    <xf numFmtId="16" fontId="0" fillId="0" borderId="492" xfId="0" applyNumberFormat="1" applyFont="1" applyFill="1" applyBorder="1" applyProtection="1"/>
    <xf numFmtId="16" fontId="1" fillId="0" borderId="492" xfId="0" applyNumberFormat="1" applyFont="1" applyFill="1" applyBorder="1" applyProtection="1"/>
    <xf numFmtId="0" fontId="0" fillId="0" borderId="516"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7" xfId="0" applyFont="1" applyFill="1" applyBorder="1" applyAlignment="1" applyProtection="1">
      <alignment horizontal="center"/>
    </xf>
    <xf numFmtId="0" fontId="1" fillId="0" borderId="517"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8" xfId="0" applyFont="1" applyFill="1" applyBorder="1" applyAlignment="1" applyProtection="1">
      <alignment horizontal="center"/>
    </xf>
    <xf numFmtId="0" fontId="0" fillId="0" borderId="521" xfId="0" applyFont="1" applyFill="1" applyBorder="1" applyAlignment="1" applyProtection="1">
      <alignment horizontal="center"/>
    </xf>
    <xf numFmtId="0" fontId="0" fillId="0" borderId="511" xfId="0" applyFont="1" applyFill="1" applyBorder="1" applyProtection="1"/>
    <xf numFmtId="0" fontId="1" fillId="0" borderId="521" xfId="0" applyNumberFormat="1" applyFont="1" applyFill="1" applyBorder="1" applyAlignment="1" applyProtection="1">
      <alignment horizontal="center"/>
    </xf>
    <xf numFmtId="0" fontId="0" fillId="0" borderId="521" xfId="0" quotePrefix="1" applyNumberFormat="1"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23" xfId="0" applyFont="1" applyFill="1" applyBorder="1" applyAlignment="1" applyProtection="1">
      <alignment horizontal="center"/>
    </xf>
    <xf numFmtId="0" fontId="1" fillId="0" borderId="518" xfId="0" applyNumberFormat="1" applyFont="1" applyFill="1" applyBorder="1" applyAlignment="1" applyProtection="1">
      <alignment horizontal="center"/>
    </xf>
    <xf numFmtId="0" fontId="0" fillId="0" borderId="526" xfId="0" applyFont="1" applyFill="1" applyBorder="1" applyProtection="1"/>
    <xf numFmtId="0" fontId="0" fillId="0" borderId="527"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1"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1" xfId="0" quotePrefix="1" applyNumberFormat="1" applyFont="1" applyFill="1" applyBorder="1" applyAlignment="1" applyProtection="1">
      <alignment horizontal="center"/>
    </xf>
    <xf numFmtId="0" fontId="1" fillId="0" borderId="35" xfId="0" applyFont="1" applyFill="1" applyBorder="1" applyProtection="1"/>
    <xf numFmtId="0" fontId="0" fillId="0" borderId="528" xfId="0" applyFont="1" applyFill="1" applyBorder="1" applyAlignment="1" applyProtection="1">
      <alignment horizontal="center"/>
    </xf>
    <xf numFmtId="16" fontId="0" fillId="0" borderId="529" xfId="0" applyNumberFormat="1" applyFont="1" applyFill="1" applyBorder="1" applyProtection="1"/>
    <xf numFmtId="16" fontId="1" fillId="0" borderId="530" xfId="0" applyNumberFormat="1" applyFont="1" applyFill="1" applyBorder="1" applyProtection="1"/>
    <xf numFmtId="16" fontId="1" fillId="0" borderId="531" xfId="0" applyNumberFormat="1" applyFont="1" applyFill="1" applyBorder="1" applyProtection="1"/>
    <xf numFmtId="0" fontId="1" fillId="0" borderId="523" xfId="0" applyNumberFormat="1" applyFont="1" applyFill="1" applyBorder="1" applyAlignment="1" applyProtection="1">
      <alignment horizontal="center"/>
    </xf>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536" xfId="0" applyFont="1" applyFill="1" applyBorder="1" applyAlignment="1" applyProtection="1">
      <alignment horizontal="right"/>
    </xf>
    <xf numFmtId="0" fontId="1" fillId="6" borderId="53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8"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5" xfId="0" applyFont="1" applyFill="1" applyBorder="1" applyAlignment="1" applyProtection="1">
      <alignment horizontal="center"/>
    </xf>
    <xf numFmtId="0" fontId="0" fillId="8" borderId="539" xfId="0" applyFill="1" applyBorder="1" applyProtection="1"/>
    <xf numFmtId="0" fontId="1" fillId="8" borderId="25" xfId="0" applyFont="1" applyFill="1" applyBorder="1" applyAlignment="1" applyProtection="1">
      <alignment horizontal="center"/>
    </xf>
    <xf numFmtId="0" fontId="1" fillId="8" borderId="497" xfId="0" applyFont="1" applyFill="1" applyBorder="1" applyAlignment="1" applyProtection="1">
      <alignment horizontal="center"/>
    </xf>
    <xf numFmtId="0" fontId="0" fillId="8" borderId="540"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7" xfId="0" applyFont="1" applyFill="1" applyBorder="1" applyAlignment="1" applyProtection="1">
      <alignment horizontal="center"/>
    </xf>
    <xf numFmtId="0" fontId="1" fillId="8" borderId="497" xfId="0" quotePrefix="1" applyFont="1" applyFill="1" applyBorder="1" applyAlignment="1" applyProtection="1">
      <alignment horizontal="center"/>
    </xf>
    <xf numFmtId="0" fontId="16" fillId="8" borderId="54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1" xfId="0" applyFont="1" applyFill="1" applyBorder="1" applyAlignment="1" applyProtection="1">
      <alignment horizontal="center"/>
    </xf>
    <xf numFmtId="0" fontId="0" fillId="8" borderId="482" xfId="0" applyFill="1" applyBorder="1" applyProtection="1"/>
    <xf numFmtId="0" fontId="1" fillId="8" borderId="510" xfId="0" applyFont="1" applyFill="1" applyBorder="1" applyAlignment="1" applyProtection="1">
      <alignment horizontal="center"/>
    </xf>
    <xf numFmtId="0" fontId="0" fillId="8" borderId="542" xfId="0" applyFill="1" applyBorder="1" applyProtection="1"/>
    <xf numFmtId="0" fontId="0" fillId="0" borderId="0" xfId="0" applyNumberFormat="1" applyBorder="1" applyAlignment="1">
      <alignment horizontal="center"/>
    </xf>
    <xf numFmtId="0" fontId="0" fillId="8" borderId="543" xfId="0" applyFill="1" applyBorder="1" applyProtection="1"/>
    <xf numFmtId="0" fontId="1" fillId="8" borderId="518" xfId="0" applyFont="1" applyFill="1" applyBorder="1" applyAlignment="1" applyProtection="1">
      <alignment horizontal="center"/>
    </xf>
    <xf numFmtId="0" fontId="0" fillId="8" borderId="544" xfId="0" applyFill="1" applyBorder="1" applyProtection="1"/>
    <xf numFmtId="0" fontId="0" fillId="8" borderId="521" xfId="0" applyFont="1" applyFill="1" applyBorder="1" applyAlignment="1" applyProtection="1">
      <alignment horizontal="center"/>
    </xf>
    <xf numFmtId="0" fontId="0" fillId="8" borderId="545" xfId="0" applyFill="1" applyBorder="1" applyProtection="1"/>
    <xf numFmtId="0" fontId="1" fillId="8" borderId="521" xfId="0" applyFont="1" applyFill="1" applyBorder="1" applyAlignment="1" applyProtection="1">
      <alignment horizontal="center"/>
    </xf>
    <xf numFmtId="0" fontId="16" fillId="8" borderId="545" xfId="0" applyFont="1" applyFill="1" applyBorder="1" applyProtection="1"/>
    <xf numFmtId="16" fontId="0" fillId="30" borderId="234" xfId="0" quotePrefix="1" applyNumberFormat="1" applyFill="1" applyBorder="1" applyAlignment="1">
      <alignment horizontal="center" vertical="center" wrapText="1"/>
    </xf>
    <xf numFmtId="0" fontId="1" fillId="8" borderId="523" xfId="0" applyFont="1" applyFill="1" applyBorder="1" applyAlignment="1" applyProtection="1">
      <alignment horizontal="center"/>
    </xf>
    <xf numFmtId="0" fontId="0" fillId="8" borderId="546" xfId="0" applyFill="1" applyBorder="1" applyProtection="1"/>
    <xf numFmtId="0" fontId="0" fillId="0" borderId="234" xfId="0" quotePrefix="1" applyBorder="1" applyAlignment="1">
      <alignment horizontal="center"/>
    </xf>
    <xf numFmtId="0" fontId="1" fillId="8" borderId="521" xfId="0" applyFont="1" applyFill="1" applyBorder="1" applyAlignment="1" applyProtection="1">
      <alignment horizontal="center" vertical="top"/>
    </xf>
    <xf numFmtId="0" fontId="1" fillId="8" borderId="547" xfId="0" applyFont="1" applyFill="1" applyBorder="1" applyAlignment="1" applyProtection="1">
      <alignment horizontal="center"/>
    </xf>
    <xf numFmtId="0" fontId="0" fillId="8" borderId="548"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4"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4" xfId="0" applyBorder="1" applyAlignment="1">
      <alignment horizontal="center"/>
    </xf>
    <xf numFmtId="0" fontId="3" fillId="8" borderId="551" xfId="0" applyFont="1" applyFill="1" applyBorder="1" applyAlignment="1" applyProtection="1">
      <alignment wrapText="1"/>
    </xf>
    <xf numFmtId="0" fontId="0" fillId="0" borderId="177" xfId="0" applyNumberFormat="1" applyBorder="1" applyAlignment="1">
      <alignment horizontal="center"/>
    </xf>
    <xf numFmtId="0" fontId="0" fillId="0" borderId="552" xfId="0" applyFill="1" applyBorder="1" applyProtection="1"/>
    <xf numFmtId="0" fontId="0" fillId="0" borderId="553" xfId="0" applyFill="1" applyBorder="1" applyProtection="1"/>
    <xf numFmtId="0" fontId="0" fillId="0" borderId="554"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5" xfId="0" applyFill="1" applyBorder="1" applyProtection="1"/>
    <xf numFmtId="0" fontId="3" fillId="8" borderId="556"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7" xfId="0" applyFill="1" applyBorder="1" applyProtection="1"/>
    <xf numFmtId="0" fontId="0" fillId="30" borderId="554" xfId="0" applyFill="1" applyBorder="1" applyAlignment="1">
      <alignment horizontal="center" vertical="center" wrapText="1"/>
    </xf>
    <xf numFmtId="0" fontId="0" fillId="0" borderId="552" xfId="0" applyBorder="1"/>
    <xf numFmtId="0" fontId="0" fillId="30" borderId="4" xfId="0" applyFill="1" applyBorder="1" applyAlignment="1">
      <alignment horizontal="center" vertical="center" wrapText="1"/>
    </xf>
    <xf numFmtId="0" fontId="3" fillId="8" borderId="558"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2" xfId="0" applyBorder="1" applyProtection="1"/>
    <xf numFmtId="0" fontId="0" fillId="0" borderId="553"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1"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9" xfId="0" applyFont="1" applyBorder="1"/>
    <xf numFmtId="0" fontId="24" fillId="0" borderId="163" xfId="0" applyFont="1" applyBorder="1"/>
    <xf numFmtId="0" fontId="24" fillId="0" borderId="445" xfId="0" applyFont="1" applyBorder="1"/>
    <xf numFmtId="0" fontId="24" fillId="0" borderId="446"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5" xfId="0" applyFont="1" applyBorder="1"/>
    <xf numFmtId="0" fontId="40" fillId="0" borderId="446"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3" xfId="0" applyFont="1" applyFill="1" applyBorder="1" applyProtection="1"/>
    <xf numFmtId="0" fontId="0" fillId="0" borderId="562"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4"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6" xfId="0" applyFont="1" applyFill="1" applyBorder="1" applyProtection="1">
      <protection locked="0"/>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0" xfId="0" applyFont="1" applyFill="1" applyBorder="1" applyProtection="1"/>
    <xf numFmtId="0" fontId="21" fillId="16" borderId="0" xfId="0" applyFont="1" applyFill="1" applyBorder="1" applyAlignment="1" applyProtection="1"/>
    <xf numFmtId="0" fontId="17" fillId="0" borderId="77" xfId="0" applyFont="1" applyFill="1" applyBorder="1" applyAlignment="1" applyProtection="1"/>
    <xf numFmtId="3" fontId="15" fillId="0" borderId="0" xfId="0" applyNumberFormat="1" applyFont="1" applyFill="1" applyBorder="1" applyAlignment="1" applyProtection="1">
      <alignment horizontal="left"/>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16" fillId="16" borderId="54" xfId="0" applyFont="1" applyFill="1" applyBorder="1" applyAlignment="1" applyProtection="1"/>
    <xf numFmtId="42" fontId="5" fillId="24" borderId="566"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81" fillId="3" borderId="0" xfId="0" applyFont="1" applyFill="1" applyBorder="1"/>
    <xf numFmtId="0" fontId="0" fillId="5" borderId="0" xfId="0" applyFill="1"/>
    <xf numFmtId="0" fontId="72" fillId="3" borderId="0" xfId="0" applyFont="1" applyFill="1" applyBorder="1" applyAlignment="1">
      <alignment wrapText="1"/>
    </xf>
    <xf numFmtId="0" fontId="81" fillId="5" borderId="0" xfId="0" applyFont="1" applyFill="1" applyBorder="1"/>
    <xf numFmtId="0" fontId="17" fillId="0" borderId="0" xfId="0" applyFont="1" applyFill="1"/>
    <xf numFmtId="0" fontId="15" fillId="0" borderId="0" xfId="0" applyFont="1" applyFill="1"/>
    <xf numFmtId="0" fontId="53" fillId="0" borderId="0" xfId="0" applyFont="1" applyFill="1" applyBorder="1"/>
    <xf numFmtId="0" fontId="53" fillId="0" borderId="0" xfId="0" applyFont="1" applyFill="1" applyBorder="1" applyAlignment="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applyAlignment="1">
      <alignment horizontal="left"/>
    </xf>
    <xf numFmtId="9" fontId="15" fillId="0" borderId="79" xfId="0" applyNumberFormat="1" applyFont="1" applyFill="1" applyBorder="1" applyAlignment="1">
      <alignment horizontal="left"/>
    </xf>
    <xf numFmtId="9" fontId="15" fillId="0" borderId="4" xfId="0" applyNumberFormat="1" applyFont="1" applyFill="1" applyBorder="1" applyAlignment="1">
      <alignment horizontal="left"/>
    </xf>
    <xf numFmtId="0" fontId="53" fillId="0" borderId="79" xfId="0" applyFont="1" applyFill="1" applyBorder="1"/>
    <xf numFmtId="0" fontId="53" fillId="0" borderId="4" xfId="0" applyFont="1" applyFill="1" applyBorder="1"/>
    <xf numFmtId="0" fontId="53" fillId="0" borderId="78" xfId="0" applyFont="1" applyFill="1" applyBorder="1"/>
    <xf numFmtId="0" fontId="53" fillId="0" borderId="4" xfId="0" applyFont="1" applyFill="1" applyBorder="1" applyAlignment="1"/>
    <xf numFmtId="0" fontId="53" fillId="0" borderId="79" xfId="0" applyFont="1" applyFill="1" applyBorder="1" applyAlignment="1"/>
    <xf numFmtId="0" fontId="53" fillId="0" borderId="79" xfId="0" applyFont="1" applyFill="1" applyBorder="1" applyAlignment="1">
      <alignment horizontal="left"/>
    </xf>
    <xf numFmtId="0" fontId="53" fillId="0" borderId="4" xfId="0" applyFont="1" applyFill="1" applyBorder="1" applyAlignment="1">
      <alignment horizontal="left"/>
    </xf>
    <xf numFmtId="0" fontId="81" fillId="3" borderId="0" xfId="0" applyFont="1" applyFill="1" applyBorder="1" applyAlignment="1">
      <alignment wrapText="1"/>
    </xf>
    <xf numFmtId="0" fontId="81" fillId="0" borderId="0" xfId="0" applyFont="1" applyFill="1" applyBorder="1" applyAlignment="1">
      <alignment horizontal="left" indent="2"/>
    </xf>
    <xf numFmtId="0" fontId="81" fillId="0" borderId="0" xfId="0" applyFont="1" applyFill="1" applyBorder="1" applyAlignment="1">
      <alignment wrapText="1"/>
    </xf>
    <xf numFmtId="0" fontId="81" fillId="0" borderId="0" xfId="0" applyFont="1" applyFill="1" applyBorder="1"/>
    <xf numFmtId="0" fontId="81" fillId="0" borderId="0" xfId="0" applyFont="1" applyFill="1" applyBorder="1" applyAlignment="1">
      <alignment horizontal="left"/>
    </xf>
    <xf numFmtId="1" fontId="81" fillId="0" borderId="0" xfId="0" applyNumberFormat="1" applyFont="1" applyFill="1" applyBorder="1" applyAlignment="1">
      <alignment horizontal="right"/>
    </xf>
    <xf numFmtId="0" fontId="82" fillId="0" borderId="0" xfId="0" applyFont="1" applyFill="1" applyBorder="1"/>
    <xf numFmtId="165" fontId="80" fillId="0" borderId="0" xfId="0" applyNumberFormat="1" applyFont="1" applyFill="1" applyBorder="1" applyAlignment="1">
      <alignment horizontal="right"/>
    </xf>
    <xf numFmtId="0" fontId="86" fillId="0" borderId="0" xfId="0" applyFont="1" applyFill="1" applyBorder="1" applyAlignment="1"/>
    <xf numFmtId="0" fontId="81" fillId="0" borderId="0" xfId="0" applyFont="1" applyFill="1" applyBorder="1" applyAlignment="1"/>
    <xf numFmtId="0" fontId="15" fillId="0" borderId="0" xfId="0" applyFont="1" applyFill="1"/>
    <xf numFmtId="0" fontId="17" fillId="0" borderId="0" xfId="0" applyFont="1" applyFill="1"/>
    <xf numFmtId="0" fontId="15" fillId="6" borderId="0" xfId="0" applyFont="1" applyFill="1"/>
    <xf numFmtId="0" fontId="17" fillId="6" borderId="0" xfId="0" applyFont="1" applyFill="1"/>
    <xf numFmtId="0" fontId="72" fillId="0" borderId="0" xfId="0" applyFont="1" applyFill="1" applyBorder="1"/>
    <xf numFmtId="0" fontId="72" fillId="0" borderId="6" xfId="0" applyFont="1" applyFill="1" applyBorder="1" applyAlignment="1"/>
    <xf numFmtId="0" fontId="81" fillId="0" borderId="6" xfId="0" applyFont="1" applyFill="1" applyBorder="1"/>
    <xf numFmtId="0" fontId="72" fillId="0" borderId="6" xfId="0" applyFont="1" applyFill="1" applyBorder="1"/>
    <xf numFmtId="0" fontId="85" fillId="0" borderId="6" xfId="0" applyFont="1" applyFill="1" applyBorder="1" applyAlignment="1">
      <alignment horizontal="center"/>
    </xf>
    <xf numFmtId="0" fontId="72" fillId="0" borderId="0" xfId="0" applyFont="1" applyFill="1" applyBorder="1" applyAlignment="1"/>
    <xf numFmtId="0" fontId="72" fillId="0" borderId="0" xfId="0" applyFont="1" applyFill="1" applyBorder="1" applyAlignment="1">
      <alignment horizontal="center"/>
    </xf>
    <xf numFmtId="44" fontId="80" fillId="0" borderId="0" xfId="0" applyNumberFormat="1" applyFont="1" applyFill="1" applyBorder="1" applyAlignment="1">
      <alignment horizontal="left"/>
    </xf>
    <xf numFmtId="44" fontId="81" fillId="0" borderId="0" xfId="0" applyNumberFormat="1" applyFont="1" applyFill="1" applyBorder="1" applyAlignment="1">
      <alignment horizontal="left"/>
    </xf>
    <xf numFmtId="0" fontId="88" fillId="0" borderId="0" xfId="0" applyFont="1" applyFill="1" applyBorder="1"/>
    <xf numFmtId="0" fontId="72" fillId="0" borderId="0" xfId="0" applyFont="1" applyFill="1" applyBorder="1" applyAlignment="1">
      <alignment wrapText="1"/>
    </xf>
    <xf numFmtId="42" fontId="80" fillId="0" borderId="0" xfId="0" applyNumberFormat="1" applyFont="1" applyFill="1" applyBorder="1" applyAlignment="1">
      <alignment horizontal="right"/>
    </xf>
    <xf numFmtId="0" fontId="85" fillId="0" borderId="0" xfId="0" applyFont="1" applyFill="1" applyBorder="1" applyAlignment="1">
      <alignment horizontal="center"/>
    </xf>
    <xf numFmtId="0" fontId="81" fillId="3" borderId="36" xfId="0" applyFont="1" applyFill="1" applyBorder="1"/>
    <xf numFmtId="0" fontId="81" fillId="3" borderId="34" xfId="0" applyFont="1" applyFill="1" applyBorder="1" applyAlignment="1">
      <alignment wrapText="1"/>
    </xf>
    <xf numFmtId="0" fontId="81" fillId="3" borderId="34" xfId="0" applyFont="1" applyFill="1" applyBorder="1"/>
    <xf numFmtId="0" fontId="81" fillId="5" borderId="34" xfId="0" applyFont="1" applyFill="1" applyBorder="1"/>
    <xf numFmtId="0" fontId="81" fillId="3" borderId="37" xfId="0" applyFont="1" applyFill="1" applyBorder="1"/>
    <xf numFmtId="0" fontId="81" fillId="3" borderId="31" xfId="0" applyFont="1" applyFill="1" applyBorder="1" applyAlignment="1">
      <alignment wrapText="1"/>
    </xf>
    <xf numFmtId="0" fontId="81" fillId="3" borderId="32" xfId="0" applyFont="1" applyFill="1" applyBorder="1" applyAlignment="1">
      <alignment wrapText="1"/>
    </xf>
    <xf numFmtId="0" fontId="81" fillId="3" borderId="33" xfId="0" applyFont="1" applyFill="1" applyBorder="1"/>
    <xf numFmtId="0" fontId="81" fillId="5" borderId="33" xfId="0" applyFont="1" applyFill="1" applyBorder="1"/>
    <xf numFmtId="0" fontId="81" fillId="3" borderId="35" xfId="0" applyFont="1" applyFill="1" applyBorder="1"/>
    <xf numFmtId="0" fontId="0" fillId="5" borderId="33" xfId="0" applyFill="1" applyBorder="1"/>
    <xf numFmtId="0" fontId="0" fillId="5" borderId="30" xfId="0" applyFill="1" applyBorder="1"/>
    <xf numFmtId="0" fontId="0" fillId="5" borderId="34" xfId="0" applyFill="1" applyBorder="1"/>
    <xf numFmtId="0" fontId="85" fillId="0" borderId="0" xfId="0" applyFont="1" applyFill="1" applyBorder="1"/>
    <xf numFmtId="0" fontId="81" fillId="0" borderId="583" xfId="0" applyFont="1" applyFill="1" applyBorder="1" applyAlignment="1"/>
    <xf numFmtId="0" fontId="72" fillId="0" borderId="0" xfId="0" applyFont="1" applyFill="1" applyBorder="1" applyAlignment="1">
      <alignment horizontal="center" wrapText="1"/>
    </xf>
    <xf numFmtId="0" fontId="81" fillId="0" borderId="0" xfId="0" applyFont="1" applyFill="1" applyBorder="1" applyAlignment="1">
      <alignment horizontal="center"/>
    </xf>
    <xf numFmtId="9" fontId="86" fillId="0" borderId="0" xfId="0" applyNumberFormat="1" applyFont="1" applyFill="1" applyBorder="1" applyAlignment="1">
      <alignment horizontal="center"/>
    </xf>
    <xf numFmtId="1" fontId="81" fillId="0" borderId="0" xfId="0" applyNumberFormat="1" applyFont="1" applyFill="1" applyBorder="1"/>
    <xf numFmtId="0" fontId="81" fillId="0" borderId="0" xfId="0" quotePrefix="1" applyFont="1" applyFill="1" applyBorder="1" applyAlignment="1">
      <alignment horizontal="center"/>
    </xf>
    <xf numFmtId="0" fontId="80" fillId="0" borderId="0" xfId="0" applyFont="1" applyFill="1" applyBorder="1"/>
    <xf numFmtId="0" fontId="80" fillId="0" borderId="0" xfId="0" applyFont="1" applyFill="1" applyBorder="1" applyAlignment="1"/>
    <xf numFmtId="172" fontId="81" fillId="0" borderId="0" xfId="0" applyNumberFormat="1" applyFont="1" applyFill="1" applyBorder="1" applyAlignment="1">
      <alignment horizontal="left"/>
    </xf>
    <xf numFmtId="0" fontId="86" fillId="0" borderId="0" xfId="0" applyFont="1" applyFill="1" applyBorder="1" applyAlignment="1">
      <alignment horizontal="left"/>
    </xf>
    <xf numFmtId="0" fontId="84" fillId="0" borderId="0" xfId="0" applyFont="1" applyFill="1" applyBorder="1"/>
    <xf numFmtId="0" fontId="87" fillId="0" borderId="584" xfId="0" applyFont="1" applyFill="1" applyBorder="1"/>
    <xf numFmtId="0" fontId="81" fillId="0" borderId="585" xfId="0" applyFont="1" applyFill="1" applyBorder="1"/>
    <xf numFmtId="0" fontId="81" fillId="0" borderId="586" xfId="0" applyFont="1" applyFill="1" applyBorder="1"/>
    <xf numFmtId="0" fontId="72" fillId="0" borderId="583" xfId="0" applyFont="1" applyFill="1" applyBorder="1" applyAlignment="1">
      <alignment horizontal="center" wrapText="1"/>
    </xf>
    <xf numFmtId="0" fontId="81" fillId="0" borderId="587" xfId="0" applyFont="1" applyFill="1" applyBorder="1"/>
    <xf numFmtId="0" fontId="81" fillId="0" borderId="588" xfId="0" applyFont="1" applyFill="1" applyBorder="1"/>
    <xf numFmtId="0" fontId="81" fillId="0" borderId="589" xfId="0" applyFont="1" applyFill="1" applyBorder="1"/>
    <xf numFmtId="1" fontId="81" fillId="0" borderId="589" xfId="0" applyNumberFormat="1" applyFont="1" applyFill="1" applyBorder="1"/>
    <xf numFmtId="0" fontId="72" fillId="0" borderId="589" xfId="0" applyFont="1" applyFill="1" applyBorder="1" applyAlignment="1"/>
    <xf numFmtId="0" fontId="81" fillId="0" borderId="590" xfId="0" applyFont="1" applyFill="1" applyBorder="1"/>
    <xf numFmtId="0" fontId="15" fillId="0" borderId="78" xfId="0" applyFont="1" applyFill="1" applyBorder="1"/>
    <xf numFmtId="0" fontId="15" fillId="0" borderId="79" xfId="0" applyFont="1" applyFill="1" applyBorder="1"/>
    <xf numFmtId="0" fontId="15" fillId="0" borderId="4" xfId="0" applyFont="1" applyFill="1" applyBorder="1"/>
    <xf numFmtId="9" fontId="15" fillId="0" borderId="78" xfId="0" applyNumberFormat="1" applyFont="1" applyFill="1" applyBorder="1"/>
    <xf numFmtId="9" fontId="15" fillId="0" borderId="4" xfId="0" applyNumberFormat="1" applyFont="1" applyFill="1" applyBorder="1"/>
    <xf numFmtId="9" fontId="15" fillId="0" borderId="79" xfId="0" applyNumberFormat="1" applyFont="1" applyFill="1" applyBorder="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3" fillId="0" borderId="33" xfId="0" applyFont="1" applyFill="1" applyBorder="1" applyAlignment="1" applyProtection="1">
      <alignment vertical="center"/>
      <protection locked="0"/>
    </xf>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3" xfId="0" applyFont="1" applyFill="1" applyBorder="1" applyAlignment="1" applyProtection="1"/>
    <xf numFmtId="0" fontId="20" fillId="0" borderId="0" xfId="0" applyFont="1" applyBorder="1" applyProtection="1">
      <protection locked="0"/>
    </xf>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9" fontId="54" fillId="6" borderId="428" xfId="0" applyNumberFormat="1" applyFont="1" applyFill="1" applyBorder="1" applyProtection="1"/>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16" fillId="0" borderId="0" xfId="0" applyFont="1" applyBorder="1" applyProtection="1">
      <protection locked="0"/>
    </xf>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0" fontId="42" fillId="0" borderId="60" xfId="0" applyNumberFormat="1" applyFont="1" applyBorder="1" applyProtection="1"/>
    <xf numFmtId="0" fontId="0" fillId="0" borderId="36" xfId="0" applyBorder="1" applyProtection="1"/>
    <xf numFmtId="0" fontId="16" fillId="0" borderId="77" xfId="0" applyFont="1" applyBorder="1" applyProtection="1">
      <protection locked="0"/>
    </xf>
    <xf numFmtId="0" fontId="16" fillId="0" borderId="34" xfId="0" applyFont="1" applyBorder="1" applyProtection="1">
      <protection locked="0"/>
    </xf>
    <xf numFmtId="0" fontId="2" fillId="16" borderId="9" xfId="0" applyFont="1" applyFill="1" applyBorder="1" applyAlignment="1" applyProtection="1">
      <alignment horizontal="center" wrapText="1"/>
      <protection locked="0"/>
    </xf>
    <xf numFmtId="0" fontId="17" fillId="16" borderId="115" xfId="0" applyFont="1" applyFill="1" applyBorder="1" applyProtection="1">
      <protection locked="0"/>
    </xf>
    <xf numFmtId="0" fontId="17" fillId="16" borderId="90" xfId="0" applyFont="1" applyFill="1" applyBorder="1" applyProtection="1">
      <protection locked="0"/>
    </xf>
    <xf numFmtId="0" fontId="2" fillId="16" borderId="90" xfId="0" applyFont="1" applyFill="1" applyBorder="1" applyProtection="1">
      <protection locked="0"/>
    </xf>
    <xf numFmtId="0" fontId="2" fillId="16" borderId="137" xfId="0" applyFont="1" applyFill="1" applyBorder="1" applyProtection="1">
      <protection locked="0"/>
    </xf>
    <xf numFmtId="0" fontId="2" fillId="9" borderId="238" xfId="0" applyFont="1" applyFill="1" applyBorder="1" applyAlignment="1" applyProtection="1">
      <alignment wrapText="1"/>
      <protection locked="0"/>
    </xf>
    <xf numFmtId="0" fontId="16" fillId="0" borderId="43" xfId="0" applyFont="1" applyBorder="1" applyProtection="1">
      <protection locked="0"/>
    </xf>
    <xf numFmtId="9" fontId="40" fillId="16" borderId="246" xfId="0" applyNumberFormat="1" applyFont="1" applyFill="1" applyBorder="1" applyAlignment="1" applyProtection="1">
      <alignment horizontal="center" vertical="center" wrapText="1"/>
      <protection locked="0"/>
    </xf>
    <xf numFmtId="41" fontId="15" fillId="6" borderId="286" xfId="0" applyNumberFormat="1" applyFont="1" applyFill="1" applyBorder="1" applyAlignment="1" applyProtection="1">
      <alignment horizontal="center"/>
      <protection locked="0"/>
    </xf>
    <xf numFmtId="41" fontId="15" fillId="6" borderId="287" xfId="0" applyNumberFormat="1" applyFont="1" applyFill="1" applyBorder="1" applyAlignment="1" applyProtection="1">
      <alignment horizontal="center"/>
      <protection locked="0"/>
    </xf>
    <xf numFmtId="41" fontId="15" fillId="6" borderId="308" xfId="0" applyNumberFormat="1" applyFont="1" applyFill="1" applyBorder="1" applyAlignment="1" applyProtection="1">
      <alignment horizontal="center"/>
      <protection locked="0"/>
    </xf>
    <xf numFmtId="0" fontId="16" fillId="9" borderId="288" xfId="0" applyFont="1" applyFill="1" applyBorder="1" applyAlignment="1" applyProtection="1">
      <alignment horizontal="center"/>
      <protection locked="0"/>
    </xf>
    <xf numFmtId="9" fontId="40" fillId="16" borderId="251" xfId="0" applyNumberFormat="1" applyFont="1" applyFill="1" applyBorder="1" applyAlignment="1" applyProtection="1">
      <alignment horizontal="center" vertical="center" wrapText="1"/>
      <protection locked="0"/>
    </xf>
    <xf numFmtId="41" fontId="15" fillId="6" borderId="289" xfId="0" applyNumberFormat="1" applyFont="1" applyFill="1" applyBorder="1" applyAlignment="1" applyProtection="1">
      <alignment horizontal="center"/>
      <protection locked="0"/>
    </xf>
    <xf numFmtId="41" fontId="15" fillId="6" borderId="290" xfId="0" applyNumberFormat="1" applyFont="1" applyFill="1" applyBorder="1" applyAlignment="1" applyProtection="1">
      <alignment horizontal="center"/>
      <protection locked="0"/>
    </xf>
    <xf numFmtId="41" fontId="15" fillId="6" borderId="309" xfId="0" applyNumberFormat="1" applyFont="1" applyFill="1" applyBorder="1" applyAlignment="1" applyProtection="1">
      <alignment horizontal="center"/>
      <protection locked="0"/>
    </xf>
    <xf numFmtId="0" fontId="16" fillId="9" borderId="291" xfId="0" applyFont="1" applyFill="1" applyBorder="1" applyAlignment="1" applyProtection="1">
      <alignment horizontal="center"/>
      <protection locked="0"/>
    </xf>
    <xf numFmtId="9" fontId="40" fillId="16" borderId="65" xfId="0" applyNumberFormat="1" applyFont="1" applyFill="1" applyBorder="1" applyAlignment="1" applyProtection="1">
      <alignment horizontal="center" vertical="center" wrapText="1"/>
      <protection locked="0"/>
    </xf>
    <xf numFmtId="41" fontId="15" fillId="6" borderId="310" xfId="0" applyNumberFormat="1" applyFont="1" applyFill="1" applyBorder="1" applyAlignment="1" applyProtection="1">
      <alignment horizontal="center"/>
      <protection locked="0"/>
    </xf>
    <xf numFmtId="41" fontId="15" fillId="6" borderId="105" xfId="0" applyNumberFormat="1" applyFont="1" applyFill="1" applyBorder="1" applyAlignment="1" applyProtection="1">
      <alignment horizontal="center"/>
      <protection locked="0"/>
    </xf>
    <xf numFmtId="41" fontId="15" fillId="6" borderId="311" xfId="0" applyNumberFormat="1" applyFont="1" applyFill="1" applyBorder="1" applyAlignment="1" applyProtection="1">
      <alignment horizontal="center"/>
      <protection locked="0"/>
    </xf>
    <xf numFmtId="0" fontId="16" fillId="9" borderId="125" xfId="0" applyFont="1" applyFill="1" applyBorder="1" applyAlignment="1" applyProtection="1">
      <alignment horizontal="center"/>
      <protection locked="0"/>
    </xf>
    <xf numFmtId="9" fontId="40" fillId="16" borderId="112" xfId="0" applyNumberFormat="1" applyFont="1" applyFill="1" applyBorder="1" applyAlignment="1" applyProtection="1">
      <alignment horizontal="center" vertical="center" wrapText="1"/>
      <protection locked="0"/>
    </xf>
    <xf numFmtId="0" fontId="16" fillId="9" borderId="234" xfId="0" applyFont="1" applyFill="1" applyBorder="1" applyAlignment="1" applyProtection="1">
      <alignment horizontal="center"/>
      <protection locked="0"/>
    </xf>
    <xf numFmtId="0" fontId="0" fillId="9" borderId="234" xfId="0" applyFont="1" applyFill="1" applyBorder="1" applyAlignment="1" applyProtection="1">
      <alignment horizontal="center"/>
      <protection locked="0"/>
    </xf>
    <xf numFmtId="0" fontId="20" fillId="9" borderId="64" xfId="0" applyFont="1" applyFill="1" applyBorder="1" applyAlignment="1" applyProtection="1">
      <alignment horizontal="center"/>
      <protection locked="0"/>
    </xf>
    <xf numFmtId="10" fontId="7" fillId="16" borderId="304" xfId="0" applyNumberFormat="1" applyFont="1" applyFill="1" applyBorder="1" applyAlignment="1" applyProtection="1">
      <alignment horizontal="center" vertical="center" wrapText="1"/>
      <protection locked="0"/>
    </xf>
    <xf numFmtId="41" fontId="15" fillId="6" borderId="292" xfId="0" applyNumberFormat="1" applyFont="1" applyFill="1" applyBorder="1" applyAlignment="1" applyProtection="1">
      <alignment horizontal="center"/>
      <protection locked="0"/>
    </xf>
    <xf numFmtId="41" fontId="15" fillId="6" borderId="293" xfId="0" applyNumberFormat="1" applyFont="1" applyFill="1" applyBorder="1" applyAlignment="1" applyProtection="1">
      <alignment horizontal="center"/>
      <protection locked="0"/>
    </xf>
    <xf numFmtId="41" fontId="15" fillId="6" borderId="312" xfId="0" applyNumberFormat="1" applyFont="1" applyFill="1" applyBorder="1" applyAlignment="1" applyProtection="1">
      <alignment horizontal="center"/>
      <protection locked="0"/>
    </xf>
    <xf numFmtId="0" fontId="16" fillId="9" borderId="295" xfId="0" applyFont="1" applyFill="1" applyBorder="1" applyAlignment="1" applyProtection="1">
      <alignment horizontal="center"/>
      <protection locked="0"/>
    </xf>
    <xf numFmtId="10" fontId="7" fillId="16" borderId="305" xfId="0" applyNumberFormat="1" applyFont="1" applyFill="1" applyBorder="1" applyAlignment="1" applyProtection="1">
      <alignment horizontal="center" vertical="center" wrapText="1"/>
      <protection locked="0"/>
    </xf>
    <xf numFmtId="41" fontId="15" fillId="6" borderId="300" xfId="0" applyNumberFormat="1" applyFont="1" applyFill="1" applyBorder="1" applyAlignment="1" applyProtection="1">
      <alignment horizontal="center"/>
      <protection locked="0"/>
    </xf>
    <xf numFmtId="41" fontId="15" fillId="6" borderId="301" xfId="0" applyNumberFormat="1" applyFont="1" applyFill="1" applyBorder="1" applyAlignment="1" applyProtection="1">
      <alignment horizontal="center"/>
      <protection locked="0"/>
    </xf>
    <xf numFmtId="41" fontId="15" fillId="6" borderId="313" xfId="0" applyNumberFormat="1" applyFont="1" applyFill="1" applyBorder="1" applyAlignment="1" applyProtection="1">
      <alignment horizontal="center"/>
      <protection locked="0"/>
    </xf>
    <xf numFmtId="0" fontId="16" fillId="9" borderId="299" xfId="0" applyFont="1" applyFill="1" applyBorder="1" applyAlignment="1" applyProtection="1">
      <alignment horizontal="center"/>
      <protection locked="0"/>
    </xf>
    <xf numFmtId="9" fontId="40" fillId="16" borderId="1" xfId="0" applyNumberFormat="1" applyFont="1" applyFill="1" applyBorder="1" applyAlignment="1" applyProtection="1">
      <alignment horizontal="center" vertical="center" wrapText="1"/>
      <protection locked="0"/>
    </xf>
    <xf numFmtId="0" fontId="16" fillId="9" borderId="116" xfId="0" applyFont="1" applyFill="1" applyBorder="1" applyAlignment="1" applyProtection="1">
      <alignment horizontal="center"/>
      <protection locked="0"/>
    </xf>
    <xf numFmtId="0" fontId="16" fillId="9" borderId="284" xfId="0" applyFont="1" applyFill="1" applyBorder="1" applyAlignment="1" applyProtection="1">
      <alignment horizontal="center"/>
      <protection locked="0"/>
    </xf>
    <xf numFmtId="0" fontId="16" fillId="9" borderId="104" xfId="0" applyFont="1" applyFill="1" applyBorder="1" applyAlignment="1" applyProtection="1">
      <alignment horizontal="center"/>
      <protection locked="0"/>
    </xf>
    <xf numFmtId="0" fontId="0" fillId="9" borderId="104" xfId="0" applyFont="1" applyFill="1" applyBorder="1" applyAlignment="1" applyProtection="1">
      <alignment horizontal="center"/>
      <protection locked="0"/>
    </xf>
    <xf numFmtId="0" fontId="20" fillId="9" borderId="87" xfId="0" applyFont="1" applyFill="1" applyBorder="1" applyAlignment="1" applyProtection="1">
      <alignment horizontal="center"/>
      <protection locked="0"/>
    </xf>
    <xf numFmtId="9" fontId="40" fillId="21" borderId="9" xfId="0" applyNumberFormat="1" applyFont="1" applyFill="1" applyBorder="1" applyAlignment="1" applyProtection="1">
      <alignment horizontal="center" vertical="center" wrapText="1"/>
      <protection locked="0"/>
    </xf>
    <xf numFmtId="0" fontId="16" fillId="21" borderId="7" xfId="0" applyFont="1" applyFill="1" applyBorder="1" applyAlignment="1" applyProtection="1">
      <alignment horizontal="center"/>
      <protection locked="0"/>
    </xf>
    <xf numFmtId="0" fontId="16" fillId="21" borderId="226" xfId="0" applyFont="1" applyFill="1" applyBorder="1" applyAlignment="1" applyProtection="1">
      <alignment horizontal="center"/>
      <protection locked="0"/>
    </xf>
    <xf numFmtId="0" fontId="0" fillId="21" borderId="7" xfId="0" applyFont="1" applyFill="1" applyBorder="1" applyAlignment="1" applyProtection="1">
      <alignment horizontal="center"/>
      <protection locked="0"/>
    </xf>
    <xf numFmtId="0" fontId="20" fillId="21" borderId="230" xfId="0" applyFont="1" applyFill="1" applyBorder="1" applyAlignment="1" applyProtection="1">
      <alignment horizontal="center"/>
      <protection locked="0"/>
    </xf>
    <xf numFmtId="9" fontId="40" fillId="16" borderId="285" xfId="0" applyNumberFormat="1" applyFont="1" applyFill="1" applyBorder="1" applyAlignment="1" applyProtection="1">
      <alignment horizontal="center" vertical="center" wrapText="1"/>
      <protection locked="0"/>
    </xf>
    <xf numFmtId="0" fontId="16" fillId="6" borderId="286" xfId="0" applyFont="1" applyFill="1" applyBorder="1" applyAlignment="1" applyProtection="1">
      <alignment horizontal="center"/>
      <protection locked="0"/>
    </xf>
    <xf numFmtId="0" fontId="16" fillId="6" borderId="287" xfId="0" applyFont="1" applyFill="1" applyBorder="1" applyAlignment="1" applyProtection="1">
      <alignment horizontal="center"/>
      <protection locked="0"/>
    </xf>
    <xf numFmtId="0" fontId="16" fillId="6" borderId="278" xfId="0" applyFont="1" applyFill="1" applyBorder="1" applyAlignment="1" applyProtection="1">
      <alignment horizontal="center"/>
      <protection locked="0"/>
    </xf>
    <xf numFmtId="0" fontId="16" fillId="9" borderId="224" xfId="0" applyFont="1" applyFill="1" applyBorder="1" applyAlignment="1" applyProtection="1">
      <alignment horizontal="center"/>
      <protection locked="0"/>
    </xf>
    <xf numFmtId="0" fontId="2" fillId="16" borderId="307" xfId="0" applyFont="1" applyFill="1" applyBorder="1" applyAlignment="1" applyProtection="1">
      <alignment horizontal="center" vertical="center"/>
      <protection locked="0"/>
    </xf>
    <xf numFmtId="0" fontId="16" fillId="6" borderId="300" xfId="0" applyFont="1" applyFill="1" applyBorder="1" applyAlignment="1" applyProtection="1">
      <alignment horizontal="center"/>
      <protection locked="0"/>
    </xf>
    <xf numFmtId="0" fontId="16" fillId="6" borderId="301" xfId="0" applyFont="1" applyFill="1" applyBorder="1" applyAlignment="1" applyProtection="1">
      <alignment horizontal="center"/>
      <protection locked="0"/>
    </xf>
    <xf numFmtId="0" fontId="16" fillId="6" borderId="314" xfId="0" applyFont="1" applyFill="1" applyBorder="1" applyAlignment="1" applyProtection="1">
      <alignment horizontal="center"/>
      <protection locked="0"/>
    </xf>
    <xf numFmtId="0" fontId="20" fillId="21" borderId="114" xfId="0" applyFont="1" applyFill="1" applyBorder="1" applyAlignment="1" applyProtection="1">
      <alignment horizontal="center"/>
      <protection locked="0"/>
    </xf>
    <xf numFmtId="42" fontId="5" fillId="6" borderId="458"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9"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50" xfId="0" applyNumberFormat="1" applyFont="1" applyFill="1" applyBorder="1" applyAlignment="1" applyProtection="1"/>
    <xf numFmtId="42" fontId="16" fillId="6" borderId="448"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4"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9"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91"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85" fillId="0" borderId="234" xfId="0" applyFont="1" applyFill="1" applyBorder="1" applyProtection="1">
      <protection locked="0"/>
    </xf>
    <xf numFmtId="9" fontId="81" fillId="0" borderId="583" xfId="0" applyNumberFormat="1" applyFont="1" applyFill="1" applyBorder="1" applyAlignment="1" applyProtection="1">
      <alignment horizontal="center"/>
      <protection locked="0"/>
    </xf>
    <xf numFmtId="9" fontId="86" fillId="0" borderId="583" xfId="0" applyNumberFormat="1" applyFont="1" applyFill="1" applyBorder="1" applyAlignment="1" applyProtection="1">
      <alignment horizontal="center"/>
      <protection locked="0"/>
    </xf>
    <xf numFmtId="1" fontId="81" fillId="0" borderId="570" xfId="0" applyNumberFormat="1" applyFont="1" applyFill="1" applyBorder="1" applyProtection="1">
      <protection locked="0"/>
    </xf>
    <xf numFmtId="1" fontId="81" fillId="0" borderId="570" xfId="0" applyNumberFormat="1" applyFont="1" applyFill="1" applyBorder="1" applyAlignment="1" applyProtection="1">
      <alignment horizontal="right"/>
      <protection locked="0"/>
    </xf>
    <xf numFmtId="44" fontId="81" fillId="0" borderId="570" xfId="0" applyNumberFormat="1" applyFont="1" applyFill="1" applyBorder="1" applyAlignment="1" applyProtection="1">
      <alignment horizontal="right"/>
      <protection locked="0"/>
    </xf>
    <xf numFmtId="172" fontId="81" fillId="0" borderId="570" xfId="0" applyNumberFormat="1" applyFont="1" applyFill="1" applyBorder="1" applyAlignment="1" applyProtection="1">
      <alignment horizontal="left"/>
      <protection locked="0"/>
    </xf>
    <xf numFmtId="42" fontId="80" fillId="0" borderId="570" xfId="0" applyNumberFormat="1" applyFont="1" applyFill="1" applyBorder="1" applyAlignment="1" applyProtection="1">
      <alignment horizontal="right"/>
      <protection locked="0"/>
    </xf>
    <xf numFmtId="10" fontId="80" fillId="0" borderId="570" xfId="0" applyNumberFormat="1" applyFont="1" applyFill="1" applyBorder="1" applyAlignment="1" applyProtection="1">
      <alignment horizontal="right"/>
      <protection locked="0"/>
    </xf>
    <xf numFmtId="0" fontId="81" fillId="0" borderId="87" xfId="0" applyFont="1" applyFill="1" applyBorder="1" applyProtection="1">
      <protection locked="0"/>
    </xf>
    <xf numFmtId="168" fontId="80" fillId="0" borderId="570" xfId="0" applyNumberFormat="1" applyFont="1" applyFill="1" applyBorder="1" applyAlignment="1" applyProtection="1">
      <alignment horizontal="right"/>
      <protection locked="0"/>
    </xf>
    <xf numFmtId="1" fontId="81" fillId="0" borderId="570" xfId="0" applyNumberFormat="1" applyFont="1" applyFill="1" applyBorder="1" applyAlignment="1" applyProtection="1">
      <alignment horizontal="right"/>
    </xf>
    <xf numFmtId="0" fontId="97" fillId="0" borderId="0" xfId="0" applyFont="1" applyProtection="1">
      <protection locked="0"/>
    </xf>
    <xf numFmtId="0" fontId="81" fillId="3" borderId="0" xfId="0" applyFont="1" applyFill="1" applyBorder="1" applyProtection="1">
      <protection locked="0"/>
    </xf>
    <xf numFmtId="0" fontId="81" fillId="3" borderId="0" xfId="0" applyFont="1" applyFill="1" applyBorder="1" applyAlignment="1" applyProtection="1">
      <alignment wrapText="1"/>
      <protection locked="0"/>
    </xf>
    <xf numFmtId="0" fontId="81" fillId="0" borderId="0" xfId="0" applyFont="1" applyFill="1" applyBorder="1" applyProtection="1">
      <protection locked="0"/>
    </xf>
    <xf numFmtId="9" fontId="81" fillId="5" borderId="574" xfId="0" applyNumberFormat="1" applyFont="1" applyFill="1" applyBorder="1" applyAlignment="1" applyProtection="1">
      <alignment horizontal="center"/>
      <protection locked="0"/>
    </xf>
    <xf numFmtId="1" fontId="81" fillId="0" borderId="582" xfId="0" applyNumberFormat="1" applyFont="1" applyFill="1" applyBorder="1" applyProtection="1">
      <protection locked="0"/>
    </xf>
    <xf numFmtId="1" fontId="81" fillId="0" borderId="582" xfId="0" applyNumberFormat="1" applyFont="1" applyFill="1" applyBorder="1" applyAlignment="1" applyProtection="1">
      <alignment horizontal="right"/>
      <protection locked="0"/>
    </xf>
    <xf numFmtId="37" fontId="80" fillId="0" borderId="582" xfId="0" applyNumberFormat="1" applyFont="1" applyFill="1" applyBorder="1" applyAlignment="1" applyProtection="1">
      <alignment horizontal="right"/>
      <protection locked="0"/>
    </xf>
    <xf numFmtId="0" fontId="81" fillId="5" borderId="0" xfId="0" applyFont="1" applyFill="1" applyBorder="1" applyProtection="1">
      <protection locked="0"/>
    </xf>
    <xf numFmtId="0" fontId="84" fillId="0" borderId="582" xfId="0" applyFont="1" applyFill="1" applyBorder="1" applyAlignment="1" applyProtection="1">
      <alignment horizontal="center" vertical="center"/>
      <protection locked="0"/>
    </xf>
    <xf numFmtId="0" fontId="81" fillId="3" borderId="30" xfId="0" applyFont="1" applyFill="1" applyBorder="1" applyAlignment="1" applyProtection="1">
      <alignment wrapText="1"/>
    </xf>
    <xf numFmtId="0" fontId="81" fillId="3" borderId="31" xfId="0" applyFont="1" applyFill="1" applyBorder="1" applyAlignment="1" applyProtection="1">
      <alignment wrapText="1"/>
    </xf>
    <xf numFmtId="0" fontId="81" fillId="3" borderId="32" xfId="0" applyFont="1" applyFill="1" applyBorder="1" applyAlignment="1" applyProtection="1">
      <alignment wrapText="1"/>
    </xf>
    <xf numFmtId="0" fontId="81" fillId="3" borderId="33" xfId="0" applyFont="1" applyFill="1" applyBorder="1" applyAlignment="1" applyProtection="1">
      <alignment wrapText="1"/>
    </xf>
    <xf numFmtId="0" fontId="81" fillId="3" borderId="34" xfId="0" applyFont="1" applyFill="1" applyBorder="1" applyAlignment="1" applyProtection="1">
      <alignment wrapText="1"/>
    </xf>
    <xf numFmtId="0" fontId="81" fillId="3" borderId="0" xfId="0" applyFont="1" applyFill="1" applyBorder="1" applyAlignment="1" applyProtection="1">
      <alignment wrapText="1"/>
    </xf>
    <xf numFmtId="0" fontId="81" fillId="3" borderId="33" xfId="0" applyFont="1" applyFill="1" applyBorder="1" applyProtection="1"/>
    <xf numFmtId="0" fontId="81" fillId="3" borderId="0" xfId="0" applyFont="1" applyFill="1" applyBorder="1" applyProtection="1"/>
    <xf numFmtId="0" fontId="81" fillId="3" borderId="34" xfId="0" applyFont="1" applyFill="1" applyBorder="1" applyProtection="1"/>
    <xf numFmtId="0" fontId="81" fillId="3" borderId="0" xfId="0" applyFont="1" applyFill="1" applyBorder="1" applyAlignment="1" applyProtection="1"/>
    <xf numFmtId="0" fontId="72" fillId="3" borderId="0" xfId="0" applyFont="1" applyFill="1" applyBorder="1" applyProtection="1"/>
    <xf numFmtId="0" fontId="72" fillId="3" borderId="6" xfId="0" applyFont="1" applyFill="1" applyBorder="1" applyAlignment="1" applyProtection="1"/>
    <xf numFmtId="0" fontId="81" fillId="3" borderId="6" xfId="0" applyFont="1" applyFill="1" applyBorder="1" applyProtection="1"/>
    <xf numFmtId="0" fontId="72" fillId="3" borderId="6" xfId="0" applyFont="1" applyFill="1" applyBorder="1" applyProtection="1"/>
    <xf numFmtId="0" fontId="85" fillId="5" borderId="6" xfId="0" applyFont="1" applyFill="1" applyBorder="1" applyAlignment="1" applyProtection="1">
      <alignment horizontal="center"/>
    </xf>
    <xf numFmtId="0" fontId="72" fillId="3" borderId="0" xfId="0" applyFont="1" applyFill="1" applyBorder="1" applyAlignment="1" applyProtection="1"/>
    <xf numFmtId="0" fontId="72" fillId="5" borderId="0" xfId="0" applyFont="1" applyFill="1" applyBorder="1" applyProtection="1"/>
    <xf numFmtId="0" fontId="72" fillId="0" borderId="0" xfId="0" applyFont="1" applyFill="1" applyBorder="1" applyProtection="1"/>
    <xf numFmtId="0" fontId="85" fillId="5" borderId="0" xfId="0" applyFont="1" applyFill="1" applyBorder="1" applyProtection="1"/>
    <xf numFmtId="0" fontId="86" fillId="0" borderId="574" xfId="0" applyFont="1" applyFill="1" applyBorder="1" applyProtection="1"/>
    <xf numFmtId="0" fontId="81" fillId="0" borderId="0" xfId="0" applyFont="1" applyFill="1" applyBorder="1" applyAlignment="1" applyProtection="1">
      <alignment horizontal="left" indent="2"/>
    </xf>
    <xf numFmtId="0" fontId="81" fillId="0" borderId="0" xfId="0" applyFont="1" applyFill="1" applyBorder="1" applyAlignment="1" applyProtection="1">
      <alignment wrapText="1"/>
    </xf>
    <xf numFmtId="0" fontId="81" fillId="0" borderId="0" xfId="0" applyFont="1" applyFill="1" applyBorder="1" applyProtection="1"/>
    <xf numFmtId="0" fontId="87" fillId="5" borderId="571" xfId="0" applyFont="1" applyFill="1" applyBorder="1" applyProtection="1"/>
    <xf numFmtId="0" fontId="81" fillId="3" borderId="572" xfId="0" applyFont="1" applyFill="1" applyBorder="1" applyProtection="1"/>
    <xf numFmtId="0" fontId="81" fillId="3" borderId="573" xfId="0" applyFont="1" applyFill="1" applyBorder="1" applyProtection="1"/>
    <xf numFmtId="0" fontId="81" fillId="3" borderId="574" xfId="0" applyFont="1" applyFill="1" applyBorder="1" applyProtection="1"/>
    <xf numFmtId="0" fontId="72" fillId="3" borderId="574" xfId="0" applyFont="1" applyFill="1" applyBorder="1" applyAlignment="1" applyProtection="1">
      <alignment horizontal="center" wrapText="1"/>
    </xf>
    <xf numFmtId="0" fontId="72" fillId="3" borderId="0" xfId="0" applyFont="1" applyFill="1" applyBorder="1" applyAlignment="1" applyProtection="1">
      <alignment wrapText="1"/>
    </xf>
    <xf numFmtId="0" fontId="72" fillId="3" borderId="0" xfId="0" applyFont="1" applyFill="1" applyBorder="1" applyAlignment="1" applyProtection="1">
      <alignment horizontal="center" wrapText="1"/>
    </xf>
    <xf numFmtId="0" fontId="81" fillId="3" borderId="575" xfId="0" applyFont="1" applyFill="1" applyBorder="1" applyProtection="1"/>
    <xf numFmtId="0" fontId="81" fillId="5" borderId="0" xfId="0" applyFont="1" applyFill="1" applyBorder="1" applyAlignment="1" applyProtection="1">
      <alignment horizontal="center"/>
    </xf>
    <xf numFmtId="0" fontId="81" fillId="3" borderId="0" xfId="0" applyFont="1" applyFill="1" applyBorder="1" applyAlignment="1" applyProtection="1">
      <alignment horizontal="center"/>
    </xf>
    <xf numFmtId="9" fontId="86" fillId="5" borderId="0" xfId="0" applyNumberFormat="1" applyFont="1" applyFill="1" applyBorder="1" applyAlignment="1" applyProtection="1">
      <alignment horizontal="center"/>
    </xf>
    <xf numFmtId="0" fontId="81" fillId="3" borderId="576" xfId="0" applyFont="1" applyFill="1" applyBorder="1" applyProtection="1"/>
    <xf numFmtId="0" fontId="81" fillId="3" borderId="577" xfId="0" applyFont="1" applyFill="1" applyBorder="1" applyProtection="1"/>
    <xf numFmtId="1" fontId="81" fillId="3" borderId="577" xfId="0" applyNumberFormat="1" applyFont="1" applyFill="1" applyBorder="1" applyProtection="1"/>
    <xf numFmtId="0" fontId="72" fillId="3" borderId="577" xfId="0" applyFont="1" applyFill="1" applyBorder="1" applyAlignment="1" applyProtection="1"/>
    <xf numFmtId="0" fontId="81" fillId="3" borderId="578" xfId="0" applyFont="1" applyFill="1" applyBorder="1" applyProtection="1"/>
    <xf numFmtId="1" fontId="81" fillId="3" borderId="0" xfId="0" applyNumberFormat="1" applyFont="1" applyFill="1" applyBorder="1" applyProtection="1"/>
    <xf numFmtId="0" fontId="72" fillId="5" borderId="0" xfId="0" applyFont="1" applyFill="1" applyBorder="1" applyAlignment="1" applyProtection="1">
      <alignment horizontal="center"/>
    </xf>
    <xf numFmtId="0" fontId="81" fillId="3" borderId="0" xfId="0" quotePrefix="1" applyFont="1" applyFill="1" applyBorder="1" applyAlignment="1" applyProtection="1">
      <alignment horizontal="center"/>
    </xf>
    <xf numFmtId="0" fontId="81" fillId="5" borderId="0" xfId="0" applyFont="1" applyFill="1" applyBorder="1" applyAlignment="1" applyProtection="1">
      <alignment horizontal="left"/>
    </xf>
    <xf numFmtId="0" fontId="72" fillId="3" borderId="34" xfId="0" applyFont="1" applyFill="1" applyBorder="1" applyAlignment="1" applyProtection="1">
      <alignment wrapText="1"/>
    </xf>
    <xf numFmtId="0" fontId="81" fillId="0" borderId="574" xfId="0" applyFont="1" applyFill="1" applyBorder="1" applyAlignment="1" applyProtection="1">
      <alignment horizontal="left"/>
    </xf>
    <xf numFmtId="0" fontId="81" fillId="5" borderId="574" xfId="0" applyFont="1" applyFill="1" applyBorder="1" applyAlignment="1" applyProtection="1">
      <alignment horizontal="center"/>
    </xf>
    <xf numFmtId="0" fontId="80" fillId="3" borderId="0" xfId="0" applyFont="1" applyFill="1" applyBorder="1" applyProtection="1"/>
    <xf numFmtId="0" fontId="80" fillId="3" borderId="0" xfId="0" applyFont="1" applyFill="1" applyBorder="1" applyAlignment="1" applyProtection="1"/>
    <xf numFmtId="0" fontId="81" fillId="5" borderId="0" xfId="0" applyFont="1" applyFill="1" applyBorder="1" applyAlignment="1" applyProtection="1"/>
    <xf numFmtId="0" fontId="81" fillId="0" borderId="33" xfId="0" applyFont="1" applyFill="1" applyBorder="1" applyProtection="1"/>
    <xf numFmtId="0" fontId="81" fillId="0" borderId="0" xfId="0" applyFont="1" applyFill="1" applyBorder="1" applyAlignment="1" applyProtection="1">
      <alignment horizontal="left"/>
    </xf>
    <xf numFmtId="1" fontId="81" fillId="0" borderId="0" xfId="0" applyNumberFormat="1" applyFont="1" applyFill="1" applyBorder="1" applyAlignment="1" applyProtection="1">
      <alignment horizontal="right"/>
    </xf>
    <xf numFmtId="0" fontId="81" fillId="0" borderId="34" xfId="0" applyFont="1" applyFill="1" applyBorder="1" applyProtection="1"/>
    <xf numFmtId="0" fontId="82" fillId="3" borderId="0" xfId="0" applyFont="1" applyFill="1" applyBorder="1" applyProtection="1"/>
    <xf numFmtId="1" fontId="81" fillId="5" borderId="0" xfId="0" applyNumberFormat="1" applyFont="1" applyFill="1" applyBorder="1" applyAlignment="1" applyProtection="1">
      <alignment horizontal="right"/>
    </xf>
    <xf numFmtId="0" fontId="82" fillId="0" borderId="0" xfId="0" applyFont="1" applyFill="1" applyBorder="1" applyProtection="1"/>
    <xf numFmtId="0" fontId="81" fillId="0" borderId="0" xfId="0" applyFont="1" applyFill="1" applyBorder="1" applyAlignment="1" applyProtection="1">
      <alignment vertical="top"/>
    </xf>
    <xf numFmtId="0" fontId="80" fillId="0" borderId="0" xfId="0" applyFont="1" applyFill="1" applyBorder="1" applyAlignment="1" applyProtection="1">
      <alignment vertical="top"/>
    </xf>
    <xf numFmtId="0" fontId="72" fillId="0" borderId="6" xfId="0" applyFont="1" applyFill="1" applyBorder="1" applyAlignment="1" applyProtection="1"/>
    <xf numFmtId="0" fontId="81" fillId="0" borderId="6" xfId="0" applyFont="1" applyFill="1" applyBorder="1" applyProtection="1"/>
    <xf numFmtId="0" fontId="72" fillId="0" borderId="6" xfId="0" applyFont="1" applyFill="1" applyBorder="1" applyProtection="1"/>
    <xf numFmtId="0" fontId="85" fillId="0" borderId="6" xfId="0" applyFont="1" applyFill="1" applyBorder="1" applyAlignment="1" applyProtection="1">
      <alignment horizontal="center"/>
    </xf>
    <xf numFmtId="0" fontId="72" fillId="0" borderId="0" xfId="0" applyFont="1" applyFill="1" applyBorder="1" applyAlignment="1" applyProtection="1"/>
    <xf numFmtId="0" fontId="72" fillId="0" borderId="0" xfId="0" applyFont="1" applyFill="1" applyBorder="1" applyAlignment="1" applyProtection="1">
      <alignment horizontal="center"/>
    </xf>
    <xf numFmtId="0" fontId="81" fillId="0" borderId="574" xfId="0" applyFont="1" applyFill="1" applyBorder="1" applyAlignment="1" applyProtection="1">
      <alignment horizontal="left" vertical="top"/>
    </xf>
    <xf numFmtId="0" fontId="81" fillId="0" borderId="0" xfId="0" applyFont="1" applyFill="1" applyBorder="1" applyAlignment="1" applyProtection="1">
      <alignment horizontal="left" vertical="top"/>
    </xf>
    <xf numFmtId="44" fontId="80" fillId="0" borderId="0" xfId="0" applyNumberFormat="1" applyFont="1" applyFill="1" applyBorder="1" applyAlignment="1" applyProtection="1">
      <alignment horizontal="left"/>
    </xf>
    <xf numFmtId="37" fontId="80" fillId="0" borderId="574" xfId="0" applyNumberFormat="1" applyFont="1" applyFill="1" applyBorder="1" applyAlignment="1" applyProtection="1">
      <alignment horizontal="right"/>
    </xf>
    <xf numFmtId="37" fontId="80" fillId="0" borderId="0" xfId="0" applyNumberFormat="1" applyFont="1" applyFill="1" applyBorder="1" applyAlignment="1" applyProtection="1">
      <alignment horizontal="right"/>
    </xf>
    <xf numFmtId="37" fontId="80" fillId="0" borderId="0" xfId="0" applyNumberFormat="1" applyFont="1" applyFill="1" applyBorder="1" applyAlignment="1" applyProtection="1"/>
    <xf numFmtId="0" fontId="81" fillId="0" borderId="577" xfId="0" applyFont="1" applyFill="1" applyBorder="1" applyProtection="1"/>
    <xf numFmtId="44" fontId="81" fillId="0" borderId="577" xfId="0" applyNumberFormat="1" applyFont="1" applyFill="1" applyBorder="1" applyAlignment="1" applyProtection="1">
      <alignment horizontal="left"/>
    </xf>
    <xf numFmtId="44" fontId="80" fillId="0" borderId="577" xfId="0" applyNumberFormat="1" applyFont="1" applyFill="1" applyBorder="1" applyAlignment="1" applyProtection="1">
      <alignment horizontal="left"/>
    </xf>
    <xf numFmtId="0" fontId="81" fillId="0" borderId="578" xfId="0" applyFont="1" applyFill="1" applyBorder="1" applyProtection="1"/>
    <xf numFmtId="37" fontId="80" fillId="6" borderId="582" xfId="0" applyNumberFormat="1" applyFont="1" applyFill="1" applyBorder="1" applyAlignment="1" applyProtection="1">
      <alignment horizontal="right"/>
    </xf>
    <xf numFmtId="44" fontId="81" fillId="0" borderId="0" xfId="0" applyNumberFormat="1" applyFont="1" applyFill="1" applyBorder="1" applyAlignment="1" applyProtection="1">
      <alignment horizontal="left"/>
    </xf>
    <xf numFmtId="9" fontId="80" fillId="6" borderId="582" xfId="0" applyNumberFormat="1" applyFont="1" applyFill="1" applyBorder="1" applyAlignment="1" applyProtection="1">
      <alignment horizontal="right"/>
    </xf>
    <xf numFmtId="165" fontId="80" fillId="0" borderId="574" xfId="0" applyNumberFormat="1" applyFont="1" applyFill="1" applyBorder="1" applyAlignment="1" applyProtection="1">
      <alignment horizontal="right"/>
    </xf>
    <xf numFmtId="165" fontId="80" fillId="0" borderId="0" xfId="0" applyNumberFormat="1" applyFont="1" applyFill="1" applyBorder="1" applyAlignment="1" applyProtection="1">
      <alignment horizontal="right"/>
    </xf>
    <xf numFmtId="165" fontId="80" fillId="0" borderId="0" xfId="0" applyNumberFormat="1" applyFont="1" applyFill="1" applyBorder="1" applyAlignment="1" applyProtection="1"/>
    <xf numFmtId="0" fontId="81" fillId="3" borderId="35" xfId="0" applyFont="1" applyFill="1" applyBorder="1" applyProtection="1"/>
    <xf numFmtId="0" fontId="81" fillId="3" borderId="36" xfId="0" applyFont="1" applyFill="1" applyBorder="1" applyProtection="1"/>
    <xf numFmtId="0" fontId="81" fillId="0" borderId="36" xfId="0" applyFont="1" applyFill="1" applyBorder="1" applyProtection="1"/>
    <xf numFmtId="0" fontId="88" fillId="0" borderId="36" xfId="0" applyFont="1" applyFill="1" applyBorder="1" applyProtection="1"/>
    <xf numFmtId="44" fontId="81" fillId="0" borderId="36" xfId="0" applyNumberFormat="1" applyFont="1" applyFill="1" applyBorder="1" applyAlignment="1" applyProtection="1">
      <alignment horizontal="left"/>
    </xf>
    <xf numFmtId="44" fontId="80" fillId="0" borderId="36" xfId="0" applyNumberFormat="1" applyFont="1" applyFill="1" applyBorder="1" applyAlignment="1" applyProtection="1">
      <alignment horizontal="left"/>
    </xf>
    <xf numFmtId="165" fontId="80" fillId="0" borderId="36" xfId="0" applyNumberFormat="1" applyFont="1" applyFill="1" applyBorder="1" applyAlignment="1" applyProtection="1">
      <alignment horizontal="right"/>
    </xf>
    <xf numFmtId="0" fontId="81" fillId="3" borderId="37" xfId="0" applyFont="1" applyFill="1" applyBorder="1" applyProtection="1"/>
    <xf numFmtId="0" fontId="81" fillId="3" borderId="30" xfId="0" applyFont="1" applyFill="1" applyBorder="1" applyProtection="1"/>
    <xf numFmtId="0" fontId="81" fillId="3" borderId="31" xfId="0" applyFont="1" applyFill="1" applyBorder="1" applyProtection="1"/>
    <xf numFmtId="0" fontId="81" fillId="0" borderId="31" xfId="0" applyFont="1" applyFill="1" applyBorder="1" applyProtection="1"/>
    <xf numFmtId="0" fontId="88" fillId="0" borderId="31" xfId="0" applyFont="1" applyFill="1" applyBorder="1" applyProtection="1"/>
    <xf numFmtId="44" fontId="81" fillId="0" borderId="31" xfId="0" applyNumberFormat="1" applyFont="1" applyFill="1" applyBorder="1" applyAlignment="1" applyProtection="1">
      <alignment horizontal="left"/>
    </xf>
    <xf numFmtId="44" fontId="80" fillId="0" borderId="31" xfId="0" applyNumberFormat="1" applyFont="1" applyFill="1" applyBorder="1" applyAlignment="1" applyProtection="1">
      <alignment horizontal="left"/>
    </xf>
    <xf numFmtId="165" fontId="80" fillId="0" borderId="31" xfId="0" applyNumberFormat="1" applyFont="1" applyFill="1" applyBorder="1" applyAlignment="1" applyProtection="1">
      <alignment horizontal="right"/>
    </xf>
    <xf numFmtId="0" fontId="81" fillId="3" borderId="32" xfId="0" applyFont="1" applyFill="1" applyBorder="1" applyProtection="1"/>
    <xf numFmtId="172" fontId="80" fillId="0" borderId="574" xfId="0" applyNumberFormat="1" applyFont="1" applyFill="1" applyBorder="1" applyAlignment="1" applyProtection="1">
      <alignment horizontal="left"/>
    </xf>
    <xf numFmtId="172" fontId="80" fillId="0" borderId="0" xfId="0" applyNumberFormat="1" applyFont="1" applyFill="1" applyBorder="1" applyAlignment="1" applyProtection="1">
      <alignment horizontal="left"/>
    </xf>
    <xf numFmtId="44" fontId="80" fillId="0" borderId="578" xfId="0" applyNumberFormat="1" applyFont="1" applyFill="1" applyBorder="1" applyAlignment="1" applyProtection="1">
      <alignment horizontal="left"/>
    </xf>
    <xf numFmtId="0" fontId="81" fillId="5" borderId="33" xfId="0" applyFont="1" applyFill="1" applyBorder="1" applyProtection="1"/>
    <xf numFmtId="0" fontId="81" fillId="5" borderId="0" xfId="0" applyFont="1" applyFill="1" applyBorder="1" applyProtection="1"/>
    <xf numFmtId="0" fontId="81" fillId="5" borderId="34" xfId="0" applyFont="1" applyFill="1" applyBorder="1" applyProtection="1"/>
    <xf numFmtId="0" fontId="80" fillId="0" borderId="0" xfId="0" applyNumberFormat="1" applyFont="1" applyFill="1" applyBorder="1" applyAlignment="1" applyProtection="1">
      <alignment horizontal="right"/>
    </xf>
    <xf numFmtId="0" fontId="72" fillId="0" borderId="0" xfId="0" applyFont="1" applyFill="1" applyBorder="1" applyAlignment="1" applyProtection="1">
      <alignment wrapText="1"/>
    </xf>
    <xf numFmtId="0" fontId="86" fillId="0" borderId="0" xfId="0" applyFont="1" applyFill="1" applyBorder="1" applyAlignment="1" applyProtection="1"/>
    <xf numFmtId="0" fontId="81" fillId="0" borderId="572" xfId="0" applyFont="1" applyFill="1" applyBorder="1" applyProtection="1"/>
    <xf numFmtId="42" fontId="80" fillId="0" borderId="0" xfId="0" applyNumberFormat="1" applyFont="1" applyFill="1" applyBorder="1" applyAlignment="1" applyProtection="1">
      <alignment horizontal="right"/>
    </xf>
    <xf numFmtId="0" fontId="81" fillId="0" borderId="0" xfId="0" applyFont="1" applyFill="1" applyBorder="1" applyAlignment="1" applyProtection="1"/>
    <xf numFmtId="0" fontId="81" fillId="0" borderId="36" xfId="0" applyFont="1" applyFill="1" applyBorder="1" applyAlignment="1" applyProtection="1"/>
    <xf numFmtId="0" fontId="81" fillId="0" borderId="36" xfId="0" applyFont="1" applyFill="1" applyBorder="1" applyAlignment="1" applyProtection="1">
      <alignment horizontal="left"/>
    </xf>
    <xf numFmtId="0" fontId="85" fillId="0" borderId="0" xfId="0" applyFont="1" applyFill="1" applyBorder="1" applyAlignment="1" applyProtection="1">
      <alignment horizontal="center"/>
    </xf>
    <xf numFmtId="0" fontId="82"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82" fillId="0" borderId="0" xfId="0" applyFont="1" applyFill="1" applyBorder="1" applyAlignment="1" applyProtection="1">
      <alignment horizontal="left" vertical="top"/>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7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1" xfId="0" applyFont="1" applyBorder="1" applyAlignment="1" applyProtection="1">
      <alignment horizontal="center" vertical="top" wrapText="1"/>
      <protection locked="0"/>
    </xf>
    <xf numFmtId="0" fontId="24" fillId="0" borderId="472"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5"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477"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7" xfId="0" applyBorder="1" applyAlignment="1" applyProtection="1">
      <alignment vertical="top"/>
    </xf>
    <xf numFmtId="0" fontId="16" fillId="0" borderId="0"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0" fillId="0" borderId="0" xfId="0" applyFill="1" applyBorder="1"/>
    <xf numFmtId="166" fontId="16" fillId="0" borderId="594" xfId="0" applyNumberFormat="1" applyFont="1" applyFill="1" applyBorder="1" applyAlignment="1" applyProtection="1">
      <alignment wrapText="1"/>
      <protection locked="0"/>
    </xf>
    <xf numFmtId="166" fontId="16" fillId="0" borderId="595" xfId="0" applyNumberFormat="1" applyFont="1" applyFill="1" applyBorder="1" applyAlignment="1" applyProtection="1">
      <alignment wrapText="1"/>
      <protection locked="0"/>
    </xf>
    <xf numFmtId="166" fontId="16" fillId="8" borderId="566"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96" xfId="0" applyFont="1" applyFill="1" applyBorder="1" applyAlignment="1" applyProtection="1">
      <protection locked="0"/>
    </xf>
    <xf numFmtId="0" fontId="16" fillId="0" borderId="597" xfId="0" applyFont="1" applyFill="1" applyBorder="1" applyAlignment="1" applyProtection="1">
      <protection locked="0"/>
    </xf>
    <xf numFmtId="0" fontId="16" fillId="8" borderId="598" xfId="0" applyFont="1" applyFill="1" applyBorder="1" applyAlignment="1" applyProtection="1"/>
    <xf numFmtId="0" fontId="0" fillId="0" borderId="0" xfId="0" applyFill="1" applyBorder="1"/>
    <xf numFmtId="0" fontId="16" fillId="0" borderId="0" xfId="0" applyFont="1" applyFill="1" applyBorder="1" applyAlignment="1" applyProtection="1">
      <alignment horizontal="left" vertical="top" wrapText="1"/>
      <protection locked="0"/>
    </xf>
    <xf numFmtId="173" fontId="20" fillId="5" borderId="455"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protection locked="0"/>
    </xf>
    <xf numFmtId="173" fontId="20" fillId="5" borderId="457" xfId="0" applyNumberFormat="1" applyFont="1" applyFill="1" applyBorder="1" applyAlignment="1" applyProtection="1">
      <alignment horizontal="center" vertical="center"/>
      <protection locked="0"/>
    </xf>
    <xf numFmtId="0" fontId="16" fillId="0" borderId="339" xfId="0" applyFont="1" applyFill="1" applyBorder="1" applyAlignment="1" applyProtection="1">
      <alignment horizontal="center"/>
      <protection locked="0"/>
    </xf>
    <xf numFmtId="0" fontId="85" fillId="5" borderId="565" xfId="0" applyFont="1" applyFill="1" applyBorder="1" applyAlignment="1" applyProtection="1">
      <alignment horizontal="right" vertical="center"/>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601"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465" xfId="0" applyNumberFormat="1" applyFont="1" applyFill="1" applyBorder="1" applyAlignment="1" applyProtection="1">
      <protection locked="0"/>
    </xf>
    <xf numFmtId="0" fontId="16" fillId="0" borderId="602" xfId="0" applyNumberFormat="1" applyFont="1" applyFill="1" applyBorder="1" applyAlignment="1" applyProtection="1">
      <protection locked="0"/>
    </xf>
    <xf numFmtId="0" fontId="16" fillId="0" borderId="449"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2" fillId="0" borderId="0" xfId="0" applyFont="1" applyFill="1" applyBorder="1" applyProtection="1">
      <protection locked="0"/>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251" xfId="0" applyNumberFormat="1" applyFont="1" applyFill="1" applyBorder="1" applyAlignment="1" applyProtection="1">
      <protection locked="0"/>
    </xf>
    <xf numFmtId="0" fontId="3" fillId="8" borderId="252" xfId="0" applyFont="1" applyFill="1" applyBorder="1" applyAlignment="1" applyProtection="1">
      <protection locked="0"/>
    </xf>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wrapText="1"/>
    </xf>
    <xf numFmtId="0" fontId="5" fillId="16" borderId="44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9"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0" fontId="0" fillId="0" borderId="517" xfId="0" applyBorder="1"/>
    <xf numFmtId="0" fontId="0" fillId="0" borderId="31" xfId="0" applyBorder="1"/>
    <xf numFmtId="7" fontId="3" fillId="4" borderId="608"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6" xfId="0" applyNumberFormat="1" applyFont="1" applyFill="1" applyBorder="1" applyAlignment="1" applyProtection="1"/>
    <xf numFmtId="166" fontId="41" fillId="16" borderId="237" xfId="0" applyNumberFormat="1" applyFont="1" applyFill="1" applyBorder="1" applyAlignment="1" applyProtection="1">
      <alignment wrapText="1"/>
    </xf>
    <xf numFmtId="42" fontId="16" fillId="6" borderId="386" xfId="0" applyNumberFormat="1" applyFont="1" applyFill="1" applyBorder="1" applyAlignment="1" applyProtection="1">
      <alignment horizontal="left" wrapText="1"/>
    </xf>
    <xf numFmtId="42" fontId="16" fillId="0" borderId="331" xfId="0" applyNumberFormat="1" applyFont="1" applyFill="1" applyBorder="1" applyAlignment="1" applyProtection="1">
      <alignment horizontal="left" wrapText="1"/>
    </xf>
    <xf numFmtId="42" fontId="16" fillId="6" borderId="339" xfId="0" applyNumberFormat="1" applyFont="1" applyFill="1" applyBorder="1" applyAlignment="1" applyProtection="1">
      <alignment horizontal="left" wrapText="1"/>
    </xf>
    <xf numFmtId="9" fontId="16" fillId="0" borderId="331" xfId="2" applyFont="1" applyFill="1" applyBorder="1" applyAlignment="1" applyProtection="1">
      <alignment horizontal="right" wrapText="1"/>
      <protection locked="0"/>
    </xf>
    <xf numFmtId="42" fontId="0" fillId="0" borderId="0" xfId="0" applyNumberFormat="1" applyProtection="1">
      <protection locked="0"/>
    </xf>
    <xf numFmtId="0" fontId="3" fillId="0" borderId="0" xfId="0" applyFont="1" applyFill="1" applyBorder="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0" borderId="290" xfId="0" applyNumberFormat="1" applyFont="1" applyFill="1" applyBorder="1" applyAlignment="1" applyProtection="1">
      <alignment vertical="center"/>
      <protection locked="0"/>
    </xf>
    <xf numFmtId="14" fontId="3" fillId="0" borderId="468"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0" fontId="99" fillId="0" borderId="0" xfId="0" applyFont="1" applyProtection="1">
      <protection locked="0"/>
    </xf>
    <xf numFmtId="42" fontId="8" fillId="0" borderId="298" xfId="0" applyNumberFormat="1" applyFont="1" applyFill="1" applyBorder="1" applyAlignment="1" applyProtection="1">
      <protection locked="0"/>
    </xf>
    <xf numFmtId="1" fontId="8" fillId="0" borderId="458" xfId="0" applyNumberFormat="1" applyFont="1" applyFill="1" applyBorder="1" applyAlignment="1" applyProtection="1">
      <protection locked="0"/>
    </xf>
    <xf numFmtId="1" fontId="8" fillId="0" borderId="298" xfId="0" applyNumberFormat="1" applyFont="1" applyFill="1" applyBorder="1" applyAlignment="1" applyProtection="1">
      <protection locked="0"/>
    </xf>
    <xf numFmtId="172" fontId="16" fillId="0" borderId="331" xfId="1" applyNumberFormat="1" applyFont="1" applyFill="1" applyBorder="1" applyAlignment="1" applyProtection="1">
      <alignment horizontal="left" wrapText="1"/>
    </xf>
    <xf numFmtId="172" fontId="41" fillId="6" borderId="327" xfId="0" applyNumberFormat="1" applyFont="1" applyFill="1" applyBorder="1" applyAlignment="1" applyProtection="1">
      <alignment horizontal="right" vertical="center"/>
    </xf>
    <xf numFmtId="172" fontId="41" fillId="6" borderId="330" xfId="0" applyNumberFormat="1" applyFont="1" applyFill="1" applyBorder="1" applyAlignment="1" applyProtection="1">
      <alignment vertical="center"/>
    </xf>
    <xf numFmtId="172" fontId="41" fillId="0" borderId="328" xfId="0" applyNumberFormat="1" applyFont="1" applyFill="1" applyBorder="1" applyAlignment="1" applyProtection="1">
      <alignment horizontal="right" vertical="center"/>
      <protection locked="0"/>
    </xf>
    <xf numFmtId="172" fontId="41" fillId="0" borderId="329" xfId="0" applyNumberFormat="1" applyFont="1" applyFill="1" applyBorder="1" applyAlignment="1" applyProtection="1">
      <alignment horizontal="right" vertical="center"/>
      <protection locked="0"/>
    </xf>
    <xf numFmtId="172" fontId="41" fillId="0" borderId="331" xfId="0" applyNumberFormat="1" applyFont="1" applyFill="1" applyBorder="1" applyAlignment="1" applyProtection="1">
      <alignment horizontal="right" vertical="center"/>
      <protection locked="0"/>
    </xf>
    <xf numFmtId="172" fontId="41" fillId="0" borderId="332" xfId="0" applyNumberFormat="1" applyFont="1" applyFill="1" applyBorder="1" applyAlignment="1" applyProtection="1">
      <alignment horizontal="right" vertical="center"/>
      <protection locked="0"/>
    </xf>
    <xf numFmtId="172" fontId="41" fillId="6" borderId="333" xfId="0" applyNumberFormat="1" applyFont="1" applyFill="1" applyBorder="1" applyAlignment="1" applyProtection="1">
      <alignment horizontal="right" vertical="center"/>
    </xf>
    <xf numFmtId="172" fontId="41" fillId="0" borderId="334" xfId="0" applyNumberFormat="1" applyFont="1" applyFill="1" applyBorder="1" applyAlignment="1" applyProtection="1">
      <alignment horizontal="right" vertical="center"/>
      <protection locked="0"/>
    </xf>
    <xf numFmtId="172" fontId="41" fillId="0" borderId="335" xfId="0" applyNumberFormat="1" applyFont="1" applyFill="1" applyBorder="1" applyAlignment="1" applyProtection="1">
      <alignment horizontal="right" vertical="center"/>
      <protection locked="0"/>
    </xf>
    <xf numFmtId="172" fontId="41" fillId="0" borderId="434" xfId="0" applyNumberFormat="1" applyFont="1" applyFill="1" applyBorder="1" applyAlignment="1" applyProtection="1">
      <alignment horizontal="right" vertical="center"/>
      <protection locked="0"/>
    </xf>
    <xf numFmtId="172" fontId="41" fillId="0" borderId="336" xfId="0" applyNumberFormat="1" applyFont="1" applyFill="1" applyBorder="1" applyAlignment="1" applyProtection="1">
      <alignment horizontal="right" vertical="center"/>
      <protection locked="0"/>
    </xf>
    <xf numFmtId="172" fontId="41" fillId="0" borderId="337" xfId="0" applyNumberFormat="1" applyFont="1" applyFill="1" applyBorder="1" applyAlignment="1" applyProtection="1">
      <alignment horizontal="right" vertical="center"/>
      <protection locked="0"/>
    </xf>
    <xf numFmtId="172" fontId="41" fillId="0" borderId="435" xfId="0" applyNumberFormat="1" applyFont="1" applyFill="1" applyBorder="1" applyAlignment="1" applyProtection="1">
      <alignment horizontal="right" vertical="center"/>
      <protection locked="0"/>
    </xf>
    <xf numFmtId="172" fontId="41" fillId="0" borderId="339" xfId="0" applyNumberFormat="1" applyFont="1" applyFill="1" applyBorder="1" applyAlignment="1" applyProtection="1">
      <alignment horizontal="right" vertical="center"/>
      <protection locked="0"/>
    </xf>
    <xf numFmtId="172" fontId="41" fillId="0" borderId="340" xfId="0" applyNumberFormat="1" applyFont="1" applyFill="1" applyBorder="1" applyAlignment="1" applyProtection="1">
      <alignment horizontal="right" vertical="center"/>
      <protection locked="0"/>
    </xf>
    <xf numFmtId="172" fontId="41" fillId="6" borderId="205" xfId="0" applyNumberFormat="1" applyFont="1" applyFill="1" applyBorder="1" applyAlignment="1" applyProtection="1">
      <alignment horizontal="right" vertical="center"/>
    </xf>
    <xf numFmtId="172" fontId="41" fillId="6" borderId="206" xfId="0" applyNumberFormat="1" applyFont="1" applyFill="1" applyBorder="1" applyAlignment="1" applyProtection="1">
      <alignment horizontal="right" vertical="center"/>
    </xf>
    <xf numFmtId="172" fontId="41" fillId="6" borderId="207" xfId="0" applyNumberFormat="1" applyFont="1" applyFill="1" applyBorder="1" applyAlignment="1" applyProtection="1">
      <alignment horizontal="right" vertical="center"/>
    </xf>
    <xf numFmtId="172" fontId="41" fillId="6" borderId="38" xfId="0" applyNumberFormat="1" applyFont="1" applyFill="1" applyBorder="1" applyAlignment="1" applyProtection="1">
      <alignment horizontal="right" vertical="center"/>
    </xf>
    <xf numFmtId="172" fontId="41" fillId="0" borderId="190" xfId="0" applyNumberFormat="1" applyFont="1" applyFill="1" applyBorder="1" applyAlignment="1" applyProtection="1">
      <alignment vertical="center"/>
      <protection locked="0"/>
    </xf>
    <xf numFmtId="172" fontId="41" fillId="0" borderId="191" xfId="0" applyNumberFormat="1" applyFont="1" applyFill="1" applyBorder="1" applyAlignment="1" applyProtection="1">
      <alignment vertical="center"/>
      <protection locked="0"/>
    </xf>
    <xf numFmtId="172" fontId="43" fillId="8" borderId="2" xfId="0" applyNumberFormat="1" applyFont="1" applyFill="1" applyBorder="1" applyAlignment="1" applyProtection="1">
      <alignment vertical="center"/>
    </xf>
    <xf numFmtId="172" fontId="43" fillId="8" borderId="0" xfId="0" applyNumberFormat="1" applyFont="1" applyFill="1" applyBorder="1" applyAlignment="1" applyProtection="1">
      <alignment vertical="center"/>
    </xf>
    <xf numFmtId="172" fontId="43" fillId="8" borderId="3" xfId="0" applyNumberFormat="1" applyFont="1" applyFill="1" applyBorder="1" applyAlignment="1" applyProtection="1">
      <alignment vertical="center"/>
    </xf>
    <xf numFmtId="172" fontId="41" fillId="0" borderId="197" xfId="0" applyNumberFormat="1" applyFont="1" applyFill="1" applyBorder="1" applyAlignment="1" applyProtection="1">
      <alignment vertical="center"/>
      <protection locked="0"/>
    </xf>
    <xf numFmtId="172" fontId="41" fillId="0" borderId="187" xfId="0" applyNumberFormat="1" applyFont="1" applyFill="1" applyBorder="1" applyAlignment="1" applyProtection="1">
      <alignment vertical="center"/>
      <protection locked="0"/>
    </xf>
    <xf numFmtId="172" fontId="41" fillId="0" borderId="188" xfId="0" applyNumberFormat="1" applyFont="1" applyFill="1" applyBorder="1" applyAlignment="1" applyProtection="1">
      <alignment vertical="center"/>
      <protection locked="0"/>
    </xf>
    <xf numFmtId="172" fontId="43" fillId="6" borderId="189" xfId="0" applyNumberFormat="1" applyFont="1" applyFill="1" applyBorder="1" applyAlignment="1" applyProtection="1">
      <alignment vertical="center"/>
    </xf>
    <xf numFmtId="172" fontId="43" fillId="6" borderId="190" xfId="0" applyNumberFormat="1" applyFont="1" applyFill="1" applyBorder="1" applyAlignment="1" applyProtection="1">
      <alignment vertical="center"/>
    </xf>
    <xf numFmtId="172" fontId="43" fillId="6" borderId="191" xfId="0" applyNumberFormat="1" applyFont="1" applyFill="1" applyBorder="1" applyAlignment="1" applyProtection="1">
      <alignment vertical="center"/>
    </xf>
    <xf numFmtId="172" fontId="64" fillId="6" borderId="341" xfId="0" applyNumberFormat="1" applyFont="1" applyFill="1" applyBorder="1" applyAlignment="1" applyProtection="1">
      <alignment vertical="center"/>
    </xf>
    <xf numFmtId="172" fontId="64" fillId="6" borderId="302" xfId="0" applyNumberFormat="1" applyFont="1" applyFill="1" applyBorder="1" applyAlignment="1" applyProtection="1">
      <alignment vertical="center"/>
    </xf>
    <xf numFmtId="172" fontId="64" fillId="6" borderId="342" xfId="0" applyNumberFormat="1" applyFont="1" applyFill="1" applyBorder="1" applyAlignment="1" applyProtection="1">
      <alignment vertical="center"/>
    </xf>
    <xf numFmtId="172" fontId="64" fillId="6" borderId="343" xfId="0" applyNumberFormat="1" applyFont="1" applyFill="1" applyBorder="1" applyAlignment="1" applyProtection="1">
      <alignment vertical="center"/>
    </xf>
    <xf numFmtId="172" fontId="64" fillId="6" borderId="344" xfId="0" applyNumberFormat="1" applyFont="1" applyFill="1" applyBorder="1" applyAlignment="1" applyProtection="1">
      <alignment vertical="center"/>
    </xf>
    <xf numFmtId="172" fontId="64" fillId="6" borderId="345" xfId="0" applyNumberFormat="1" applyFont="1" applyFill="1" applyBorder="1" applyAlignment="1" applyProtection="1">
      <alignment vertical="center"/>
    </xf>
    <xf numFmtId="172" fontId="43" fillId="6" borderId="178" xfId="0" applyNumberFormat="1" applyFont="1" applyFill="1" applyBorder="1" applyAlignment="1" applyProtection="1">
      <alignment vertical="center"/>
    </xf>
    <xf numFmtId="172" fontId="43" fillId="6" borderId="179" xfId="0" applyNumberFormat="1" applyFont="1" applyFill="1" applyBorder="1" applyAlignment="1" applyProtection="1">
      <alignment vertical="center"/>
    </xf>
    <xf numFmtId="172" fontId="43" fillId="6" borderId="180" xfId="0" applyNumberFormat="1" applyFont="1" applyFill="1" applyBorder="1" applyAlignment="1" applyProtection="1">
      <alignment vertical="center"/>
    </xf>
    <xf numFmtId="172" fontId="16" fillId="0" borderId="0" xfId="0" applyNumberFormat="1" applyFont="1" applyFill="1" applyBorder="1" applyProtection="1"/>
    <xf numFmtId="172" fontId="55" fillId="23" borderId="0" xfId="0" applyNumberFormat="1" applyFont="1" applyFill="1" applyBorder="1" applyAlignment="1" applyProtection="1">
      <alignment horizontal="left" vertical="center"/>
    </xf>
    <xf numFmtId="172" fontId="55" fillId="23" borderId="0" xfId="0" applyNumberFormat="1" applyFont="1" applyFill="1" applyBorder="1" applyAlignment="1" applyProtection="1">
      <alignment horizontal="right" vertical="center"/>
    </xf>
    <xf numFmtId="172" fontId="43" fillId="6" borderId="195" xfId="0" applyNumberFormat="1" applyFont="1" applyFill="1" applyBorder="1" applyAlignment="1" applyProtection="1">
      <alignment vertical="center"/>
    </xf>
    <xf numFmtId="172" fontId="43" fillId="6" borderId="196" xfId="0" applyNumberFormat="1" applyFont="1" applyFill="1" applyBorder="1" applyAlignment="1" applyProtection="1">
      <alignment vertical="center"/>
    </xf>
    <xf numFmtId="172" fontId="43" fillId="6" borderId="153" xfId="0" applyNumberFormat="1" applyFont="1" applyFill="1" applyBorder="1" applyAlignment="1" applyProtection="1">
      <alignment vertical="center"/>
    </xf>
    <xf numFmtId="172" fontId="41" fillId="0" borderId="348" xfId="0" applyNumberFormat="1" applyFont="1" applyFill="1" applyBorder="1" applyAlignment="1" applyProtection="1">
      <alignment horizontal="right" vertical="center"/>
      <protection locked="0"/>
    </xf>
    <xf numFmtId="172" fontId="41" fillId="0" borderId="349" xfId="0" applyNumberFormat="1" applyFont="1" applyFill="1" applyBorder="1" applyAlignment="1" applyProtection="1">
      <alignment horizontal="right" vertical="center"/>
      <protection locked="0"/>
    </xf>
    <xf numFmtId="172" fontId="41" fillId="0" borderId="350" xfId="0" applyNumberFormat="1" applyFont="1" applyFill="1" applyBorder="1" applyAlignment="1" applyProtection="1">
      <alignment vertical="center"/>
      <protection locked="0"/>
    </xf>
    <xf numFmtId="172" fontId="41" fillId="0" borderId="353" xfId="0" applyNumberFormat="1" applyFont="1" applyFill="1" applyBorder="1" applyAlignment="1" applyProtection="1">
      <alignment horizontal="right" vertical="center"/>
      <protection locked="0"/>
    </xf>
    <xf numFmtId="172" fontId="41" fillId="0" borderId="354" xfId="0" applyNumberFormat="1" applyFont="1" applyFill="1" applyBorder="1" applyAlignment="1" applyProtection="1">
      <alignment horizontal="right" vertical="center"/>
      <protection locked="0"/>
    </xf>
    <xf numFmtId="172" fontId="41" fillId="0" borderId="332" xfId="0" applyNumberFormat="1" applyFont="1" applyFill="1" applyBorder="1" applyAlignment="1" applyProtection="1">
      <alignment vertical="center"/>
      <protection locked="0"/>
    </xf>
    <xf numFmtId="172" fontId="41" fillId="0" borderId="360" xfId="0" applyNumberFormat="1" applyFont="1" applyFill="1" applyBorder="1" applyAlignment="1" applyProtection="1">
      <alignment horizontal="right" vertical="center"/>
      <protection locked="0"/>
    </xf>
    <xf numFmtId="172" fontId="41" fillId="0" borderId="361" xfId="0" applyNumberFormat="1" applyFont="1" applyFill="1" applyBorder="1" applyAlignment="1" applyProtection="1">
      <alignment horizontal="right" vertical="center"/>
      <protection locked="0"/>
    </xf>
    <xf numFmtId="172" fontId="41" fillId="0" borderId="362" xfId="0" applyNumberFormat="1" applyFont="1" applyFill="1" applyBorder="1" applyAlignment="1" applyProtection="1">
      <alignment vertical="center"/>
      <protection locked="0"/>
    </xf>
    <xf numFmtId="172" fontId="41" fillId="6" borderId="363" xfId="0" applyNumberFormat="1" applyFont="1" applyFill="1" applyBorder="1" applyAlignment="1" applyProtection="1">
      <alignment horizontal="right" vertical="center"/>
    </xf>
    <xf numFmtId="172" fontId="41" fillId="6" borderId="364" xfId="0" applyNumberFormat="1" applyFont="1" applyFill="1" applyBorder="1" applyAlignment="1" applyProtection="1">
      <alignment horizontal="right" vertical="center"/>
    </xf>
    <xf numFmtId="172" fontId="41" fillId="6" borderId="365" xfId="0" applyNumberFormat="1" applyFont="1" applyFill="1" applyBorder="1" applyAlignment="1" applyProtection="1">
      <alignment horizontal="right" vertical="center"/>
    </xf>
    <xf numFmtId="172" fontId="41" fillId="6" borderId="330" xfId="0" applyNumberFormat="1" applyFont="1" applyFill="1" applyBorder="1" applyAlignment="1" applyProtection="1">
      <alignment horizontal="right" vertical="center"/>
    </xf>
    <xf numFmtId="172" fontId="41" fillId="6" borderId="331" xfId="0" applyNumberFormat="1" applyFont="1" applyFill="1" applyBorder="1" applyAlignment="1" applyProtection="1">
      <alignment horizontal="right" vertical="center"/>
    </xf>
    <xf numFmtId="172" fontId="41" fillId="6" borderId="332" xfId="0" applyNumberFormat="1" applyFont="1" applyFill="1" applyBorder="1" applyAlignment="1" applyProtection="1">
      <alignment horizontal="right" vertical="center"/>
    </xf>
    <xf numFmtId="172" fontId="41" fillId="6" borderId="366" xfId="0" applyNumberFormat="1" applyFont="1" applyFill="1" applyBorder="1" applyAlignment="1" applyProtection="1">
      <alignment horizontal="right" vertical="center"/>
    </xf>
    <xf numFmtId="172" fontId="41" fillId="6" borderId="367" xfId="0" applyNumberFormat="1" applyFont="1" applyFill="1" applyBorder="1" applyAlignment="1" applyProtection="1">
      <alignment horizontal="right" vertical="center"/>
    </xf>
    <xf numFmtId="172" fontId="41" fillId="6" borderId="362" xfId="0" applyNumberFormat="1" applyFont="1" applyFill="1" applyBorder="1" applyAlignment="1" applyProtection="1">
      <alignment horizontal="right" vertical="center"/>
    </xf>
    <xf numFmtId="172" fontId="41" fillId="0" borderId="283" xfId="0" applyNumberFormat="1" applyFont="1" applyFill="1" applyBorder="1" applyAlignment="1" applyProtection="1">
      <alignment vertical="center"/>
      <protection locked="0"/>
    </xf>
    <xf numFmtId="172" fontId="41" fillId="0" borderId="368" xfId="0" applyNumberFormat="1" applyFont="1" applyFill="1" applyBorder="1" applyAlignment="1" applyProtection="1">
      <alignment horizontal="right" vertical="center"/>
      <protection locked="0"/>
    </xf>
    <xf numFmtId="172" fontId="41" fillId="0" borderId="369" xfId="0" applyNumberFormat="1" applyFont="1" applyFill="1" applyBorder="1" applyAlignment="1" applyProtection="1">
      <alignment horizontal="right" vertical="center"/>
      <protection locked="0"/>
    </xf>
    <xf numFmtId="172" fontId="41" fillId="0" borderId="345" xfId="0" applyNumberFormat="1" applyFont="1" applyFill="1" applyBorder="1" applyAlignment="1" applyProtection="1">
      <alignment vertical="center"/>
      <protection locked="0"/>
    </xf>
    <xf numFmtId="172" fontId="41" fillId="6" borderId="181" xfId="0" applyNumberFormat="1" applyFont="1" applyFill="1" applyBorder="1" applyAlignment="1" applyProtection="1">
      <alignment horizontal="right" vertical="center"/>
    </xf>
    <xf numFmtId="172" fontId="41" fillId="6" borderId="182" xfId="0" applyNumberFormat="1" applyFont="1" applyFill="1" applyBorder="1" applyAlignment="1" applyProtection="1">
      <alignment horizontal="right" vertical="center"/>
    </xf>
    <xf numFmtId="172" fontId="41" fillId="6" borderId="204" xfId="0" applyNumberFormat="1" applyFont="1" applyFill="1" applyBorder="1" applyAlignment="1" applyProtection="1">
      <alignment horizontal="right" vertical="center"/>
    </xf>
    <xf numFmtId="172" fontId="41" fillId="6" borderId="370" xfId="0" applyNumberFormat="1" applyFont="1" applyFill="1" applyBorder="1" applyAlignment="1" applyProtection="1">
      <alignment horizontal="right" vertical="center"/>
    </xf>
    <xf numFmtId="172" fontId="41" fillId="6" borderId="287" xfId="0" applyNumberFormat="1" applyFont="1" applyFill="1" applyBorder="1" applyAlignment="1" applyProtection="1">
      <alignment horizontal="right" vertical="center"/>
    </xf>
    <xf numFmtId="172" fontId="41" fillId="6" borderId="280" xfId="0" applyNumberFormat="1" applyFont="1" applyFill="1" applyBorder="1" applyAlignment="1" applyProtection="1">
      <alignment horizontal="right" vertical="center"/>
    </xf>
    <xf numFmtId="172" fontId="41" fillId="6" borderId="371" xfId="0" applyNumberFormat="1" applyFont="1" applyFill="1" applyBorder="1" applyProtection="1"/>
    <xf numFmtId="172" fontId="41" fillId="6" borderId="301" xfId="0" applyNumberFormat="1" applyFont="1" applyFill="1" applyBorder="1" applyProtection="1"/>
    <xf numFmtId="172" fontId="41" fillId="6" borderId="372" xfId="0" applyNumberFormat="1" applyFont="1" applyFill="1" applyBorder="1" applyProtection="1"/>
    <xf numFmtId="172" fontId="43" fillId="6" borderId="262" xfId="0" applyNumberFormat="1" applyFont="1" applyFill="1" applyBorder="1" applyAlignment="1" applyProtection="1">
      <alignment vertical="center"/>
    </xf>
    <xf numFmtId="172" fontId="41" fillId="0" borderId="373" xfId="0" applyNumberFormat="1" applyFont="1" applyFill="1" applyBorder="1" applyAlignment="1" applyProtection="1">
      <alignment vertical="center"/>
      <protection locked="0"/>
    </xf>
    <xf numFmtId="172" fontId="41" fillId="0" borderId="374" xfId="0" applyNumberFormat="1" applyFont="1" applyFill="1" applyBorder="1" applyAlignment="1" applyProtection="1">
      <alignment vertical="center"/>
      <protection locked="0"/>
    </xf>
    <xf numFmtId="172" fontId="41" fillId="0" borderId="375" xfId="0" applyNumberFormat="1" applyFont="1" applyFill="1" applyBorder="1" applyAlignment="1" applyProtection="1">
      <alignment vertical="center"/>
      <protection locked="0"/>
    </xf>
    <xf numFmtId="172" fontId="43" fillId="6" borderId="259" xfId="0" applyNumberFormat="1" applyFont="1" applyFill="1" applyBorder="1" applyAlignment="1" applyProtection="1">
      <alignment vertical="center"/>
    </xf>
    <xf numFmtId="172" fontId="41" fillId="0" borderId="376" xfId="0" applyNumberFormat="1" applyFont="1" applyFill="1" applyBorder="1" applyAlignment="1" applyProtection="1">
      <alignment vertical="center"/>
      <protection locked="0"/>
    </xf>
    <xf numFmtId="172" fontId="41" fillId="0" borderId="377" xfId="0" applyNumberFormat="1" applyFont="1" applyFill="1" applyBorder="1" applyAlignment="1" applyProtection="1">
      <alignment vertical="center"/>
      <protection locked="0"/>
    </xf>
    <xf numFmtId="172" fontId="41" fillId="0" borderId="378" xfId="0" applyNumberFormat="1" applyFont="1" applyFill="1" applyBorder="1" applyAlignment="1" applyProtection="1">
      <alignment vertical="center"/>
      <protection locked="0"/>
    </xf>
    <xf numFmtId="172" fontId="43" fillId="6" borderId="379" xfId="0" applyNumberFormat="1" applyFont="1" applyFill="1" applyBorder="1" applyAlignment="1" applyProtection="1">
      <alignment vertical="center"/>
    </xf>
    <xf numFmtId="172" fontId="41" fillId="0" borderId="380" xfId="0" applyNumberFormat="1" applyFont="1" applyFill="1" applyBorder="1" applyAlignment="1" applyProtection="1">
      <alignment vertical="center"/>
      <protection locked="0"/>
    </xf>
    <xf numFmtId="172" fontId="41" fillId="0" borderId="381" xfId="0" applyNumberFormat="1" applyFont="1" applyFill="1" applyBorder="1" applyAlignment="1" applyProtection="1">
      <alignment vertical="center"/>
      <protection locked="0"/>
    </xf>
    <xf numFmtId="172" fontId="41" fillId="0" borderId="382" xfId="0" applyNumberFormat="1" applyFont="1" applyFill="1" applyBorder="1" applyAlignment="1" applyProtection="1">
      <alignment vertical="center"/>
      <protection locked="0"/>
    </xf>
    <xf numFmtId="172" fontId="41" fillId="0" borderId="0" xfId="0" applyNumberFormat="1" applyFont="1" applyFill="1" applyBorder="1" applyAlignment="1" applyProtection="1">
      <alignment vertical="center"/>
    </xf>
    <xf numFmtId="172" fontId="41" fillId="8" borderId="2" xfId="0" applyNumberFormat="1" applyFont="1" applyFill="1" applyBorder="1" applyAlignment="1" applyProtection="1">
      <alignment horizontal="right" vertical="center"/>
    </xf>
    <xf numFmtId="172" fontId="41" fillId="8" borderId="0" xfId="0" applyNumberFormat="1" applyFont="1" applyFill="1" applyBorder="1" applyAlignment="1" applyProtection="1">
      <alignment horizontal="right" vertical="center"/>
    </xf>
    <xf numFmtId="172" fontId="41" fillId="8" borderId="3" xfId="0" applyNumberFormat="1" applyFont="1" applyFill="1" applyBorder="1" applyAlignment="1" applyProtection="1">
      <alignment horizontal="right" vertical="center"/>
    </xf>
    <xf numFmtId="172" fontId="41" fillId="0" borderId="383" xfId="0" applyNumberFormat="1" applyFont="1" applyFill="1" applyBorder="1" applyAlignment="1" applyProtection="1">
      <alignment vertical="center"/>
      <protection locked="0"/>
    </xf>
    <xf numFmtId="172" fontId="41" fillId="0" borderId="384" xfId="0" applyNumberFormat="1" applyFont="1" applyFill="1" applyBorder="1" applyAlignment="1" applyProtection="1">
      <alignment vertical="center"/>
      <protection locked="0"/>
    </xf>
    <xf numFmtId="172" fontId="41" fillId="0" borderId="338" xfId="0" applyNumberFormat="1" applyFont="1" applyFill="1" applyBorder="1" applyAlignment="1" applyProtection="1">
      <alignment horizontal="right" vertical="center"/>
      <protection locked="0"/>
    </xf>
    <xf numFmtId="172" fontId="43" fillId="0" borderId="0" xfId="0" applyNumberFormat="1" applyFont="1" applyFill="1" applyBorder="1" applyAlignment="1" applyProtection="1">
      <alignment vertical="center"/>
    </xf>
    <xf numFmtId="172" fontId="43" fillId="6" borderId="151" xfId="0" applyNumberFormat="1" applyFont="1" applyFill="1" applyBorder="1" applyAlignment="1" applyProtection="1">
      <alignment vertical="center"/>
    </xf>
    <xf numFmtId="172" fontId="41" fillId="0" borderId="211" xfId="0" applyNumberFormat="1" applyFont="1" applyFill="1" applyBorder="1" applyAlignment="1" applyProtection="1">
      <alignment vertical="center"/>
      <protection locked="0"/>
    </xf>
    <xf numFmtId="172" fontId="41" fillId="0" borderId="191" xfId="0" applyNumberFormat="1" applyFont="1" applyFill="1" applyBorder="1" applyAlignment="1" applyProtection="1">
      <alignment horizontal="right" vertical="center"/>
      <protection locked="0"/>
    </xf>
    <xf numFmtId="172" fontId="43" fillId="0" borderId="177" xfId="0" applyNumberFormat="1" applyFont="1" applyFill="1" applyBorder="1" applyAlignment="1" applyProtection="1">
      <alignment vertical="center"/>
    </xf>
    <xf numFmtId="172" fontId="41" fillId="0" borderId="197" xfId="0" applyNumberFormat="1" applyFont="1" applyFill="1" applyBorder="1" applyAlignment="1" applyProtection="1">
      <alignment horizontal="right" vertical="center"/>
      <protection locked="0"/>
    </xf>
    <xf numFmtId="172" fontId="41" fillId="0" borderId="187" xfId="0" applyNumberFormat="1" applyFont="1" applyFill="1" applyBorder="1" applyAlignment="1" applyProtection="1">
      <alignment horizontal="right" vertical="center"/>
      <protection locked="0"/>
    </xf>
    <xf numFmtId="172" fontId="41" fillId="0" borderId="188" xfId="0" applyNumberFormat="1" applyFont="1" applyFill="1" applyBorder="1" applyAlignment="1" applyProtection="1">
      <alignment horizontal="right" vertical="center"/>
      <protection locked="0"/>
    </xf>
    <xf numFmtId="172" fontId="43" fillId="0" borderId="0" xfId="0" quotePrefix="1" applyNumberFormat="1" applyFont="1" applyFill="1" applyBorder="1" applyAlignment="1" applyProtection="1">
      <alignment horizontal="center" vertical="center"/>
    </xf>
    <xf numFmtId="172" fontId="41" fillId="6" borderId="192" xfId="0" applyNumberFormat="1" applyFont="1" applyFill="1" applyBorder="1" applyAlignment="1" applyProtection="1">
      <alignment horizontal="right" vertical="center"/>
    </xf>
    <xf numFmtId="172" fontId="41" fillId="6" borderId="193" xfId="0" applyNumberFormat="1" applyFont="1" applyFill="1" applyBorder="1" applyAlignment="1" applyProtection="1">
      <alignment horizontal="right" vertical="center"/>
    </xf>
    <xf numFmtId="172" fontId="41" fillId="6" borderId="194" xfId="0" applyNumberFormat="1" applyFont="1" applyFill="1" applyBorder="1" applyAlignment="1" applyProtection="1">
      <alignment horizontal="right" vertical="center"/>
    </xf>
    <xf numFmtId="172" fontId="43" fillId="0" borderId="226" xfId="0" applyNumberFormat="1" applyFont="1" applyFill="1" applyBorder="1" applyAlignment="1" applyProtection="1">
      <alignment vertical="center"/>
    </xf>
    <xf numFmtId="0" fontId="16" fillId="0" borderId="6" xfId="0" applyFont="1" applyFill="1" applyBorder="1" applyProtection="1">
      <protection locked="0"/>
    </xf>
    <xf numFmtId="0" fontId="16" fillId="0" borderId="6" xfId="0" applyFont="1" applyFill="1" applyBorder="1" applyAlignment="1" applyProtection="1">
      <alignment horizontal="left"/>
      <protection locked="0"/>
    </xf>
    <xf numFmtId="0" fontId="2" fillId="0" borderId="0" xfId="0" applyFont="1"/>
    <xf numFmtId="0" fontId="0" fillId="0" borderId="0" xfId="0" applyFont="1"/>
    <xf numFmtId="0" fontId="0" fillId="0" borderId="0" xfId="0" applyFont="1" applyAlignment="1">
      <alignment wrapText="1"/>
    </xf>
    <xf numFmtId="0" fontId="0" fillId="16" borderId="25" xfId="0" applyFont="1" applyFill="1" applyBorder="1" applyAlignment="1">
      <alignment wrapText="1"/>
    </xf>
    <xf numFmtId="0" fontId="0" fillId="16" borderId="0" xfId="0" applyFont="1" applyFill="1" applyBorder="1" applyAlignment="1">
      <alignment wrapText="1"/>
    </xf>
    <xf numFmtId="0" fontId="0" fillId="16" borderId="26" xfId="0" applyFont="1" applyFill="1" applyBorder="1" applyAlignment="1">
      <alignment wrapText="1"/>
    </xf>
    <xf numFmtId="49" fontId="0" fillId="16" borderId="25" xfId="0" applyNumberFormat="1" applyFont="1" applyFill="1" applyBorder="1"/>
    <xf numFmtId="49" fontId="0" fillId="16" borderId="25" xfId="0" quotePrefix="1" applyNumberFormat="1" applyFont="1" applyFill="1" applyBorder="1" applyAlignment="1">
      <alignment vertical="top"/>
    </xf>
    <xf numFmtId="49" fontId="0" fillId="0" borderId="0" xfId="0" applyNumberFormat="1" applyFont="1"/>
    <xf numFmtId="0" fontId="0" fillId="16" borderId="25" xfId="0" quotePrefix="1" applyFill="1" applyBorder="1" applyAlignment="1">
      <alignment horizontal="left" vertical="top"/>
    </xf>
    <xf numFmtId="0" fontId="0" fillId="16" borderId="16" xfId="0" quotePrefix="1" applyFill="1" applyBorder="1" applyAlignment="1">
      <alignment horizontal="left" vertical="top"/>
    </xf>
    <xf numFmtId="0" fontId="0" fillId="16" borderId="6" xfId="0" applyFill="1" applyBorder="1" applyAlignment="1">
      <alignment horizontal="left" vertical="top" wrapText="1"/>
    </xf>
    <xf numFmtId="0" fontId="0" fillId="16" borderId="22" xfId="0" applyFill="1" applyBorder="1" applyAlignment="1">
      <alignment horizontal="left" vertical="top" wrapText="1"/>
    </xf>
    <xf numFmtId="0" fontId="0" fillId="0" borderId="0" xfId="0" applyFont="1" applyAlignment="1">
      <alignment horizontal="left" wrapText="1"/>
    </xf>
    <xf numFmtId="0" fontId="0" fillId="7" borderId="20" xfId="0" applyFont="1" applyFill="1" applyBorder="1" applyAlignment="1">
      <alignment horizontal="left" wrapText="1"/>
    </xf>
    <xf numFmtId="0" fontId="0" fillId="0" borderId="0" xfId="0" applyFont="1" applyBorder="1"/>
    <xf numFmtId="0" fontId="0" fillId="7" borderId="20" xfId="0" applyFont="1" applyFill="1" applyBorder="1" applyAlignment="1">
      <alignment wrapText="1"/>
    </xf>
    <xf numFmtId="0" fontId="0" fillId="0" borderId="0" xfId="0" applyFont="1" applyFill="1" applyBorder="1" applyAlignment="1">
      <alignment wrapText="1"/>
    </xf>
    <xf numFmtId="0" fontId="42" fillId="0" borderId="0" xfId="0" applyFont="1" applyFill="1" applyBorder="1" applyAlignment="1">
      <alignment vertical="top" wrapText="1"/>
    </xf>
    <xf numFmtId="42" fontId="0" fillId="0" borderId="20" xfId="0" applyNumberFormat="1" applyFont="1" applyFill="1" applyBorder="1" applyAlignment="1">
      <alignment wrapText="1"/>
    </xf>
    <xf numFmtId="166" fontId="0" fillId="0" borderId="0" xfId="0" applyNumberFormat="1" applyFont="1" applyFill="1" applyBorder="1" applyAlignment="1">
      <alignment wrapText="1"/>
    </xf>
    <xf numFmtId="0" fontId="42" fillId="0" borderId="0" xfId="0" applyFont="1" applyBorder="1" applyAlignment="1">
      <alignment wrapText="1"/>
    </xf>
    <xf numFmtId="42" fontId="0" fillId="0" borderId="20" xfId="0" applyNumberFormat="1" applyFont="1" applyBorder="1" applyAlignment="1">
      <alignment wrapText="1"/>
    </xf>
    <xf numFmtId="42" fontId="0" fillId="5" borderId="87" xfId="0" applyNumberFormat="1" applyFont="1" applyFill="1" applyBorder="1" applyAlignment="1">
      <alignment wrapText="1"/>
    </xf>
    <xf numFmtId="0" fontId="2" fillId="0" borderId="0" xfId="0" applyFont="1" applyBorder="1"/>
    <xf numFmtId="166" fontId="0" fillId="5" borderId="0" xfId="0" applyNumberFormat="1" applyFont="1" applyFill="1" applyBorder="1" applyAlignment="1">
      <alignment wrapText="1"/>
    </xf>
    <xf numFmtId="42" fontId="0" fillId="7" borderId="20" xfId="0" applyNumberFormat="1" applyFont="1" applyFill="1" applyBorder="1" applyAlignment="1">
      <alignment wrapText="1"/>
    </xf>
    <xf numFmtId="0" fontId="2" fillId="0" borderId="0" xfId="0" quotePrefix="1" applyFont="1" applyBorder="1"/>
    <xf numFmtId="42" fontId="0" fillId="7" borderId="20" xfId="0" applyNumberFormat="1" applyFill="1" applyBorder="1" applyAlignment="1">
      <alignment wrapText="1"/>
    </xf>
    <xf numFmtId="0" fontId="2" fillId="0" borderId="6" xfId="0" quotePrefix="1" applyFont="1" applyBorder="1"/>
    <xf numFmtId="0" fontId="0" fillId="0" borderId="6" xfId="0" applyFont="1" applyBorder="1"/>
    <xf numFmtId="0" fontId="2" fillId="0" borderId="6" xfId="0" applyFont="1" applyBorder="1"/>
    <xf numFmtId="42" fontId="0" fillId="7" borderId="214" xfId="0" applyNumberFormat="1" applyFill="1" applyBorder="1" applyAlignment="1">
      <alignment wrapText="1"/>
    </xf>
    <xf numFmtId="42" fontId="0" fillId="0" borderId="0" xfId="0" applyNumberFormat="1" applyFont="1" applyFill="1" applyBorder="1" applyAlignment="1">
      <alignment wrapText="1"/>
    </xf>
    <xf numFmtId="0" fontId="2" fillId="0" borderId="614" xfId="0" applyFont="1" applyBorder="1"/>
    <xf numFmtId="0" fontId="0" fillId="0" borderId="615" xfId="0" applyFont="1" applyBorder="1"/>
    <xf numFmtId="0" fontId="2" fillId="0" borderId="616" xfId="0" applyFont="1" applyBorder="1" applyAlignment="1">
      <alignment horizontal="center"/>
    </xf>
    <xf numFmtId="0" fontId="2" fillId="0" borderId="0" xfId="0" applyFont="1" applyBorder="1" applyAlignment="1">
      <alignment horizontal="center"/>
    </xf>
    <xf numFmtId="0" fontId="2" fillId="0" borderId="559" xfId="0" applyFont="1" applyBorder="1"/>
    <xf numFmtId="0" fontId="2" fillId="0" borderId="3" xfId="0" applyFont="1" applyBorder="1" applyAlignment="1">
      <alignment horizontal="center"/>
    </xf>
    <xf numFmtId="0" fontId="0" fillId="0" borderId="559" xfId="0" applyFont="1" applyBorder="1"/>
    <xf numFmtId="0" fontId="0" fillId="0" borderId="0" xfId="0" applyBorder="1" applyAlignment="1">
      <alignment horizontal="left" vertical="top"/>
    </xf>
    <xf numFmtId="0" fontId="2" fillId="0" borderId="0" xfId="0" applyFont="1" applyBorder="1" applyAlignment="1">
      <alignment horizontal="left" vertical="top" wrapText="1"/>
    </xf>
    <xf numFmtId="42" fontId="0" fillId="7" borderId="617" xfId="0" applyNumberFormat="1" applyFont="1" applyFill="1" applyBorder="1" applyAlignment="1">
      <alignment wrapText="1"/>
    </xf>
    <xf numFmtId="0" fontId="0" fillId="0" borderId="12" xfId="0" applyFont="1" applyBorder="1"/>
    <xf numFmtId="0" fontId="0" fillId="0" borderId="566" xfId="0" applyFont="1" applyBorder="1"/>
    <xf numFmtId="0" fontId="2" fillId="0" borderId="566" xfId="0" applyFont="1" applyBorder="1" applyAlignment="1">
      <alignment horizontal="left" vertical="top" wrapText="1"/>
    </xf>
    <xf numFmtId="0" fontId="0" fillId="0" borderId="230" xfId="0" applyFont="1" applyBorder="1"/>
    <xf numFmtId="0" fontId="0" fillId="0" borderId="0" xfId="0" applyBorder="1" applyAlignment="1">
      <alignment wrapText="1"/>
    </xf>
    <xf numFmtId="0" fontId="2" fillId="0" borderId="0" xfId="0" applyFont="1" applyAlignment="1">
      <alignment horizontal="left"/>
    </xf>
    <xf numFmtId="0" fontId="0" fillId="7" borderId="609" xfId="0" applyFont="1" applyFill="1" applyBorder="1" applyAlignment="1">
      <alignment horizontal="center" wrapText="1"/>
    </xf>
    <xf numFmtId="0" fontId="0" fillId="7" borderId="610" xfId="0" applyFont="1" applyFill="1" applyBorder="1" applyAlignment="1">
      <alignment horizontal="center" wrapText="1"/>
    </xf>
    <xf numFmtId="0" fontId="0" fillId="7" borderId="611" xfId="0" applyFont="1" applyFill="1" applyBorder="1" applyAlignment="1">
      <alignment horizontal="center" wrapText="1"/>
    </xf>
    <xf numFmtId="0" fontId="0" fillId="0" borderId="0" xfId="0" applyAlignment="1">
      <alignment horizontal="left" indent="1"/>
    </xf>
    <xf numFmtId="0" fontId="0" fillId="0" borderId="0" xfId="0" applyFont="1" applyAlignment="1">
      <alignment horizontal="left" indent="1"/>
    </xf>
    <xf numFmtId="42" fontId="8" fillId="0" borderId="458" xfId="0" applyNumberFormat="1" applyFont="1" applyFill="1" applyBorder="1" applyAlignment="1" applyProtection="1">
      <protection locked="0"/>
    </xf>
    <xf numFmtId="14" fontId="3" fillId="0" borderId="322" xfId="0" applyNumberFormat="1" applyFont="1" applyFill="1" applyBorder="1" applyAlignment="1" applyProtection="1">
      <alignment horizontal="center"/>
      <protection locked="0"/>
    </xf>
    <xf numFmtId="0" fontId="0" fillId="0" borderId="294" xfId="0" applyFont="1" applyFill="1" applyBorder="1" applyAlignment="1" applyProtection="1">
      <protection locked="0"/>
    </xf>
    <xf numFmtId="0" fontId="0" fillId="0" borderId="281" xfId="0" applyFont="1" applyFill="1" applyBorder="1" applyAlignment="1" applyProtection="1">
      <protection locked="0"/>
    </xf>
    <xf numFmtId="172" fontId="16" fillId="6" borderId="165" xfId="0" applyNumberFormat="1" applyFont="1" applyFill="1" applyBorder="1" applyProtection="1"/>
    <xf numFmtId="172" fontId="16" fillId="6" borderId="120" xfId="0" applyNumberFormat="1" applyFont="1" applyFill="1" applyBorder="1" applyProtection="1"/>
    <xf numFmtId="172" fontId="16" fillId="6" borderId="278" xfId="0" applyNumberFormat="1" applyFont="1" applyFill="1" applyBorder="1" applyProtection="1"/>
    <xf numFmtId="172" fontId="16" fillId="6" borderId="281" xfId="0" applyNumberFormat="1" applyFont="1" applyFill="1" applyBorder="1" applyProtection="1"/>
    <xf numFmtId="172" fontId="16" fillId="6" borderId="403" xfId="0" applyNumberFormat="1" applyFont="1" applyFill="1" applyBorder="1" applyProtection="1"/>
    <xf numFmtId="172" fontId="16" fillId="6" borderId="73" xfId="0" applyNumberFormat="1" applyFont="1" applyFill="1" applyBorder="1" applyProtection="1"/>
    <xf numFmtId="172" fontId="16" fillId="6" borderId="318" xfId="0" applyNumberFormat="1" applyFont="1" applyFill="1" applyBorder="1" applyProtection="1"/>
    <xf numFmtId="172" fontId="16" fillId="18" borderId="76" xfId="0" applyNumberFormat="1" applyFont="1" applyFill="1" applyBorder="1" applyAlignment="1" applyProtection="1">
      <alignment vertical="center"/>
    </xf>
    <xf numFmtId="172" fontId="16" fillId="6" borderId="303" xfId="0" applyNumberFormat="1" applyFont="1" applyFill="1" applyBorder="1" applyProtection="1"/>
    <xf numFmtId="172" fontId="16" fillId="0" borderId="77" xfId="0" applyNumberFormat="1" applyFont="1" applyFill="1" applyBorder="1" applyProtection="1"/>
    <xf numFmtId="172" fontId="16" fillId="6" borderId="62" xfId="0" applyNumberFormat="1" applyFont="1" applyFill="1" applyBorder="1" applyProtection="1"/>
    <xf numFmtId="172" fontId="3" fillId="0" borderId="0" xfId="0" applyNumberFormat="1" applyFont="1" applyFill="1" applyBorder="1" applyProtection="1"/>
    <xf numFmtId="172" fontId="3" fillId="6" borderId="151" xfId="0" applyNumberFormat="1" applyFont="1" applyFill="1" applyBorder="1" applyProtection="1"/>
    <xf numFmtId="0" fontId="121" fillId="0" borderId="0" xfId="0" applyFont="1" applyProtection="1">
      <protection locked="0"/>
    </xf>
    <xf numFmtId="0" fontId="121" fillId="0" borderId="0" xfId="0" applyFont="1" applyFill="1" applyProtection="1">
      <protection locked="0"/>
    </xf>
    <xf numFmtId="0" fontId="121" fillId="34" borderId="0" xfId="0" applyFont="1" applyFill="1" applyProtection="1">
      <protection locked="0"/>
    </xf>
    <xf numFmtId="3" fontId="80" fillId="0" borderId="570" xfId="0" applyNumberFormat="1" applyFont="1" applyFill="1" applyBorder="1" applyAlignment="1" applyProtection="1">
      <alignment horizontal="right"/>
      <protection locked="0"/>
    </xf>
    <xf numFmtId="0" fontId="4" fillId="0" borderId="283" xfId="0" applyFont="1" applyBorder="1" applyAlignment="1" applyProtection="1">
      <alignment vertical="center"/>
      <protection locked="0"/>
    </xf>
    <xf numFmtId="0" fontId="4" fillId="0" borderId="283" xfId="0" applyFont="1" applyFill="1" applyBorder="1" applyAlignment="1" applyProtection="1">
      <alignment vertical="center"/>
      <protection locked="0"/>
    </xf>
    <xf numFmtId="0" fontId="4" fillId="0" borderId="283" xfId="0" applyFont="1" applyFill="1" applyBorder="1" applyAlignment="1" applyProtection="1">
      <alignment vertical="center" wrapText="1"/>
      <protection locked="0"/>
    </xf>
    <xf numFmtId="0" fontId="4" fillId="0" borderId="453" xfId="0" applyFont="1" applyBorder="1" applyAlignment="1" applyProtection="1">
      <alignment vertical="center"/>
      <protection locked="0"/>
    </xf>
    <xf numFmtId="172" fontId="23" fillId="0" borderId="396" xfId="0" applyNumberFormat="1" applyFont="1" applyFill="1" applyBorder="1" applyAlignment="1" applyProtection="1">
      <alignment vertical="center"/>
      <protection locked="0"/>
    </xf>
    <xf numFmtId="42" fontId="122" fillId="57" borderId="73" xfId="0" applyNumberFormat="1" applyFont="1" applyFill="1" applyBorder="1" applyAlignment="1" applyProtection="1">
      <alignment vertical="center"/>
      <protection locked="0"/>
    </xf>
    <xf numFmtId="42" fontId="122" fillId="34" borderId="71" xfId="0" applyNumberFormat="1" applyFont="1" applyFill="1" applyBorder="1" applyAlignment="1" applyProtection="1">
      <alignment vertical="center"/>
      <protection locked="0"/>
    </xf>
    <xf numFmtId="42" fontId="122" fillId="57" borderId="144" xfId="0" applyNumberFormat="1" applyFont="1" applyFill="1" applyBorder="1" applyAlignment="1" applyProtection="1">
      <alignment vertical="center"/>
      <protection locked="0"/>
    </xf>
    <xf numFmtId="42" fontId="122" fillId="57" borderId="137" xfId="0" applyNumberFormat="1" applyFont="1" applyFill="1" applyBorder="1" applyAlignment="1" applyProtection="1">
      <alignment vertical="center"/>
      <protection locked="0"/>
    </xf>
    <xf numFmtId="42" fontId="122" fillId="34" borderId="13" xfId="0" applyNumberFormat="1" applyFont="1" applyFill="1" applyBorder="1" applyProtection="1">
      <protection locked="0"/>
    </xf>
    <xf numFmtId="42" fontId="122" fillId="57" borderId="58" xfId="0" applyNumberFormat="1" applyFont="1" applyFill="1" applyBorder="1" applyAlignment="1" applyProtection="1">
      <alignment vertical="center"/>
      <protection locked="0"/>
    </xf>
    <xf numFmtId="42" fontId="122" fillId="57" borderId="138" xfId="0" applyNumberFormat="1" applyFont="1" applyFill="1" applyBorder="1" applyAlignment="1" applyProtection="1">
      <alignment vertical="center"/>
      <protection locked="0"/>
    </xf>
    <xf numFmtId="10" fontId="121" fillId="34" borderId="0" xfId="2" applyNumberFormat="1" applyFont="1" applyFill="1"/>
    <xf numFmtId="0" fontId="121" fillId="34" borderId="0" xfId="0" applyFont="1" applyFill="1"/>
    <xf numFmtId="42" fontId="121" fillId="34" borderId="0" xfId="0" applyNumberFormat="1" applyFont="1" applyFill="1"/>
    <xf numFmtId="14" fontId="16" fillId="0" borderId="248" xfId="0" applyNumberFormat="1" applyFont="1" applyFill="1" applyBorder="1" applyAlignment="1" applyProtection="1">
      <protection locked="0"/>
    </xf>
    <xf numFmtId="172" fontId="16" fillId="0" borderId="246" xfId="0" applyNumberFormat="1" applyFont="1" applyFill="1" applyBorder="1" applyAlignment="1" applyProtection="1">
      <alignment vertical="center"/>
      <protection locked="0"/>
    </xf>
    <xf numFmtId="172" fontId="16" fillId="0" borderId="247" xfId="0" applyNumberFormat="1" applyFont="1" applyFill="1" applyBorder="1" applyAlignment="1" applyProtection="1">
      <protection locked="0"/>
    </xf>
    <xf numFmtId="172" fontId="16" fillId="0" borderId="251" xfId="0" applyNumberFormat="1" applyFont="1" applyFill="1" applyBorder="1" applyAlignment="1" applyProtection="1">
      <alignment vertical="center"/>
      <protection locked="0"/>
    </xf>
    <xf numFmtId="172" fontId="16" fillId="0" borderId="252" xfId="0" applyNumberFormat="1" applyFont="1" applyFill="1" applyBorder="1" applyAlignment="1" applyProtection="1">
      <protection locked="0"/>
    </xf>
    <xf numFmtId="172" fontId="16" fillId="8" borderId="12" xfId="0" applyNumberFormat="1" applyFont="1" applyFill="1" applyBorder="1" applyAlignment="1" applyProtection="1">
      <alignment vertical="center"/>
    </xf>
    <xf numFmtId="172" fontId="16" fillId="8" borderId="260" xfId="0" applyNumberFormat="1" applyFont="1" applyFill="1" applyBorder="1" applyAlignment="1" applyProtection="1"/>
    <xf numFmtId="172" fontId="16" fillId="6" borderId="12" xfId="0" applyNumberFormat="1" applyFont="1" applyFill="1" applyBorder="1" applyAlignment="1" applyProtection="1"/>
    <xf numFmtId="172" fontId="16" fillId="6" borderId="228" xfId="0" applyNumberFormat="1" applyFont="1" applyFill="1" applyBorder="1" applyAlignment="1" applyProtection="1"/>
    <xf numFmtId="172" fontId="16" fillId="0" borderId="0" xfId="0" applyNumberFormat="1" applyFont="1" applyFill="1" applyBorder="1" applyAlignment="1" applyProtection="1">
      <alignment horizontal="left"/>
    </xf>
    <xf numFmtId="172" fontId="0" fillId="0" borderId="0" xfId="0" applyNumberFormat="1" applyFont="1" applyFill="1" applyProtection="1"/>
    <xf numFmtId="172" fontId="20" fillId="6" borderId="151" xfId="0" applyNumberFormat="1" applyFont="1" applyFill="1" applyBorder="1" applyAlignment="1" applyProtection="1"/>
    <xf numFmtId="172" fontId="16" fillId="0" borderId="246" xfId="0" applyNumberFormat="1" applyFont="1" applyFill="1" applyBorder="1" applyAlignment="1" applyProtection="1">
      <protection locked="0"/>
    </xf>
    <xf numFmtId="172" fontId="16" fillId="0" borderId="251" xfId="0" applyNumberFormat="1" applyFont="1" applyFill="1" applyBorder="1" applyAlignment="1" applyProtection="1">
      <protection locked="0"/>
    </xf>
    <xf numFmtId="172" fontId="16" fillId="8" borderId="12" xfId="0" applyNumberFormat="1" applyFont="1" applyFill="1" applyBorder="1" applyAlignment="1" applyProtection="1"/>
    <xf numFmtId="172" fontId="16" fillId="6" borderId="163" xfId="0" applyNumberFormat="1" applyFont="1" applyFill="1" applyBorder="1" applyAlignment="1" applyProtection="1"/>
    <xf numFmtId="172" fontId="16" fillId="6" borderId="159" xfId="0" applyNumberFormat="1" applyFont="1" applyFill="1" applyBorder="1" applyAlignment="1" applyProtection="1"/>
    <xf numFmtId="172" fontId="43" fillId="0" borderId="0" xfId="0" applyNumberFormat="1" applyFont="1" applyFill="1" applyBorder="1" applyAlignment="1" applyProtection="1">
      <alignment horizontal="right"/>
    </xf>
    <xf numFmtId="172" fontId="0" fillId="0" borderId="0" xfId="0" applyNumberFormat="1" applyFont="1" applyFill="1" applyAlignment="1" applyProtection="1">
      <alignment horizontal="right"/>
    </xf>
    <xf numFmtId="172" fontId="20" fillId="0" borderId="0" xfId="0" applyNumberFormat="1" applyFont="1" applyFill="1" applyBorder="1" applyAlignment="1" applyProtection="1">
      <alignment horizontal="left"/>
    </xf>
    <xf numFmtId="172" fontId="20" fillId="6" borderId="163" xfId="0" applyNumberFormat="1" applyFont="1" applyFill="1" applyBorder="1" applyAlignment="1" applyProtection="1"/>
    <xf numFmtId="172" fontId="20" fillId="6" borderId="153" xfId="0" applyNumberFormat="1" applyFont="1" applyFill="1" applyBorder="1" applyAlignment="1" applyProtection="1"/>
    <xf numFmtId="172" fontId="2" fillId="0" borderId="0" xfId="0" applyNumberFormat="1" applyFont="1" applyFill="1" applyAlignment="1" applyProtection="1">
      <alignment horizontal="right"/>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14" fontId="16" fillId="0" borderId="278" xfId="0" applyNumberFormat="1" applyFont="1" applyFill="1" applyBorder="1" applyAlignment="1" applyProtection="1">
      <protection locked="0"/>
    </xf>
    <xf numFmtId="172" fontId="23" fillId="6" borderId="246" xfId="0" applyNumberFormat="1" applyFont="1" applyFill="1" applyBorder="1" applyAlignment="1" applyProtection="1">
      <alignment vertical="center"/>
    </xf>
    <xf numFmtId="172" fontId="23" fillId="6" borderId="251" xfId="0" applyNumberFormat="1" applyFont="1" applyFill="1" applyBorder="1" applyAlignment="1" applyProtection="1">
      <alignment vertical="center"/>
    </xf>
    <xf numFmtId="172" fontId="23" fillId="6" borderId="355" xfId="0" applyNumberFormat="1" applyFont="1" applyFill="1" applyBorder="1" applyAlignment="1" applyProtection="1">
      <alignment vertical="center"/>
    </xf>
    <xf numFmtId="172" fontId="23" fillId="0" borderId="0" xfId="0" applyNumberFormat="1" applyFont="1" applyFill="1" applyBorder="1" applyAlignment="1" applyProtection="1">
      <alignment vertical="center"/>
    </xf>
    <xf numFmtId="172" fontId="34" fillId="0" borderId="0" xfId="0" applyNumberFormat="1" applyFont="1" applyFill="1" applyBorder="1" applyAlignment="1" applyProtection="1">
      <alignment vertical="center"/>
    </xf>
    <xf numFmtId="172" fontId="23" fillId="0" borderId="36" xfId="0" applyNumberFormat="1" applyFont="1" applyFill="1" applyBorder="1" applyAlignment="1" applyProtection="1">
      <alignment vertical="center"/>
    </xf>
    <xf numFmtId="172" fontId="16" fillId="0" borderId="0" xfId="0" applyNumberFormat="1" applyFont="1" applyBorder="1" applyProtection="1"/>
    <xf numFmtId="42" fontId="121" fillId="0" borderId="0" xfId="0" applyNumberFormat="1" applyFont="1" applyFill="1" applyProtection="1">
      <protection locked="0"/>
    </xf>
    <xf numFmtId="9" fontId="8" fillId="0" borderId="256" xfId="0" applyNumberFormat="1" applyFont="1" applyFill="1" applyBorder="1" applyAlignment="1" applyProtection="1">
      <alignment vertical="center"/>
      <protection locked="0"/>
    </xf>
    <xf numFmtId="42" fontId="121" fillId="34" borderId="0" xfId="0" applyNumberFormat="1" applyFont="1" applyFill="1" applyProtection="1">
      <protection locked="0"/>
    </xf>
    <xf numFmtId="172" fontId="41" fillId="0" borderId="189" xfId="0" applyNumberFormat="1" applyFont="1" applyFill="1" applyBorder="1" applyAlignment="1" applyProtection="1">
      <alignment horizontal="right" vertical="center"/>
    </xf>
    <xf numFmtId="17" fontId="16" fillId="0" borderId="386" xfId="0" applyNumberFormat="1" applyFont="1" applyBorder="1" applyAlignment="1" applyProtection="1">
      <alignment horizontal="left" wrapText="1"/>
      <protection locked="0"/>
    </xf>
    <xf numFmtId="17" fontId="16" fillId="0" borderId="331" xfId="0" applyNumberFormat="1" applyFont="1" applyBorder="1" applyAlignment="1" applyProtection="1">
      <alignment horizontal="left" wrapText="1"/>
      <protection locked="0"/>
    </xf>
    <xf numFmtId="0" fontId="16" fillId="9" borderId="483" xfId="0" applyFont="1" applyFill="1" applyBorder="1" applyAlignment="1" applyProtection="1">
      <alignment horizontal="center" vertical="top" wrapText="1"/>
      <protection locked="0"/>
    </xf>
    <xf numFmtId="42" fontId="16" fillId="0" borderId="331" xfId="1" applyNumberFormat="1" applyFont="1" applyFill="1" applyBorder="1" applyAlignment="1" applyProtection="1">
      <alignment horizontal="left" wrapText="1"/>
    </xf>
    <xf numFmtId="165" fontId="41" fillId="0" borderId="151" xfId="0" applyNumberFormat="1" applyFont="1" applyFill="1" applyBorder="1" applyAlignment="1" applyProtection="1">
      <alignment vertical="center"/>
      <protection locked="0"/>
    </xf>
    <xf numFmtId="172" fontId="41" fillId="0" borderId="327" xfId="0" applyNumberFormat="1" applyFont="1" applyFill="1" applyBorder="1" applyAlignment="1" applyProtection="1">
      <alignment horizontal="right" vertical="center"/>
      <protection locked="0"/>
    </xf>
    <xf numFmtId="42" fontId="41" fillId="5" borderId="218" xfId="0" applyNumberFormat="1" applyFont="1" applyFill="1" applyBorder="1" applyProtection="1">
      <protection locked="0"/>
    </xf>
    <xf numFmtId="42" fontId="41" fillId="5" borderId="458" xfId="0" applyNumberFormat="1" applyFont="1" applyFill="1" applyBorder="1" applyProtection="1">
      <protection locked="0"/>
    </xf>
    <xf numFmtId="42" fontId="41" fillId="5" borderId="139" xfId="0" applyNumberFormat="1" applyFont="1" applyFill="1" applyBorder="1" applyProtection="1">
      <protection locked="0"/>
    </xf>
    <xf numFmtId="42" fontId="41" fillId="5" borderId="256" xfId="0" applyNumberFormat="1" applyFont="1" applyFill="1" applyBorder="1" applyProtection="1">
      <protection locked="0"/>
    </xf>
    <xf numFmtId="42" fontId="41" fillId="5" borderId="298" xfId="0" applyNumberFormat="1" applyFont="1" applyFill="1" applyBorder="1" applyProtection="1">
      <protection locked="0"/>
    </xf>
    <xf numFmtId="42" fontId="41" fillId="5" borderId="459" xfId="0" applyNumberFormat="1" applyFont="1" applyFill="1" applyBorder="1" applyProtection="1">
      <protection locked="0"/>
    </xf>
    <xf numFmtId="42" fontId="41" fillId="5" borderId="355" xfId="0" applyNumberFormat="1" applyFont="1" applyFill="1" applyBorder="1" applyProtection="1">
      <protection locked="0"/>
    </xf>
    <xf numFmtId="42" fontId="41" fillId="5" borderId="314" xfId="0" applyNumberFormat="1" applyFont="1" applyFill="1" applyBorder="1" applyProtection="1">
      <protection locked="0"/>
    </xf>
    <xf numFmtId="42" fontId="41" fillId="5" borderId="372" xfId="0" applyNumberFormat="1" applyFont="1" applyFill="1" applyBorder="1" applyProtection="1">
      <protection locked="0"/>
    </xf>
    <xf numFmtId="42" fontId="41" fillId="6" borderId="162" xfId="0" applyNumberFormat="1" applyFont="1" applyFill="1" applyBorder="1" applyProtection="1"/>
    <xf numFmtId="42" fontId="41" fillId="6" borderId="161" xfId="0" applyNumberFormat="1" applyFont="1" applyFill="1" applyBorder="1" applyProtection="1"/>
    <xf numFmtId="42" fontId="41" fillId="6" borderId="160" xfId="0" applyNumberFormat="1" applyFont="1" applyFill="1" applyBorder="1" applyProtection="1"/>
    <xf numFmtId="42" fontId="41" fillId="6" borderId="151" xfId="0" applyNumberFormat="1" applyFont="1" applyFill="1" applyBorder="1" applyProtection="1"/>
    <xf numFmtId="42" fontId="41" fillId="0" borderId="0" xfId="0" applyNumberFormat="1" applyFont="1" applyFill="1" applyBorder="1" applyProtection="1"/>
    <xf numFmtId="42" fontId="41" fillId="0" borderId="0" xfId="0" applyNumberFormat="1" applyFont="1" applyBorder="1" applyProtection="1"/>
    <xf numFmtId="42" fontId="41" fillId="6" borderId="238" xfId="0" applyNumberFormat="1" applyFont="1" applyFill="1" applyBorder="1" applyProtection="1"/>
    <xf numFmtId="42" fontId="41" fillId="6" borderId="262" xfId="0" applyNumberFormat="1" applyFont="1" applyFill="1" applyBorder="1" applyProtection="1"/>
    <xf numFmtId="42" fontId="41" fillId="6" borderId="259" xfId="0" applyNumberFormat="1" applyFont="1" applyFill="1" applyBorder="1" applyProtection="1"/>
    <xf numFmtId="42" fontId="41" fillId="6" borderId="379" xfId="0" applyNumberFormat="1" applyFont="1" applyFill="1" applyBorder="1" applyProtection="1"/>
    <xf numFmtId="42" fontId="41" fillId="6" borderId="262" xfId="0" applyNumberFormat="1" applyFont="1" applyFill="1" applyBorder="1" applyAlignment="1" applyProtection="1">
      <alignment horizontal="right"/>
    </xf>
    <xf numFmtId="42" fontId="41" fillId="6" borderId="259" xfId="0" applyNumberFormat="1" applyFont="1" applyFill="1" applyBorder="1" applyAlignment="1" applyProtection="1">
      <alignment horizontal="right"/>
    </xf>
    <xf numFmtId="42" fontId="41" fillId="0" borderId="218" xfId="0" applyNumberFormat="1" applyFont="1" applyBorder="1" applyProtection="1">
      <protection locked="0"/>
    </xf>
    <xf numFmtId="42" fontId="41" fillId="0" borderId="458" xfId="0" applyNumberFormat="1" applyFont="1" applyBorder="1" applyProtection="1">
      <protection locked="0"/>
    </xf>
    <xf numFmtId="42" fontId="41" fillId="0" borderId="139" xfId="0" applyNumberFormat="1" applyFont="1" applyBorder="1" applyProtection="1">
      <protection locked="0"/>
    </xf>
    <xf numFmtId="42" fontId="41" fillId="0" borderId="256" xfId="0" applyNumberFormat="1" applyFont="1" applyBorder="1" applyProtection="1">
      <protection locked="0"/>
    </xf>
    <xf numFmtId="42" fontId="41" fillId="0" borderId="298" xfId="0" applyNumberFormat="1" applyFont="1" applyBorder="1" applyProtection="1">
      <protection locked="0"/>
    </xf>
    <xf numFmtId="42" fontId="41" fillId="0" borderId="459" xfId="0" applyNumberFormat="1" applyFont="1" applyBorder="1" applyProtection="1">
      <protection locked="0"/>
    </xf>
    <xf numFmtId="42" fontId="41" fillId="0" borderId="355" xfId="0" applyNumberFormat="1" applyFont="1" applyBorder="1" applyProtection="1">
      <protection locked="0"/>
    </xf>
    <xf numFmtId="42" fontId="41" fillId="0" borderId="314" xfId="0" applyNumberFormat="1" applyFont="1" applyBorder="1" applyProtection="1">
      <protection locked="0"/>
    </xf>
    <xf numFmtId="42" fontId="41" fillId="0" borderId="372" xfId="0" applyNumberFormat="1" applyFont="1" applyBorder="1" applyProtection="1">
      <protection locked="0"/>
    </xf>
    <xf numFmtId="42" fontId="45" fillId="6" borderId="151" xfId="0" applyNumberFormat="1" applyFont="1" applyFill="1" applyBorder="1" applyAlignment="1" applyProtection="1">
      <alignment horizontal="right"/>
    </xf>
    <xf numFmtId="42" fontId="45" fillId="0" borderId="0" xfId="0" applyNumberFormat="1" applyFont="1" applyBorder="1" applyProtection="1"/>
    <xf numFmtId="173" fontId="20" fillId="0" borderId="456" xfId="0" applyNumberFormat="1" applyFont="1" applyFill="1" applyBorder="1" applyAlignment="1" applyProtection="1">
      <alignment horizontal="center" vertical="center"/>
      <protection locked="0"/>
    </xf>
    <xf numFmtId="172" fontId="41" fillId="0" borderId="280" xfId="0" applyNumberFormat="1" applyFont="1" applyFill="1" applyBorder="1" applyAlignment="1" applyProtection="1">
      <alignment vertical="center"/>
      <protection locked="0"/>
    </xf>
    <xf numFmtId="172" fontId="43" fillId="0" borderId="210" xfId="0" applyNumberFormat="1" applyFont="1" applyFill="1" applyBorder="1" applyAlignment="1" applyProtection="1">
      <alignment vertical="center"/>
    </xf>
    <xf numFmtId="14" fontId="16" fillId="0" borderId="234" xfId="0" applyNumberFormat="1" applyFont="1" applyBorder="1" applyProtection="1">
      <protection locked="0"/>
    </xf>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0" fontId="0" fillId="0" borderId="466" xfId="0" applyBorder="1" applyAlignment="1" applyProtection="1">
      <alignment vertical="top"/>
    </xf>
    <xf numFmtId="0" fontId="0" fillId="0" borderId="467"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5"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5" xfId="0" applyFont="1" applyFill="1" applyBorder="1" applyAlignment="1" applyProtection="1"/>
    <xf numFmtId="0" fontId="2" fillId="7" borderId="452"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9" xfId="0" applyNumberFormat="1" applyFont="1" applyFill="1" applyBorder="1" applyProtection="1"/>
    <xf numFmtId="16" fontId="1" fillId="0" borderId="495" xfId="0" applyNumberFormat="1" applyFont="1" applyFill="1" applyBorder="1" applyProtection="1"/>
    <xf numFmtId="16" fontId="1" fillId="0" borderId="520" xfId="0" applyNumberFormat="1" applyFont="1" applyFill="1" applyBorder="1" applyProtection="1"/>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511" xfId="0" applyNumberFormat="1" applyFont="1" applyFill="1" applyBorder="1" applyProtection="1"/>
    <xf numFmtId="16" fontId="1" fillId="0" borderId="524" xfId="0" applyNumberFormat="1" applyFont="1" applyFill="1" applyBorder="1" applyProtection="1"/>
    <xf numFmtId="16" fontId="1" fillId="0" borderId="502" xfId="0" applyNumberFormat="1" applyFont="1" applyFill="1" applyBorder="1" applyProtection="1"/>
    <xf numFmtId="16" fontId="1" fillId="0" borderId="525" xfId="0" applyNumberFormat="1" applyFont="1" applyFill="1" applyBorder="1" applyProtection="1"/>
    <xf numFmtId="16" fontId="0" fillId="0" borderId="519" xfId="0" applyNumberFormat="1" applyFont="1" applyFill="1" applyBorder="1" applyAlignment="1" applyProtection="1"/>
    <xf numFmtId="16" fontId="0" fillId="0" borderId="495" xfId="0" applyNumberFormat="1" applyFont="1" applyFill="1" applyBorder="1" applyAlignment="1" applyProtection="1"/>
    <xf numFmtId="16" fontId="0" fillId="0" borderId="520" xfId="0" applyNumberFormat="1" applyFont="1" applyFill="1" applyBorder="1" applyAlignment="1" applyProtection="1"/>
    <xf numFmtId="16" fontId="0" fillId="0" borderId="499" xfId="0" applyNumberFormat="1" applyFont="1" applyFill="1" applyBorder="1" applyProtection="1"/>
    <xf numFmtId="16" fontId="0" fillId="0" borderId="522" xfId="0" applyNumberFormat="1" applyFont="1" applyFill="1" applyBorder="1" applyProtection="1"/>
    <xf numFmtId="0" fontId="15" fillId="0" borderId="511" xfId="0" applyFont="1" applyFill="1" applyBorder="1" applyProtection="1"/>
    <xf numFmtId="0" fontId="15" fillId="0" borderId="499" xfId="0" applyFont="1" applyFill="1" applyBorder="1" applyProtection="1"/>
    <xf numFmtId="0" fontId="15" fillId="0" borderId="522" xfId="0" applyFont="1" applyFill="1" applyBorder="1" applyProtection="1"/>
    <xf numFmtId="0" fontId="15" fillId="0" borderId="51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0" fillId="0" borderId="511" xfId="0" applyNumberFormat="1" applyFont="1" applyFill="1" applyBorder="1" applyAlignment="1" applyProtection="1"/>
    <xf numFmtId="16" fontId="1" fillId="0" borderId="499" xfId="0" applyNumberFormat="1" applyFont="1" applyFill="1" applyBorder="1" applyAlignment="1" applyProtection="1"/>
    <xf numFmtId="16" fontId="1" fillId="0" borderId="522" xfId="0" applyNumberFormat="1" applyFont="1" applyFill="1" applyBorder="1" applyAlignment="1" applyProtection="1"/>
    <xf numFmtId="0" fontId="15" fillId="0" borderId="524" xfId="0" applyFont="1" applyFill="1" applyBorder="1" applyAlignment="1" applyProtection="1"/>
    <xf numFmtId="0" fontId="15" fillId="0" borderId="502" xfId="0" applyFont="1" applyFill="1" applyBorder="1" applyAlignment="1" applyProtection="1"/>
    <xf numFmtId="0" fontId="15" fillId="0" borderId="525" xfId="0" applyFont="1" applyFill="1" applyBorder="1" applyAlignment="1" applyProtection="1"/>
    <xf numFmtId="16" fontId="1" fillId="0" borderId="519" xfId="0" applyNumberFormat="1" applyFont="1" applyFill="1" applyBorder="1" applyProtection="1"/>
    <xf numFmtId="16" fontId="1" fillId="0" borderId="501" xfId="0" applyNumberFormat="1" applyFont="1" applyFill="1" applyBorder="1" applyProtection="1"/>
    <xf numFmtId="16" fontId="1" fillId="0" borderId="503" xfId="0" applyNumberFormat="1" applyFont="1" applyFill="1" applyBorder="1" applyProtection="1"/>
    <xf numFmtId="16" fontId="1" fillId="0" borderId="507"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1" fillId="0" borderId="500" xfId="0" applyNumberFormat="1" applyFont="1" applyFill="1" applyBorder="1" applyProtection="1"/>
    <xf numFmtId="16" fontId="0" fillId="0" borderId="512" xfId="0" applyNumberFormat="1" applyFont="1" applyFill="1" applyBorder="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495" xfId="0" applyNumberFormat="1" applyFont="1" applyFill="1" applyBorder="1" applyProtection="1"/>
    <xf numFmtId="16" fontId="0" fillId="0" borderId="520" xfId="0" applyNumberFormat="1" applyFont="1" applyFill="1" applyBorder="1" applyProtection="1"/>
    <xf numFmtId="16" fontId="1" fillId="0" borderId="498" xfId="0" applyNumberFormat="1" applyFont="1" applyFill="1" applyBorder="1" applyProtection="1"/>
    <xf numFmtId="16" fontId="0" fillId="0" borderId="498" xfId="0" applyNumberFormat="1" applyFont="1" applyFill="1" applyBorder="1" applyProtection="1"/>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24" fillId="0" borderId="500" xfId="0" applyNumberFormat="1" applyFont="1" applyFill="1" applyBorder="1" applyAlignment="1" applyProtection="1">
      <alignment vertical="top"/>
    </xf>
    <xf numFmtId="16" fontId="1" fillId="0" borderId="494" xfId="0" applyNumberFormat="1" applyFont="1" applyFill="1" applyBorder="1" applyProtection="1"/>
    <xf numFmtId="16" fontId="1" fillId="0" borderId="496" xfId="0" applyNumberFormat="1" applyFont="1" applyFill="1" applyBorder="1" applyProtection="1"/>
    <xf numFmtId="16" fontId="0" fillId="0" borderId="479" xfId="0" applyNumberFormat="1" applyFont="1" applyFill="1" applyBorder="1" applyProtection="1"/>
    <xf numFmtId="16" fontId="0" fillId="0" borderId="485"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0" fontId="0" fillId="0" borderId="485" xfId="0" applyFont="1" applyFill="1" applyBorder="1" applyProtection="1"/>
    <xf numFmtId="0" fontId="0" fillId="0" borderId="491" xfId="0" applyFont="1" applyFill="1" applyBorder="1" applyProtection="1"/>
    <xf numFmtId="0" fontId="1" fillId="0" borderId="492" xfId="0" applyFont="1" applyFill="1" applyBorder="1" applyProtection="1"/>
    <xf numFmtId="0" fontId="1" fillId="0" borderId="493" xfId="0" applyFont="1" applyFill="1" applyBorder="1" applyProtection="1"/>
    <xf numFmtId="16" fontId="0" fillId="0" borderId="494" xfId="0" applyNumberFormat="1"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5"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6"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6"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6"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3" fontId="18" fillId="16" borderId="446"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6"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5"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60"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6"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6" xfId="0" applyNumberFormat="1" applyFont="1" applyFill="1" applyBorder="1" applyAlignment="1" applyProtection="1">
      <alignment horizontal="center" wrapText="1"/>
    </xf>
    <xf numFmtId="166" fontId="51" fillId="0" borderId="566"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2"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9" xfId="0" applyFont="1" applyFill="1" applyBorder="1" applyAlignment="1" applyProtection="1">
      <alignment wrapText="1"/>
      <protection locked="0"/>
    </xf>
    <xf numFmtId="0" fontId="16" fillId="0" borderId="251" xfId="0" applyFont="1" applyFill="1" applyBorder="1" applyProtection="1">
      <protection locked="0"/>
    </xf>
    <xf numFmtId="0" fontId="16" fillId="0" borderId="600"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3"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6"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5" xfId="0" applyNumberFormat="1" applyFont="1" applyFill="1" applyBorder="1" applyAlignment="1" applyProtection="1"/>
    <xf numFmtId="3" fontId="18" fillId="0" borderId="607" xfId="0" applyNumberFormat="1" applyFont="1" applyFill="1" applyBorder="1" applyAlignment="1" applyProtection="1"/>
    <xf numFmtId="0" fontId="16" fillId="0" borderId="418" xfId="0" applyFont="1" applyFill="1" applyBorder="1" applyProtection="1">
      <protection locked="0"/>
    </xf>
    <xf numFmtId="0" fontId="16" fillId="0" borderId="435" xfId="0" applyFont="1" applyFill="1" applyBorder="1" applyProtection="1">
      <protection locked="0"/>
    </xf>
    <xf numFmtId="0" fontId="0" fillId="0" borderId="218" xfId="0" applyFill="1" applyBorder="1" applyAlignment="1" applyProtection="1">
      <alignment horizontal="left" vertical="top" wrapText="1"/>
      <protection locked="0"/>
    </xf>
    <xf numFmtId="0" fontId="0" fillId="0" borderId="220" xfId="0" applyFill="1" applyBorder="1" applyAlignment="1" applyProtection="1">
      <alignment horizontal="left" vertical="top" wrapText="1"/>
      <protection locked="0"/>
    </xf>
    <xf numFmtId="0" fontId="0" fillId="0" borderId="22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229" xfId="0" applyFill="1" applyBorder="1" applyAlignment="1" applyProtection="1">
      <alignment horizontal="left" vertical="top" wrapText="1"/>
      <protection locked="0"/>
    </xf>
    <xf numFmtId="0" fontId="0" fillId="0" borderId="230" xfId="0" applyFill="1" applyBorder="1" applyAlignment="1" applyProtection="1">
      <alignment horizontal="left" vertical="top" wrapText="1"/>
      <protection locked="0"/>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92"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93" xfId="0" applyFont="1" applyFill="1" applyBorder="1" applyAlignment="1" applyProtection="1">
      <alignment vertical="center"/>
      <protection locked="0"/>
    </xf>
    <xf numFmtId="0" fontId="41" fillId="0" borderId="604" xfId="0" applyFont="1" applyFill="1" applyBorder="1" applyAlignment="1" applyProtection="1">
      <alignment horizontal="left" vertical="center" indent="1"/>
    </xf>
    <xf numFmtId="0" fontId="41" fillId="0" borderId="603" xfId="0" applyFont="1" applyFill="1" applyBorder="1" applyAlignment="1" applyProtection="1">
      <alignment horizontal="left" vertical="center" indent="1"/>
    </xf>
    <xf numFmtId="0" fontId="41" fillId="0" borderId="606" xfId="0" applyFont="1" applyFill="1" applyBorder="1" applyAlignment="1" applyProtection="1">
      <alignment horizontal="left" vertical="center" indent="1"/>
    </xf>
    <xf numFmtId="0" fontId="41" fillId="0" borderId="605"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29" xfId="0" applyFont="1" applyFill="1" applyBorder="1" applyAlignment="1" applyProtection="1">
      <alignment horizontal="left"/>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0" borderId="19" xfId="0" applyFont="1" applyFill="1" applyBorder="1" applyAlignment="1" applyProtection="1">
      <alignment horizontal="left" textRotation="90" wrapText="1"/>
      <protection locked="0"/>
    </xf>
    <xf numFmtId="0" fontId="16" fillId="0" borderId="0" xfId="0" applyFont="1" applyFill="1" applyBorder="1" applyAlignment="1" applyProtection="1">
      <alignment horizontal="left" textRotation="90" wrapText="1"/>
      <protection locked="0"/>
    </xf>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72" fillId="0" borderId="0" xfId="0" applyFont="1" applyFill="1" applyBorder="1" applyAlignment="1">
      <alignment horizontal="center" wrapText="1"/>
    </xf>
    <xf numFmtId="0" fontId="0" fillId="0" borderId="0" xfId="0" applyFill="1" applyBorder="1"/>
    <xf numFmtId="0" fontId="82" fillId="0" borderId="0" xfId="0" applyFont="1" applyFill="1" applyBorder="1" applyAlignment="1">
      <alignment horizontal="center" wrapText="1"/>
    </xf>
    <xf numFmtId="0" fontId="82" fillId="0" borderId="6" xfId="0" applyFont="1" applyFill="1" applyBorder="1" applyAlignment="1">
      <alignment horizontal="center" wrapText="1"/>
    </xf>
    <xf numFmtId="0" fontId="83" fillId="16" borderId="0" xfId="0" applyFont="1" applyFill="1" applyBorder="1" applyAlignment="1">
      <alignment horizontal="left"/>
    </xf>
    <xf numFmtId="0" fontId="86" fillId="0" borderId="567" xfId="0" applyFont="1" applyFill="1" applyBorder="1" applyAlignment="1" applyProtection="1">
      <protection locked="0"/>
    </xf>
    <xf numFmtId="0" fontId="86" fillId="0" borderId="568" xfId="0" applyFont="1" applyFill="1" applyBorder="1" applyAlignment="1" applyProtection="1">
      <protection locked="0"/>
    </xf>
    <xf numFmtId="0" fontId="81" fillId="0" borderId="567" xfId="0" applyFont="1" applyFill="1" applyBorder="1" applyAlignment="1" applyProtection="1">
      <alignment horizontal="left"/>
      <protection locked="0"/>
    </xf>
    <xf numFmtId="0" fontId="81" fillId="0" borderId="569" xfId="0" applyFont="1" applyFill="1" applyBorder="1" applyAlignment="1" applyProtection="1">
      <alignment horizontal="left"/>
      <protection locked="0"/>
    </xf>
    <xf numFmtId="0" fontId="72" fillId="0" borderId="0" xfId="0" applyFont="1" applyFill="1" applyBorder="1" applyAlignment="1">
      <alignment wrapText="1"/>
    </xf>
    <xf numFmtId="0" fontId="81" fillId="0" borderId="567" xfId="0" applyFont="1" applyFill="1" applyBorder="1" applyAlignment="1" applyProtection="1">
      <protection locked="0"/>
    </xf>
    <xf numFmtId="0" fontId="81" fillId="0" borderId="568" xfId="0" applyFont="1" applyFill="1" applyBorder="1" applyAlignment="1" applyProtection="1">
      <protection locked="0"/>
    </xf>
    <xf numFmtId="0" fontId="81" fillId="0" borderId="568" xfId="0" applyFont="1" applyFill="1" applyBorder="1" applyAlignment="1" applyProtection="1">
      <alignment horizontal="left"/>
      <protection locked="0"/>
    </xf>
    <xf numFmtId="44" fontId="81" fillId="0" borderId="567" xfId="0" applyNumberFormat="1" applyFont="1" applyFill="1" applyBorder="1" applyAlignment="1" applyProtection="1">
      <alignment horizontal="left"/>
      <protection locked="0"/>
    </xf>
    <xf numFmtId="44" fontId="81" fillId="0" borderId="568" xfId="0" applyNumberFormat="1" applyFont="1" applyFill="1" applyBorder="1" applyAlignment="1" applyProtection="1">
      <alignment horizontal="left"/>
      <protection locked="0"/>
    </xf>
    <xf numFmtId="44" fontId="81" fillId="0" borderId="569" xfId="0" applyNumberFormat="1" applyFont="1" applyFill="1" applyBorder="1" applyAlignment="1" applyProtection="1">
      <alignment horizontal="left"/>
      <protection locked="0"/>
    </xf>
    <xf numFmtId="37" fontId="80" fillId="0" borderId="567" xfId="0" applyNumberFormat="1" applyFont="1" applyFill="1" applyBorder="1" applyAlignment="1" applyProtection="1">
      <alignment horizontal="left"/>
      <protection locked="0"/>
    </xf>
    <xf numFmtId="37" fontId="80" fillId="0" borderId="568" xfId="0" applyNumberFormat="1" applyFont="1" applyFill="1" applyBorder="1" applyAlignment="1" applyProtection="1">
      <alignment horizontal="left"/>
      <protection locked="0"/>
    </xf>
    <xf numFmtId="37" fontId="80" fillId="0" borderId="569" xfId="0" applyNumberFormat="1" applyFont="1" applyFill="1" applyBorder="1" applyAlignment="1" applyProtection="1">
      <alignment horizontal="left"/>
      <protection locked="0"/>
    </xf>
    <xf numFmtId="0" fontId="80" fillId="0" borderId="567" xfId="0" applyFont="1" applyFill="1" applyBorder="1" applyAlignment="1" applyProtection="1">
      <alignment horizontal="left"/>
      <protection locked="0"/>
    </xf>
    <xf numFmtId="0" fontId="80" fillId="0" borderId="568" xfId="0" applyFont="1" applyFill="1" applyBorder="1" applyAlignment="1" applyProtection="1">
      <alignment horizontal="left"/>
      <protection locked="0"/>
    </xf>
    <xf numFmtId="0" fontId="80" fillId="0" borderId="569" xfId="0" applyFont="1" applyFill="1" applyBorder="1" applyAlignment="1" applyProtection="1">
      <alignment horizontal="left"/>
      <protection locked="0"/>
    </xf>
    <xf numFmtId="172" fontId="80" fillId="0" borderId="567" xfId="0" applyNumberFormat="1" applyFont="1" applyFill="1" applyBorder="1" applyAlignment="1" applyProtection="1">
      <alignment horizontal="left"/>
      <protection locked="0"/>
    </xf>
    <xf numFmtId="172" fontId="80" fillId="0" borderId="568" xfId="0" applyNumberFormat="1" applyFont="1" applyFill="1" applyBorder="1" applyAlignment="1" applyProtection="1">
      <alignment horizontal="left"/>
      <protection locked="0"/>
    </xf>
    <xf numFmtId="172" fontId="80" fillId="0" borderId="569" xfId="0" applyNumberFormat="1" applyFont="1" applyFill="1" applyBorder="1" applyAlignment="1" applyProtection="1">
      <alignment horizontal="left"/>
      <protection locked="0"/>
    </xf>
    <xf numFmtId="172" fontId="80" fillId="0" borderId="567" xfId="0" applyNumberFormat="1" applyFont="1" applyFill="1" applyBorder="1" applyAlignment="1" applyProtection="1">
      <alignment horizontal="left"/>
    </xf>
    <xf numFmtId="172" fontId="80" fillId="0" borderId="568" xfId="0" applyNumberFormat="1" applyFont="1" applyFill="1" applyBorder="1" applyAlignment="1" applyProtection="1">
      <alignment horizontal="left"/>
    </xf>
    <xf numFmtId="172" fontId="80" fillId="0" borderId="569" xfId="0" applyNumberFormat="1" applyFont="1" applyFill="1" applyBorder="1" applyAlignment="1" applyProtection="1">
      <alignment horizontal="left"/>
    </xf>
    <xf numFmtId="165" fontId="80" fillId="0" borderId="567" xfId="0" applyNumberFormat="1" applyFont="1" applyFill="1" applyBorder="1" applyAlignment="1" applyProtection="1">
      <alignment horizontal="right"/>
    </xf>
    <xf numFmtId="165" fontId="80" fillId="0" borderId="568" xfId="0" applyNumberFormat="1" applyFont="1" applyFill="1" applyBorder="1" applyAlignment="1" applyProtection="1">
      <alignment horizontal="right"/>
    </xf>
    <xf numFmtId="165" fontId="80" fillId="0" borderId="569" xfId="0" applyNumberFormat="1" applyFont="1" applyFill="1" applyBorder="1" applyAlignment="1" applyProtection="1">
      <alignment horizontal="right"/>
    </xf>
    <xf numFmtId="0" fontId="80" fillId="0" borderId="567" xfId="0" applyFont="1" applyFill="1" applyBorder="1" applyAlignment="1" applyProtection="1">
      <alignment horizontal="right"/>
      <protection locked="0"/>
    </xf>
    <xf numFmtId="0" fontId="80" fillId="0" borderId="568" xfId="0" applyFont="1" applyFill="1" applyBorder="1" applyAlignment="1" applyProtection="1">
      <alignment horizontal="right"/>
      <protection locked="0"/>
    </xf>
    <xf numFmtId="0" fontId="80" fillId="0" borderId="569" xfId="0" applyFont="1" applyFill="1" applyBorder="1" applyAlignment="1" applyProtection="1">
      <alignment horizontal="right"/>
      <protection locked="0"/>
    </xf>
    <xf numFmtId="37" fontId="80" fillId="0" borderId="567" xfId="0" applyNumberFormat="1" applyFont="1" applyFill="1" applyBorder="1" applyAlignment="1" applyProtection="1">
      <alignment horizontal="right"/>
      <protection locked="0"/>
    </xf>
    <xf numFmtId="37" fontId="80" fillId="0" borderId="568" xfId="0" applyNumberFormat="1" applyFont="1" applyFill="1" applyBorder="1" applyAlignment="1" applyProtection="1">
      <alignment horizontal="right"/>
      <protection locked="0"/>
    </xf>
    <xf numFmtId="37" fontId="80" fillId="0" borderId="569" xfId="0" applyNumberFormat="1" applyFont="1" applyFill="1" applyBorder="1" applyAlignment="1" applyProtection="1">
      <alignment horizontal="right"/>
      <protection locked="0"/>
    </xf>
    <xf numFmtId="0" fontId="86" fillId="0" borderId="567" xfId="0" applyFont="1" applyFill="1" applyBorder="1" applyAlignment="1" applyProtection="1">
      <alignment horizontal="left"/>
      <protection locked="0"/>
    </xf>
    <xf numFmtId="0" fontId="86" fillId="0" borderId="569" xfId="0" applyFont="1" applyFill="1" applyBorder="1" applyAlignment="1" applyProtection="1">
      <alignment horizontal="left"/>
      <protection locked="0"/>
    </xf>
    <xf numFmtId="0" fontId="81" fillId="0" borderId="0" xfId="0" applyFont="1" applyFill="1" applyBorder="1" applyAlignment="1">
      <alignment wrapText="1"/>
    </xf>
    <xf numFmtId="0" fontId="91" fillId="0" borderId="163" xfId="0" applyFont="1" applyFill="1" applyBorder="1" applyAlignment="1">
      <alignment horizontal="center" vertical="center"/>
    </xf>
    <xf numFmtId="0" fontId="91" fillId="0" borderId="445" xfId="0" applyFont="1" applyFill="1" applyBorder="1" applyAlignment="1">
      <alignment horizontal="center" vertical="center"/>
    </xf>
    <xf numFmtId="0" fontId="72" fillId="0" borderId="0" xfId="0" applyFont="1" applyFill="1" applyBorder="1" applyAlignment="1">
      <alignment horizontal="left" wrapText="1"/>
    </xf>
    <xf numFmtId="42" fontId="80" fillId="0" borderId="567" xfId="0" applyNumberFormat="1" applyFont="1" applyFill="1" applyBorder="1" applyAlignment="1" applyProtection="1">
      <alignment horizontal="center"/>
      <protection locked="0"/>
    </xf>
    <xf numFmtId="0" fontId="80" fillId="0" borderId="568" xfId="0" applyFont="1" applyFill="1" applyBorder="1" applyAlignment="1" applyProtection="1">
      <alignment horizontal="center"/>
      <protection locked="0"/>
    </xf>
    <xf numFmtId="0" fontId="80" fillId="0" borderId="569" xfId="0" applyFont="1" applyFill="1" applyBorder="1" applyAlignment="1" applyProtection="1">
      <alignment horizontal="center"/>
      <protection locked="0"/>
    </xf>
    <xf numFmtId="0" fontId="81" fillId="3" borderId="566" xfId="0" applyFont="1" applyFill="1" applyBorder="1"/>
    <xf numFmtId="0" fontId="90" fillId="0" borderId="567" xfId="0" applyFont="1" applyFill="1" applyBorder="1" applyAlignment="1" applyProtection="1">
      <alignment horizontal="left"/>
      <protection locked="0"/>
    </xf>
    <xf numFmtId="0" fontId="90" fillId="0" borderId="568" xfId="0" applyFont="1" applyFill="1" applyBorder="1" applyAlignment="1" applyProtection="1">
      <alignment horizontal="left"/>
      <protection locked="0"/>
    </xf>
    <xf numFmtId="0" fontId="90" fillId="0" borderId="569" xfId="0" applyFont="1" applyFill="1" applyBorder="1" applyAlignment="1" applyProtection="1">
      <alignment horizontal="left"/>
      <protection locked="0"/>
    </xf>
    <xf numFmtId="0" fontId="72" fillId="0" borderId="0" xfId="0" applyFont="1" applyFill="1" applyBorder="1" applyAlignment="1"/>
    <xf numFmtId="0" fontId="72" fillId="3" borderId="0" xfId="0" applyFont="1" applyFill="1" applyBorder="1" applyAlignment="1" applyProtection="1">
      <alignment horizontal="left" wrapText="1"/>
    </xf>
    <xf numFmtId="0" fontId="72" fillId="5" borderId="0" xfId="0" applyFont="1" applyFill="1" applyBorder="1" applyAlignment="1" applyProtection="1">
      <alignment horizontal="center" wrapText="1"/>
    </xf>
    <xf numFmtId="0" fontId="0" fillId="0" borderId="0" xfId="0" applyProtection="1"/>
    <xf numFmtId="0" fontId="82" fillId="3" borderId="0" xfId="0" applyFont="1" applyFill="1" applyBorder="1" applyAlignment="1" applyProtection="1">
      <alignment horizontal="center" wrapText="1"/>
    </xf>
    <xf numFmtId="0" fontId="82" fillId="3" borderId="6" xfId="0" applyFont="1" applyFill="1" applyBorder="1" applyAlignment="1" applyProtection="1">
      <alignment horizontal="center" wrapText="1"/>
    </xf>
    <xf numFmtId="0" fontId="86" fillId="0" borderId="579" xfId="0" applyFont="1" applyFill="1" applyBorder="1" applyProtection="1">
      <protection locked="0"/>
    </xf>
    <xf numFmtId="0" fontId="86" fillId="0" borderId="580" xfId="0" applyFont="1" applyFill="1" applyBorder="1" applyProtection="1">
      <protection locked="0"/>
    </xf>
    <xf numFmtId="0" fontId="86" fillId="0" borderId="581" xfId="0" applyFont="1" applyFill="1" applyBorder="1" applyProtection="1">
      <protection locked="0"/>
    </xf>
    <xf numFmtId="0" fontId="86" fillId="0" borderId="0" xfId="0" applyFont="1" applyFill="1" applyBorder="1" applyProtection="1"/>
    <xf numFmtId="0" fontId="81" fillId="0" borderId="579" xfId="0" applyFont="1" applyFill="1" applyBorder="1" applyAlignment="1" applyProtection="1">
      <alignment horizontal="left"/>
      <protection locked="0"/>
    </xf>
    <xf numFmtId="0" fontId="81" fillId="0" borderId="581" xfId="0" applyFont="1" applyFill="1" applyBorder="1" applyAlignment="1" applyProtection="1">
      <alignment horizontal="left"/>
      <protection locked="0"/>
    </xf>
    <xf numFmtId="0" fontId="72" fillId="0" borderId="0" xfId="0" applyFont="1" applyFill="1" applyBorder="1" applyAlignment="1" applyProtection="1">
      <alignment wrapText="1"/>
    </xf>
    <xf numFmtId="0" fontId="83" fillId="16" borderId="0" xfId="0" applyFont="1" applyFill="1" applyBorder="1" applyAlignment="1" applyProtection="1"/>
    <xf numFmtId="0" fontId="82" fillId="3" borderId="566" xfId="0" applyFont="1" applyFill="1" applyBorder="1" applyProtection="1"/>
    <xf numFmtId="0" fontId="81" fillId="0" borderId="580" xfId="0" applyFont="1" applyFill="1" applyBorder="1" applyAlignment="1" applyProtection="1">
      <alignment horizontal="left"/>
      <protection locked="0"/>
    </xf>
    <xf numFmtId="0" fontId="72" fillId="0" borderId="0" xfId="0" applyFont="1" applyFill="1" applyBorder="1" applyAlignment="1" applyProtection="1">
      <alignment horizontal="left" vertical="top" wrapText="1"/>
    </xf>
    <xf numFmtId="0" fontId="81" fillId="0" borderId="579" xfId="0" applyFont="1" applyFill="1" applyBorder="1" applyAlignment="1" applyProtection="1">
      <alignment horizontal="left" vertical="top"/>
      <protection locked="0"/>
    </xf>
    <xf numFmtId="0" fontId="81" fillId="0" borderId="580" xfId="0" applyFont="1" applyFill="1" applyBorder="1" applyAlignment="1" applyProtection="1">
      <alignment horizontal="left" vertical="top"/>
      <protection locked="0"/>
    </xf>
    <xf numFmtId="172" fontId="80" fillId="0" borderId="579" xfId="0" applyNumberFormat="1" applyFont="1" applyFill="1" applyBorder="1" applyAlignment="1" applyProtection="1">
      <alignment horizontal="left"/>
      <protection locked="0"/>
    </xf>
    <xf numFmtId="172" fontId="80" fillId="0" borderId="581" xfId="0" applyNumberFormat="1" applyFont="1" applyFill="1" applyBorder="1" applyAlignment="1" applyProtection="1">
      <alignment horizontal="left"/>
      <protection locked="0"/>
    </xf>
    <xf numFmtId="172" fontId="80" fillId="6" borderId="579" xfId="0" applyNumberFormat="1" applyFont="1" applyFill="1" applyBorder="1" applyAlignment="1" applyProtection="1">
      <alignment horizontal="left"/>
    </xf>
    <xf numFmtId="172" fontId="80" fillId="6" borderId="581" xfId="0" applyNumberFormat="1" applyFont="1" applyFill="1" applyBorder="1" applyAlignment="1" applyProtection="1">
      <alignment horizontal="left"/>
    </xf>
    <xf numFmtId="9" fontId="80" fillId="6" borderId="579" xfId="0" applyNumberFormat="1" applyFont="1" applyFill="1" applyBorder="1" applyAlignment="1" applyProtection="1">
      <alignment horizontal="right"/>
    </xf>
    <xf numFmtId="9" fontId="80" fillId="6" borderId="581" xfId="0" applyNumberFormat="1" applyFont="1" applyFill="1" applyBorder="1" applyAlignment="1" applyProtection="1">
      <alignment horizontal="right"/>
    </xf>
    <xf numFmtId="0" fontId="91" fillId="16" borderId="163" xfId="0" applyFont="1" applyFill="1" applyBorder="1" applyAlignment="1" applyProtection="1">
      <alignment horizontal="center" vertical="center"/>
    </xf>
    <xf numFmtId="0" fontId="91" fillId="16" borderId="445" xfId="0" applyFont="1" applyFill="1" applyBorder="1" applyAlignment="1" applyProtection="1">
      <alignment horizontal="center" vertical="center"/>
    </xf>
    <xf numFmtId="0" fontId="91" fillId="16" borderId="446" xfId="0" applyFont="1" applyFill="1" applyBorder="1" applyAlignment="1" applyProtection="1">
      <alignment horizontal="center" vertical="center"/>
    </xf>
    <xf numFmtId="0" fontId="86" fillId="0" borderId="571" xfId="0" applyFont="1" applyFill="1" applyBorder="1" applyAlignment="1" applyProtection="1">
      <alignment horizontal="left"/>
      <protection locked="0"/>
    </xf>
    <xf numFmtId="0" fontId="86" fillId="0" borderId="573" xfId="0" applyFont="1" applyFill="1" applyBorder="1" applyAlignment="1" applyProtection="1">
      <alignment horizontal="left"/>
      <protection locked="0"/>
    </xf>
    <xf numFmtId="0" fontId="0" fillId="7" borderId="609" xfId="0" applyFont="1" applyFill="1" applyBorder="1" applyAlignment="1">
      <alignment horizontal="center" wrapText="1"/>
    </xf>
    <xf numFmtId="0" fontId="0" fillId="7" borderId="610" xfId="0" applyFont="1" applyFill="1" applyBorder="1" applyAlignment="1">
      <alignment horizontal="center" wrapText="1"/>
    </xf>
    <xf numFmtId="0" fontId="0" fillId="7" borderId="611" xfId="0" applyFont="1" applyFill="1" applyBorder="1" applyAlignment="1">
      <alignment horizontal="center" wrapText="1"/>
    </xf>
    <xf numFmtId="0" fontId="2" fillId="0" borderId="0" xfId="0" applyFont="1" applyBorder="1"/>
    <xf numFmtId="0" fontId="2" fillId="0" borderId="613" xfId="0" applyFont="1" applyBorder="1"/>
    <xf numFmtId="0" fontId="2" fillId="0" borderId="612" xfId="0" applyFont="1" applyBorder="1"/>
    <xf numFmtId="0" fontId="2" fillId="0" borderId="218" xfId="0" applyFont="1" applyBorder="1" applyAlignment="1">
      <alignment horizontal="left" wrapText="1"/>
    </xf>
    <xf numFmtId="0" fontId="2" fillId="0" borderId="220" xfId="0" applyFont="1" applyBorder="1" applyAlignment="1">
      <alignment horizontal="left" wrapText="1"/>
    </xf>
    <xf numFmtId="0" fontId="2" fillId="0" borderId="221" xfId="0" applyFont="1" applyBorder="1" applyAlignment="1">
      <alignment horizontal="left" wrapText="1"/>
    </xf>
    <xf numFmtId="0" fontId="2" fillId="0" borderId="559" xfId="0" applyFont="1" applyBorder="1" applyAlignment="1">
      <alignment horizontal="left" wrapText="1"/>
    </xf>
    <xf numFmtId="0" fontId="2" fillId="0" borderId="0" xfId="0" applyFont="1" applyBorder="1" applyAlignment="1">
      <alignment horizontal="left" wrapText="1"/>
    </xf>
    <xf numFmtId="0" fontId="2" fillId="0" borderId="3" xfId="0" applyFont="1" applyBorder="1" applyAlignment="1">
      <alignment horizontal="left" wrapText="1"/>
    </xf>
    <xf numFmtId="0" fontId="2" fillId="0" borderId="0" xfId="0" applyFont="1" applyFill="1" applyBorder="1" applyAlignment="1">
      <alignment horizontal="right"/>
    </xf>
    <xf numFmtId="0" fontId="2" fillId="0" borderId="612" xfId="0" applyFont="1" applyFill="1" applyBorder="1" applyAlignment="1">
      <alignment horizontal="right"/>
    </xf>
    <xf numFmtId="0" fontId="0" fillId="0" borderId="0" xfId="0" applyBorder="1" applyAlignment="1">
      <alignment wrapText="1"/>
    </xf>
    <xf numFmtId="0" fontId="102" fillId="0" borderId="0" xfId="0" applyFont="1" applyFill="1" applyBorder="1" applyAlignment="1">
      <alignment vertical="top" wrapText="1"/>
    </xf>
    <xf numFmtId="0" fontId="0" fillId="7" borderId="609" xfId="0" applyFont="1" applyFill="1" applyBorder="1" applyAlignment="1">
      <alignment wrapText="1"/>
    </xf>
    <xf numFmtId="0" fontId="0" fillId="7" borderId="610" xfId="0" applyFont="1" applyFill="1" applyBorder="1" applyAlignment="1">
      <alignment wrapText="1"/>
    </xf>
    <xf numFmtId="0" fontId="0" fillId="7" borderId="611" xfId="0" applyFont="1" applyFill="1" applyBorder="1" applyAlignment="1">
      <alignment wrapText="1"/>
    </xf>
    <xf numFmtId="0" fontId="103" fillId="0" borderId="0" xfId="0" applyFont="1" applyFill="1" applyBorder="1" applyAlignment="1">
      <alignment horizontal="left" vertical="top" wrapText="1"/>
    </xf>
    <xf numFmtId="42" fontId="0" fillId="0" borderId="609" xfId="0" applyNumberFormat="1" applyFont="1" applyFill="1" applyBorder="1" applyAlignment="1">
      <alignment wrapText="1"/>
    </xf>
    <xf numFmtId="42" fontId="0" fillId="0" borderId="610" xfId="0" applyNumberFormat="1" applyFont="1" applyFill="1" applyBorder="1" applyAlignment="1">
      <alignment wrapText="1"/>
    </xf>
    <xf numFmtId="42" fontId="0" fillId="0" borderId="611" xfId="0" applyNumberFormat="1" applyFont="1" applyFill="1" applyBorder="1" applyAlignment="1">
      <alignment wrapText="1"/>
    </xf>
    <xf numFmtId="0" fontId="103" fillId="0" borderId="0" xfId="0" applyFont="1" applyFill="1" applyBorder="1" applyAlignment="1">
      <alignment vertical="top" wrapText="1"/>
    </xf>
    <xf numFmtId="0" fontId="103" fillId="0" borderId="612" xfId="0" applyFont="1" applyFill="1" applyBorder="1" applyAlignment="1">
      <alignment vertical="top" wrapText="1"/>
    </xf>
    <xf numFmtId="42" fontId="0" fillId="0" borderId="609" xfId="0" applyNumberFormat="1" applyFont="1" applyBorder="1" applyAlignment="1">
      <alignment wrapText="1"/>
    </xf>
    <xf numFmtId="42" fontId="0" fillId="0" borderId="610" xfId="0" applyNumberFormat="1" applyFont="1" applyBorder="1" applyAlignment="1">
      <alignment wrapText="1"/>
    </xf>
    <xf numFmtId="42" fontId="0" fillId="0" borderId="611" xfId="0" applyNumberFormat="1" applyFont="1" applyBorder="1" applyAlignment="1">
      <alignment wrapText="1"/>
    </xf>
    <xf numFmtId="0" fontId="0" fillId="16" borderId="0" xfId="0" applyFill="1" applyBorder="1" applyAlignment="1">
      <alignment horizontal="left" vertical="top" wrapText="1"/>
    </xf>
    <xf numFmtId="0" fontId="0" fillId="16" borderId="26" xfId="0" applyFill="1" applyBorder="1" applyAlignment="1">
      <alignment horizontal="left" vertical="top" wrapText="1"/>
    </xf>
    <xf numFmtId="0" fontId="77" fillId="0" borderId="0" xfId="0" applyFont="1" applyAlignment="1">
      <alignment horizontal="center"/>
    </xf>
    <xf numFmtId="0" fontId="0" fillId="16" borderId="15" xfId="0" applyFill="1" applyBorder="1" applyAlignment="1"/>
    <xf numFmtId="0" fontId="0" fillId="16" borderId="19" xfId="0" applyFill="1" applyBorder="1" applyAlignment="1"/>
    <xf numFmtId="0" fontId="0" fillId="16" borderId="21" xfId="0" applyFill="1" applyBorder="1" applyAlignment="1"/>
    <xf numFmtId="0" fontId="0" fillId="16" borderId="0" xfId="0" applyFill="1" applyBorder="1" applyAlignment="1">
      <alignment vertical="top" wrapText="1"/>
    </xf>
    <xf numFmtId="0" fontId="0" fillId="16" borderId="0" xfId="0" applyFont="1" applyFill="1" applyBorder="1" applyAlignment="1">
      <alignment vertical="top" wrapText="1"/>
    </xf>
    <xf numFmtId="0" fontId="0" fillId="16" borderId="26" xfId="0" applyFont="1" applyFill="1" applyBorder="1" applyAlignment="1">
      <alignment vertical="top" wrapText="1"/>
    </xf>
    <xf numFmtId="0" fontId="0" fillId="16" borderId="0" xfId="0" applyFill="1" applyBorder="1" applyAlignment="1">
      <alignment horizontal="left"/>
    </xf>
    <xf numFmtId="0" fontId="0" fillId="16" borderId="0" xfId="0" applyFont="1" applyFill="1" applyBorder="1" applyAlignment="1">
      <alignment horizontal="left"/>
    </xf>
    <xf numFmtId="0" fontId="0" fillId="16" borderId="26" xfId="0" applyFont="1" applyFill="1" applyBorder="1" applyAlignment="1">
      <alignment horizontal="left"/>
    </xf>
  </cellXfs>
  <cellStyles count="116">
    <cellStyle name="20% - Accent1 2" xfId="5"/>
    <cellStyle name="20% - Accent2 2" xfId="6"/>
    <cellStyle name="20% - Accent3 2" xfId="7"/>
    <cellStyle name="20% - Accent3 2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alculation 2 2" xfId="32"/>
    <cellStyle name="Check Cell 2" xfId="33"/>
    <cellStyle name="Comma 2" xfId="34"/>
    <cellStyle name="Comma 3" xfId="35"/>
    <cellStyle name="Currency" xfId="1" builtinId="4"/>
    <cellStyle name="Currency 2" xfId="36"/>
    <cellStyle name="Currency 2 2" xfId="37"/>
    <cellStyle name="Currency 3" xfId="38"/>
    <cellStyle name="Explanatory Text 2" xfId="39"/>
    <cellStyle name="Followed Hyperlink" xfId="4"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Good 2" xfId="40"/>
    <cellStyle name="Heading 1 2" xfId="41"/>
    <cellStyle name="Heading 2 2" xfId="42"/>
    <cellStyle name="Heading 3 2" xfId="43"/>
    <cellStyle name="Heading 4 2" xfId="44"/>
    <cellStyle name="Hyperlink" xfId="3"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2" xfId="45"/>
    <cellStyle name="Input 2" xfId="46"/>
    <cellStyle name="Input 2 2" xfId="47"/>
    <cellStyle name="Linked Cell 2" xfId="48"/>
    <cellStyle name="Neutral 2" xfId="49"/>
    <cellStyle name="Normal" xfId="0" builtinId="0"/>
    <cellStyle name="Normal 2" xfId="50"/>
    <cellStyle name="Normal 2 2" xfId="51"/>
    <cellStyle name="Normal 2 2 2" xfId="52"/>
    <cellStyle name="Normal 2 3" xfId="53"/>
    <cellStyle name="Normal 2 3 2" xfId="54"/>
    <cellStyle name="Normal 2 3 3" xfId="55"/>
    <cellStyle name="Normal 2 3 3 2" xfId="56"/>
    <cellStyle name="Normal 2 4" xfId="57"/>
    <cellStyle name="Normal 3" xfId="58"/>
    <cellStyle name="Normal 3 2" xfId="59"/>
    <cellStyle name="Normal 4" xfId="60"/>
    <cellStyle name="Normal 4 2" xfId="61"/>
    <cellStyle name="Normal 4 2 2" xfId="62"/>
    <cellStyle name="Normal 5" xfId="63"/>
    <cellStyle name="Normal 5 2" xfId="64"/>
    <cellStyle name="Normal 5 2 2" xfId="65"/>
    <cellStyle name="Normal 6" xfId="66"/>
    <cellStyle name="Normal 6 2" xfId="67"/>
    <cellStyle name="Normal 7" xfId="68"/>
    <cellStyle name="Normal 7 2" xfId="69"/>
    <cellStyle name="Note 2" xfId="70"/>
    <cellStyle name="Note 2 2" xfId="71"/>
    <cellStyle name="Output 2" xfId="72"/>
    <cellStyle name="Percent" xfId="2" builtinId="5"/>
    <cellStyle name="Percent 2" xfId="73"/>
    <cellStyle name="Percent 2 2" xfId="74"/>
    <cellStyle name="Percent 3" xfId="75"/>
    <cellStyle name="Percent 3 2" xfId="76"/>
    <cellStyle name="Title 2" xfId="77"/>
    <cellStyle name="Total 2" xfId="78"/>
    <cellStyle name="Warning Text 2" xfId="79"/>
  </cellStyles>
  <dxfs count="143">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90000"/>
      </font>
      <fill>
        <patternFill>
          <bgColor theme="5" tint="0.79998168889431442"/>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color rgb="FF990000"/>
      </font>
      <fill>
        <patternFill>
          <bgColor theme="5" tint="0.79998168889431442"/>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outline="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FFFF99"/>
      <color rgb="FFCCFFCC"/>
      <color rgb="FFFFFFCC"/>
      <color rgb="FF996600"/>
      <color rgb="FFCCECFF"/>
      <color rgb="FF31869B"/>
      <color rgb="FF9900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customXml" Target="../customXml/item1.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6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6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2016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C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10</xdr:row>
      <xdr:rowOff>57150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76199" y="95250"/>
          <a:ext cx="10782301"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0">
              <a:solidFill>
                <a:srgbClr val="FF0000"/>
              </a:solidFill>
              <a:effectLst/>
              <a:latin typeface="Verdana" panose="020B0604030504040204" pitchFamily="34" charset="0"/>
              <a:ea typeface="Verdana" panose="020B0604030504040204" pitchFamily="34" charset="0"/>
              <a:cs typeface="Verdana" panose="020B0604030504040204" pitchFamily="34" charset="0"/>
            </a:rPr>
            <a:t>NEW for 2016</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the functioning</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of this Form has been changed. Total Project Cost is now a hand-entry field, to facilitate easier entry of overall</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project costs. 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114299</xdr:colOff>
      <xdr:row>5</xdr:row>
      <xdr:rowOff>95250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a:extLst>
            <a:ext uri="{FF2B5EF4-FFF2-40B4-BE49-F238E27FC236}">
              <a16:creationId xmlns:a16="http://schemas.microsoft.com/office/drawing/2014/main" id="{00000000-0008-0000-1D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107950</xdr:rowOff>
    </xdr:from>
    <xdr:to>
      <xdr:col>16</xdr:col>
      <xdr:colOff>28575</xdr:colOff>
      <xdr:row>11</xdr:row>
      <xdr:rowOff>117475</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76200" y="107950"/>
          <a:ext cx="746125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11A: 9% LIHTC Scoring Synopsis</a:t>
          </a:r>
        </a:p>
        <a:p>
          <a:endParaRPr lang="en-US" sz="1100"/>
        </a:p>
        <a:p>
          <a:r>
            <a:rPr lang="en-US" sz="1100" b="1"/>
            <a:t>Please complete this</a:t>
          </a:r>
          <a:r>
            <a:rPr lang="en-US" sz="1100" b="1" baseline="0"/>
            <a:t> Form </a:t>
          </a:r>
          <a:r>
            <a:rPr lang="en-US" sz="1100" b="1" u="sng" baseline="0"/>
            <a:t>only</a:t>
          </a:r>
          <a:r>
            <a:rPr lang="en-US" sz="1100" b="1" baseline="0"/>
            <a:t> if the project anticipates applying for 9% Low Income Housing Tax Credits.</a:t>
          </a:r>
        </a:p>
        <a:p>
          <a:endParaRPr lang="en-US" sz="1100" baseline="0"/>
        </a:p>
        <a:p>
          <a:r>
            <a:rPr lang="en-US" sz="1100"/>
            <a:t>Please refer to Chapter 6 of the Policies for definitions and specific details on each allocation </a:t>
          </a:r>
        </a:p>
        <a:p>
          <a:r>
            <a:rPr lang="en-US" sz="1100"/>
            <a:t>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11</xdr:col>
      <xdr:colOff>790575</xdr:colOff>
      <xdr:row>3</xdr:row>
      <xdr:rowOff>180975</xdr:rowOff>
    </xdr:from>
    <xdr:to>
      <xdr:col>15</xdr:col>
      <xdr:colOff>47625</xdr:colOff>
      <xdr:row>6</xdr:row>
      <xdr:rowOff>161925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bwMode="auto">
        <a:xfrm>
          <a:off x="5676900" y="752475"/>
          <a:ext cx="1809750" cy="55245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9%</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82550</xdr:rowOff>
    </xdr:from>
    <xdr:to>
      <xdr:col>14</xdr:col>
      <xdr:colOff>152400</xdr:colOff>
      <xdr:row>9</xdr:row>
      <xdr:rowOff>6350</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95250" y="82550"/>
          <a:ext cx="7216775" cy="1685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LIHTC/Bond Scoring Synopsis</a:t>
          </a:r>
        </a:p>
        <a:p>
          <a:endParaRPr lang="en-US" sz="1100"/>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Please see Section 4 of the Multifamily Housing Bonds and 4% Tax Credit Policies</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 description of the following point options.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a:effectLst/>
          </a:endParaRPr>
        </a:p>
        <a:p>
          <a:endParaRPr lang="en-US" sz="1100"/>
        </a:p>
      </xdr:txBody>
    </xdr:sp>
    <xdr:clientData/>
  </xdr:twoCellAnchor>
  <xdr:twoCellAnchor>
    <xdr:from>
      <xdr:col>11</xdr:col>
      <xdr:colOff>390525</xdr:colOff>
      <xdr:row>4</xdr:row>
      <xdr:rowOff>1</xdr:rowOff>
    </xdr:from>
    <xdr:to>
      <xdr:col>13</xdr:col>
      <xdr:colOff>542926</xdr:colOff>
      <xdr:row>6</xdr:row>
      <xdr:rowOff>171451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2200-000004000000}"/>
            </a:ext>
          </a:extLst>
        </xdr:cNvPr>
        <xdr:cNvSpPr txBox="1"/>
      </xdr:nvSpPr>
      <xdr:spPr bwMode="auto">
        <a:xfrm>
          <a:off x="5133975" y="952501"/>
          <a:ext cx="1981201" cy="647700"/>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2016 Bond/</a:t>
          </a:r>
        </a:p>
        <a:p>
          <a:pPr algn="ctr"/>
          <a:r>
            <a:rPr lang="en-US" sz="1400" u="sng">
              <a:solidFill>
                <a:srgbClr val="0000FF"/>
              </a:solidFill>
            </a:rPr>
            <a:t>Tax</a:t>
          </a:r>
          <a:r>
            <a:rPr lang="en-US" sz="1400" u="sng" baseline="0">
              <a:solidFill>
                <a:srgbClr val="0000FF"/>
              </a:solidFill>
            </a:rPr>
            <a:t> Credit </a:t>
          </a:r>
          <a:r>
            <a:rPr lang="en-US" sz="1400" u="sng">
              <a:solidFill>
                <a:srgbClr val="0000FF"/>
              </a:solidFill>
              <a:latin typeface="+mn-lt"/>
              <a:ea typeface="+mn-ea"/>
              <a:cs typeface="+mn-cs"/>
            </a:rPr>
            <a:t>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s-fs\Shared_Folders\MASTERS\Application\2013%20Application\e3_combined_funders_forms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s-fs\Shared_Folders\MASTERS\Application\2014%20Application\e3_combined_funders_forms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STERS\Application\2016%20Application\e3_UPDATED_combined_funders_forms_20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2_9percent_addendum_forms_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b-s-fs\Shared_Folders\MASTERS\Application\2014%20Application\f2_9percent_addendum_forms_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b-s-fs\Shared_Folders\Users\Greg\Downloads\BondTCApp.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Point%20balancing%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Population"/>
      <sheetName val="Form 1B Special Needs"/>
      <sheetName val="Form 1C Units"/>
      <sheetName val="Form 1D Square Footage Summary"/>
      <sheetName val="Form 2a- ESDS Checklist (RURAL)"/>
      <sheetName val="Form 2b- ESDS Checklist (URBAN)"/>
      <sheetName val="ESDS-UnderTheHood"/>
      <sheetName val="Form 4 Relocation Budget"/>
      <sheetName val="Form 5 Project Schedule"/>
      <sheetName val="Form 6A Residential Budget"/>
      <sheetName val="Form 6B Nonres Budget"/>
      <sheetName val="Form 6C Budget Narrative"/>
      <sheetName val="Form 6D LIHTC Budget"/>
      <sheetName val="Form 6E LIHTC Calculation"/>
      <sheetName val="Form 7 Financing"/>
      <sheetName val="Form 8A Rents"/>
      <sheetName val="Form 8B Operating Sources"/>
      <sheetName val="Form 8C Operating Pro Forma"/>
      <sheetName val="Form 8D Op Budget Details"/>
      <sheetName val="Form 8E Operating Personnel"/>
      <sheetName val="Form 9A Contact List"/>
      <sheetName val="Form 9B ID of Interest"/>
      <sheetName val="Form 9C Sponsor Experience"/>
      <sheetName val="Form 9D Dev Consultant Exp "/>
      <sheetName val="Form 9E Prop.Manager Experience"/>
      <sheetName val="Form 10 Service Budget"/>
      <sheetName val="Form 11 LIHTC Scoring Synopsis"/>
      <sheetName val="Form 11 LIHTC Scoring"/>
      <sheetName val="Under the LIHTC Hood"/>
      <sheetName val="Under the Hood"/>
    </sheetNames>
    <sheetDataSet>
      <sheetData sheetId="0"/>
      <sheetData sheetId="1"/>
      <sheetData sheetId="2"/>
      <sheetData sheetId="3"/>
      <sheetData sheetId="4"/>
      <sheetData sheetId="5"/>
      <sheetData sheetId="6">
        <row r="3">
          <cell r="B3" t="str">
            <v>X</v>
          </cell>
          <cell r="D3">
            <v>1</v>
          </cell>
          <cell r="F3">
            <v>1</v>
          </cell>
          <cell r="H3">
            <v>2</v>
          </cell>
          <cell r="J3">
            <v>5</v>
          </cell>
          <cell r="L3" t="str">
            <v>X</v>
          </cell>
          <cell r="N3">
            <v>2</v>
          </cell>
          <cell r="P3">
            <v>17</v>
          </cell>
          <cell r="R3">
            <v>4</v>
          </cell>
        </row>
        <row r="4">
          <cell r="B4" t="str">
            <v>n/a</v>
          </cell>
          <cell r="D4">
            <v>2</v>
          </cell>
          <cell r="F4">
            <v>2</v>
          </cell>
          <cell r="L4">
            <v>5</v>
          </cell>
          <cell r="N4">
            <v>5</v>
          </cell>
        </row>
        <row r="5">
          <cell r="D5">
            <v>3</v>
          </cell>
          <cell r="F5">
            <v>3</v>
          </cell>
          <cell r="L5" t="str">
            <v>n/a</v>
          </cell>
          <cell r="N5">
            <v>7</v>
          </cell>
        </row>
        <row r="6">
          <cell r="F6">
            <v>4</v>
          </cell>
        </row>
        <row r="7">
          <cell r="F7">
            <v>5</v>
          </cell>
        </row>
        <row r="10">
          <cell r="B10">
            <v>3</v>
          </cell>
          <cell r="D10">
            <v>2</v>
          </cell>
          <cell r="F10">
            <v>10</v>
          </cell>
          <cell r="H10">
            <v>3</v>
          </cell>
          <cell r="J10">
            <v>1</v>
          </cell>
          <cell r="L10">
            <v>1</v>
          </cell>
          <cell r="N10">
            <v>4</v>
          </cell>
          <cell r="P10">
            <v>3</v>
          </cell>
        </row>
        <row r="11">
          <cell r="B11">
            <v>5</v>
          </cell>
          <cell r="D11">
            <v>4</v>
          </cell>
          <cell r="J11">
            <v>2</v>
          </cell>
          <cell r="L11">
            <v>2</v>
          </cell>
          <cell r="N11">
            <v>6</v>
          </cell>
          <cell r="P11">
            <v>7</v>
          </cell>
        </row>
        <row r="12">
          <cell r="D12">
            <v>6</v>
          </cell>
          <cell r="J12">
            <v>4</v>
          </cell>
          <cell r="L12">
            <v>3</v>
          </cell>
          <cell r="N12">
            <v>8</v>
          </cell>
        </row>
        <row r="13">
          <cell r="D13">
            <v>7</v>
          </cell>
          <cell r="J13">
            <v>6</v>
          </cell>
          <cell r="L13">
            <v>4</v>
          </cell>
        </row>
        <row r="14">
          <cell r="L14">
            <v>5</v>
          </cell>
        </row>
        <row r="15">
          <cell r="L15">
            <v>6</v>
          </cell>
        </row>
        <row r="17">
          <cell r="B17">
            <v>0.5</v>
          </cell>
          <cell r="D17">
            <v>1</v>
          </cell>
          <cell r="F17">
            <v>1</v>
          </cell>
          <cell r="H17">
            <v>2</v>
          </cell>
        </row>
        <row r="18">
          <cell r="B18">
            <v>1</v>
          </cell>
          <cell r="F18">
            <v>2</v>
          </cell>
          <cell r="H18">
            <v>3</v>
          </cell>
        </row>
        <row r="19">
          <cell r="B19">
            <v>1.5</v>
          </cell>
          <cell r="F19">
            <v>3</v>
          </cell>
          <cell r="H19">
            <v>5</v>
          </cell>
        </row>
        <row r="20">
          <cell r="B20">
            <v>2</v>
          </cell>
          <cell r="F20">
            <v>4</v>
          </cell>
        </row>
        <row r="21">
          <cell r="B21">
            <v>2.5</v>
          </cell>
          <cell r="F21">
            <v>5</v>
          </cell>
        </row>
        <row r="22">
          <cell r="B22">
            <v>3</v>
          </cell>
          <cell r="F22">
            <v>6</v>
          </cell>
        </row>
        <row r="23">
          <cell r="B23">
            <v>3.5</v>
          </cell>
          <cell r="F23">
            <v>7</v>
          </cell>
        </row>
        <row r="24">
          <cell r="B24">
            <v>4</v>
          </cell>
          <cell r="F24">
            <v>8</v>
          </cell>
        </row>
        <row r="25">
          <cell r="B25">
            <v>4.5</v>
          </cell>
          <cell r="F25">
            <v>9</v>
          </cell>
        </row>
        <row r="26">
          <cell r="B26">
            <v>5</v>
          </cell>
          <cell r="F26">
            <v>10</v>
          </cell>
        </row>
        <row r="30">
          <cell r="B30">
            <v>0.5</v>
          </cell>
          <cell r="D30">
            <v>2</v>
          </cell>
          <cell r="F30">
            <v>7</v>
          </cell>
        </row>
        <row r="31">
          <cell r="B31">
            <v>1</v>
          </cell>
          <cell r="D31">
            <v>4</v>
          </cell>
        </row>
        <row r="32">
          <cell r="B32">
            <v>1.5</v>
          </cell>
          <cell r="D32">
            <v>6</v>
          </cell>
        </row>
        <row r="33">
          <cell r="B33">
            <v>2</v>
          </cell>
          <cell r="D33">
            <v>8</v>
          </cell>
        </row>
        <row r="34">
          <cell r="B34">
            <v>2.5</v>
          </cell>
        </row>
        <row r="35">
          <cell r="B35">
            <v>3</v>
          </cell>
        </row>
        <row r="36">
          <cell r="B36">
            <v>3.5</v>
          </cell>
        </row>
        <row r="37">
          <cell r="B37">
            <v>4</v>
          </cell>
        </row>
        <row r="38">
          <cell r="B38">
            <v>4.5</v>
          </cell>
        </row>
        <row r="39">
          <cell r="B39">
            <v>5</v>
          </cell>
        </row>
        <row r="40">
          <cell r="B40">
            <v>5.5</v>
          </cell>
        </row>
        <row r="41">
          <cell r="B41">
            <v>6</v>
          </cell>
        </row>
        <row r="42">
          <cell r="B42">
            <v>6.5</v>
          </cell>
        </row>
        <row r="43">
          <cell r="B43">
            <v>7</v>
          </cell>
        </row>
        <row r="44">
          <cell r="B44">
            <v>7.5</v>
          </cell>
        </row>
        <row r="45">
          <cell r="B45">
            <v>8</v>
          </cell>
        </row>
        <row r="46">
          <cell r="B46">
            <v>8.5</v>
          </cell>
        </row>
        <row r="47">
          <cell r="B47">
            <v>9</v>
          </cell>
        </row>
        <row r="48">
          <cell r="B48">
            <v>9.5</v>
          </cell>
        </row>
        <row r="49">
          <cell r="B49">
            <v>10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D2" t="str">
            <v>• Adams - 1 Point</v>
          </cell>
        </row>
        <row r="3">
          <cell r="D3" t="str">
            <v>• Asotin  - 1 Point</v>
          </cell>
        </row>
        <row r="4">
          <cell r="D4" t="str">
            <v>• Benton - 3 Points</v>
          </cell>
        </row>
        <row r="5">
          <cell r="D5" t="str">
            <v>• Chelan - 5 Points</v>
          </cell>
        </row>
        <row r="6">
          <cell r="D6" t="str">
            <v>• Clallam - 1 Point</v>
          </cell>
        </row>
        <row r="7">
          <cell r="D7" t="str">
            <v>• Clark - 5 Points</v>
          </cell>
        </row>
        <row r="8">
          <cell r="D8" t="str">
            <v>• Columbia - 1 Point</v>
          </cell>
        </row>
        <row r="9">
          <cell r="D9" t="str">
            <v>• Cowlitz - 5 Points</v>
          </cell>
        </row>
        <row r="10">
          <cell r="D10" t="str">
            <v>• Douglas - 1 Point</v>
          </cell>
        </row>
        <row r="11">
          <cell r="D11" t="str">
            <v>• Ferry - 1 Point</v>
          </cell>
        </row>
        <row r="12">
          <cell r="D12" t="str">
            <v>• Franklin - 3 Points</v>
          </cell>
        </row>
        <row r="13">
          <cell r="D13" t="str">
            <v>• Garfield - 1 Point</v>
          </cell>
        </row>
        <row r="14">
          <cell r="D14" t="str">
            <v>• Grant - 3 Points</v>
          </cell>
        </row>
        <row r="15">
          <cell r="D15" t="str">
            <v>• Grays Harbor - 3 Points</v>
          </cell>
        </row>
        <row r="16">
          <cell r="D16" t="str">
            <v>• Island - 1 Point</v>
          </cell>
        </row>
        <row r="17">
          <cell r="D17" t="str">
            <v>• Jefferson - 1 Point</v>
          </cell>
        </row>
        <row r="18">
          <cell r="D18" t="str">
            <v>• King - 10 Points</v>
          </cell>
        </row>
        <row r="19">
          <cell r="D19" t="str">
            <v>• Kitsap - 5 Points</v>
          </cell>
        </row>
        <row r="20">
          <cell r="D20" t="str">
            <v>• Kittitas - 5 Points</v>
          </cell>
        </row>
        <row r="21">
          <cell r="D21" t="str">
            <v>• Klickitat - 1 Point</v>
          </cell>
        </row>
        <row r="22">
          <cell r="D22" t="str">
            <v>• Lewis - 3 Points</v>
          </cell>
        </row>
        <row r="23">
          <cell r="D23" t="str">
            <v>• Lincoln - 1 Point</v>
          </cell>
        </row>
        <row r="24">
          <cell r="D24" t="str">
            <v>• Mason - 1 Point</v>
          </cell>
        </row>
        <row r="25">
          <cell r="D25" t="str">
            <v>• Okanogan - 3 Points</v>
          </cell>
        </row>
        <row r="26">
          <cell r="D26" t="str">
            <v>• Pacific - 1 Point</v>
          </cell>
        </row>
        <row r="27">
          <cell r="D27" t="str">
            <v>• Pend Oreille - 1 Point</v>
          </cell>
        </row>
        <row r="28">
          <cell r="D28" t="str">
            <v>• Pierce - 7 Points</v>
          </cell>
        </row>
        <row r="29">
          <cell r="D29" t="str">
            <v>• San Juan - 1 Point</v>
          </cell>
        </row>
        <row r="30">
          <cell r="D30" t="str">
            <v>• Skagit - 3 Points</v>
          </cell>
        </row>
        <row r="31">
          <cell r="D31" t="str">
            <v>• Skamania - 1 Point</v>
          </cell>
        </row>
        <row r="32">
          <cell r="D32" t="str">
            <v>• Snohomish - 5 Points</v>
          </cell>
        </row>
        <row r="33">
          <cell r="D33" t="str">
            <v>• Spokane - 7 Points</v>
          </cell>
        </row>
        <row r="34">
          <cell r="D34" t="str">
            <v>• Stevens - 1 Point</v>
          </cell>
        </row>
        <row r="35">
          <cell r="D35" t="str">
            <v>• Thurston - 5 Points</v>
          </cell>
        </row>
        <row r="36">
          <cell r="D36" t="str">
            <v>• Wahkiakum - 1 Point</v>
          </cell>
        </row>
        <row r="37">
          <cell r="D37" t="str">
            <v>• Walla Walla - 5 Points</v>
          </cell>
        </row>
        <row r="38">
          <cell r="D38" t="str">
            <v>• Whatcom - 5 Points</v>
          </cell>
        </row>
        <row r="39">
          <cell r="D39" t="str">
            <v>• Whitman - 5 Points</v>
          </cell>
        </row>
        <row r="40">
          <cell r="D40" t="str">
            <v>• Yakima - 5 Points</v>
          </cell>
        </row>
        <row r="50">
          <cell r="D50" t="str">
            <v>No points Taken</v>
          </cell>
        </row>
        <row r="51">
          <cell r="D51" t="str">
            <v>• 75% of the Total Housing Units as Housing for the Homeless (Homeless Option C)</v>
          </cell>
        </row>
        <row r="52">
          <cell r="D52" t="str">
            <v xml:space="preserve">• 75% of the Total Housing Units as Low-Income Housing Units for Farmworkers </v>
          </cell>
        </row>
        <row r="55">
          <cell r="D55" t="str">
            <v>No points Taken</v>
          </cell>
        </row>
        <row r="56">
          <cell r="D56" t="str">
            <v>• 20% of the Total Housing Units for Large Households</v>
          </cell>
        </row>
        <row r="57">
          <cell r="D57" t="str">
            <v>• 20% of the Total Housing Units as Housing for Persons with Disabilities</v>
          </cell>
        </row>
        <row r="58">
          <cell r="D58" t="str">
            <v>• Elderly Housing Project</v>
          </cell>
        </row>
        <row r="59">
          <cell r="D59" t="str">
            <v>• 20% of the Total Housing Units as Housing for the Homeless (Homeless Option A)</v>
          </cell>
        </row>
        <row r="60">
          <cell r="D60" t="str">
            <v>• 20% of the Total Housing Units as Transitional Housing (Homeless Option B)</v>
          </cell>
        </row>
        <row r="62">
          <cell r="D62" t="str">
            <v>No Points Taken</v>
          </cell>
        </row>
        <row r="63">
          <cell r="D63" t="str">
            <v>• 10% of the Total Housing Units for Large Households</v>
          </cell>
        </row>
        <row r="64">
          <cell r="D64" t="str">
            <v>• 10% of the Total Housing Units as Housing for Persons with Disabilities</v>
          </cell>
        </row>
        <row r="65">
          <cell r="D65" t="str">
            <v>• 10% of the Total Housing Units as Housing for the Homeless (Homeless Option A)</v>
          </cell>
        </row>
        <row r="66">
          <cell r="D66" t="str">
            <v>• 10% of the Total Housing Units as Transitional Housing (Homeless Option B)</v>
          </cell>
        </row>
        <row r="70">
          <cell r="D70" t="str">
            <v>• 10% - 10 Points</v>
          </cell>
        </row>
        <row r="71">
          <cell r="D71" t="str">
            <v>• 11 % - 8 Points</v>
          </cell>
        </row>
        <row r="72">
          <cell r="D72" t="str">
            <v>• 12 % - 6 Points</v>
          </cell>
        </row>
        <row r="73">
          <cell r="D73" t="str">
            <v>• 13 % - 4 Points</v>
          </cell>
        </row>
        <row r="74">
          <cell r="D74" t="str">
            <v>• 14 % - 2 Points</v>
          </cell>
        </row>
        <row r="75">
          <cell r="D75" t="str">
            <v>• ≥ 15 % - 0 Points</v>
          </cell>
        </row>
        <row r="83">
          <cell r="D83" t="str">
            <v>• Not a Targeted Area</v>
          </cell>
        </row>
        <row r="84">
          <cell r="D84" t="str">
            <v>• Difficult to Develop Area (DDA) - Five Points</v>
          </cell>
        </row>
        <row r="85">
          <cell r="D85" t="str">
            <v>• Qualified Census Tract (QCT) - Five Points</v>
          </cell>
        </row>
        <row r="86">
          <cell r="D86" t="str">
            <v>• Approved by goverining body or CEO of jurisdiction and approved by WSHFC - Five Points</v>
          </cell>
        </row>
        <row r="87">
          <cell r="D87" t="str">
            <v>• Yes - 2 Points</v>
          </cell>
        </row>
        <row r="88">
          <cell r="D88" t="str">
            <v>• No</v>
          </cell>
        </row>
        <row r="90">
          <cell r="D90" t="str">
            <v>• 30%</v>
          </cell>
        </row>
        <row r="91">
          <cell r="D91" t="str">
            <v>• 40%</v>
          </cell>
        </row>
        <row r="92">
          <cell r="D92" t="str">
            <v>• 50%</v>
          </cell>
        </row>
        <row r="93">
          <cell r="D93" t="str">
            <v>• 60%</v>
          </cell>
        </row>
      </sheetData>
      <sheetData sheetId="29">
        <row r="10">
          <cell r="C10" t="str">
            <v xml:space="preserve">Grant </v>
          </cell>
        </row>
        <row r="11">
          <cell r="C11" t="str">
            <v>Loan</v>
          </cell>
        </row>
        <row r="16">
          <cell r="C16" t="str">
            <v>Public</v>
          </cell>
        </row>
        <row r="17">
          <cell r="C17" t="str">
            <v>Private</v>
          </cell>
        </row>
        <row r="36">
          <cell r="C36" t="str">
            <v>30%</v>
          </cell>
        </row>
        <row r="37">
          <cell r="C37" t="str">
            <v>40%</v>
          </cell>
        </row>
        <row r="38">
          <cell r="C38" t="str">
            <v>50%</v>
          </cell>
        </row>
        <row r="39">
          <cell r="C39" t="str">
            <v>60%</v>
          </cell>
        </row>
        <row r="40">
          <cell r="C40" t="str">
            <v>80%</v>
          </cell>
        </row>
        <row r="42">
          <cell r="C42" t="str">
            <v>Yes or No</v>
          </cell>
        </row>
        <row r="43">
          <cell r="C43" t="str">
            <v>Yes</v>
          </cell>
        </row>
        <row r="44">
          <cell r="C44"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row r="54">
          <cell r="C54" t="str">
            <v>General (no Special Needs)</v>
          </cell>
        </row>
        <row r="55">
          <cell r="C55" t="str">
            <v>Developmentally disabled</v>
          </cell>
        </row>
        <row r="56">
          <cell r="C56" t="str">
            <v>HIV/AIDS</v>
          </cell>
        </row>
        <row r="57">
          <cell r="C57" t="str">
            <v>Domestic violence</v>
          </cell>
        </row>
        <row r="58">
          <cell r="C58" t="str">
            <v>Substance abuse</v>
          </cell>
        </row>
        <row r="59">
          <cell r="C59" t="str">
            <v>Chronically mentally ill</v>
          </cell>
        </row>
        <row r="60">
          <cell r="C60" t="str">
            <v xml:space="preserve">Multiple special needs </v>
          </cell>
        </row>
        <row r="61">
          <cell r="C61" t="str">
            <v>Physically disabled</v>
          </cell>
        </row>
        <row r="62">
          <cell r="C62" t="str">
            <v>Youth under 18</v>
          </cell>
        </row>
        <row r="63">
          <cell r="C63" t="str">
            <v>Youth 18–24</v>
          </cell>
        </row>
        <row r="64">
          <cell r="C64" t="str">
            <v>Veteran</v>
          </cell>
        </row>
        <row r="65">
          <cell r="C65" t="str">
            <v xml:space="preserve">Other </v>
          </cell>
        </row>
        <row r="74">
          <cell r="C74" t="str">
            <v>X</v>
          </cell>
        </row>
        <row r="81">
          <cell r="C81" t="str">
            <v>Yes</v>
          </cell>
        </row>
        <row r="82">
          <cell r="C82" t="str">
            <v>Yes, ADA-Compliant</v>
          </cell>
        </row>
        <row r="83">
          <cell r="C83"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A"/>
      <sheetName val="PopTypes_Dropdown"/>
      <sheetName val="Definitions"/>
      <sheetName val="1A"/>
      <sheetName val="1B"/>
      <sheetName val="2A"/>
      <sheetName val="2B"/>
      <sheetName val="2C"/>
      <sheetName val="ESDS-Lookup-Table"/>
      <sheetName val="3"/>
      <sheetName val="4"/>
      <sheetName val="5"/>
      <sheetName val="6A"/>
      <sheetName val="6B"/>
      <sheetName val="6C"/>
      <sheetName val="6D"/>
      <sheetName val="6E"/>
      <sheetName val="7B"/>
      <sheetName val="8A"/>
      <sheetName val="8B"/>
      <sheetName val="8C"/>
      <sheetName val="8D"/>
      <sheetName val="8E"/>
      <sheetName val="8E(2)"/>
      <sheetName val="8F"/>
      <sheetName val="9A"/>
      <sheetName val="9B"/>
      <sheetName val="9C"/>
      <sheetName val="9D"/>
      <sheetName val="9E"/>
      <sheetName val="11A"/>
      <sheetName val="11B"/>
      <sheetName val="HTF ROLLUP"/>
      <sheetName val="LIHTC_Dropdowns"/>
    </sheetNames>
    <sheetDataSet>
      <sheetData sheetId="0">
        <row r="31">
          <cell r="F31">
            <v>0</v>
          </cell>
        </row>
      </sheetData>
      <sheetData sheetId="1" refreshError="1">
        <row r="4">
          <cell r="B4" t="str">
            <v>General</v>
          </cell>
        </row>
        <row r="5">
          <cell r="B5" t="str">
            <v>Individuals</v>
          </cell>
        </row>
        <row r="6">
          <cell r="B6" t="str">
            <v>Households with Children</v>
          </cell>
        </row>
        <row r="7">
          <cell r="B7" t="str">
            <v>Developmental Disabilities</v>
          </cell>
        </row>
        <row r="8">
          <cell r="B8" t="str">
            <v>Physical Disabilities</v>
          </cell>
        </row>
        <row r="9">
          <cell r="B9" t="str">
            <v>Chronic Mental Illness</v>
          </cell>
        </row>
        <row r="10">
          <cell r="B10" t="str">
            <v>Substance Abuse</v>
          </cell>
        </row>
        <row r="11">
          <cell r="B11" t="str">
            <v>HIV/AIDS</v>
          </cell>
        </row>
        <row r="12">
          <cell r="B12" t="str">
            <v>Multiple Special Needs (describe below)</v>
          </cell>
        </row>
        <row r="13">
          <cell r="B13" t="str">
            <v>Domestic Violence</v>
          </cell>
        </row>
        <row r="14">
          <cell r="B14" t="str">
            <v>Youth Under 18</v>
          </cell>
        </row>
        <row r="15">
          <cell r="B15" t="str">
            <v>Young Adults 18-24</v>
          </cell>
        </row>
        <row r="16">
          <cell r="B16" t="str">
            <v>Veteran</v>
          </cell>
        </row>
        <row r="17">
          <cell r="B17" t="str">
            <v>Senior</v>
          </cell>
        </row>
        <row r="18">
          <cell r="B18" t="str">
            <v>Frail Elderly</v>
          </cell>
        </row>
        <row r="19">
          <cell r="B19" t="str">
            <v>Farmworkers</v>
          </cell>
        </row>
        <row r="20">
          <cell r="B20" t="str">
            <v>Seasonal/Migrant Farmworkers</v>
          </cell>
        </row>
        <row r="21">
          <cell r="B21" t="str">
            <v>Multiple Targets (describe below)</v>
          </cell>
        </row>
      </sheetData>
      <sheetData sheetId="2"/>
      <sheetData sheetId="3"/>
      <sheetData sheetId="4">
        <row r="18">
          <cell r="L18">
            <v>0</v>
          </cell>
        </row>
      </sheetData>
      <sheetData sheetId="5"/>
      <sheetData sheetId="6"/>
      <sheetData sheetId="7"/>
      <sheetData sheetId="8"/>
      <sheetData sheetId="9"/>
      <sheetData sheetId="10"/>
      <sheetData sheetId="11"/>
      <sheetData sheetId="12"/>
      <sheetData sheetId="13"/>
      <sheetData sheetId="14"/>
      <sheetData sheetId="15"/>
      <sheetData sheetId="16">
        <row r="53">
          <cell r="I53">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Select Additional Low-Income Set-Asides</v>
          </cell>
          <cell r="F2" t="str">
            <v>Select Higher Income County</v>
          </cell>
        </row>
        <row r="3">
          <cell r="B3" t="str">
            <v xml:space="preserve">• 100% of low-income units at 60% AMI (0 points) </v>
          </cell>
          <cell r="F3" t="str">
            <v>Not located in a Higher Income County</v>
          </cell>
        </row>
        <row r="4">
          <cell r="B4" t="str">
            <v xml:space="preserve">• 90% of  low-income units at 60% AMI, 10% at 40% AMI (5 points) </v>
          </cell>
          <cell r="F4" t="str">
            <v>Benton</v>
          </cell>
        </row>
        <row r="5">
          <cell r="B5" t="str">
            <v xml:space="preserve">• 70% of low-income units at 60% AMI, 30% at 50% AMI (10 points) </v>
          </cell>
          <cell r="F5" t="str">
            <v>Clark</v>
          </cell>
        </row>
        <row r="6">
          <cell r="B6" t="str">
            <v xml:space="preserve">• 50% of low-income units at 60% AMI, 50% at 50% AMI (15 points) </v>
          </cell>
          <cell r="F6" t="str">
            <v>Franklin</v>
          </cell>
        </row>
        <row r="7">
          <cell r="B7" t="str">
            <v>• 30% of low-income units at 60% AMI, 70% at 50% AMI (20 points)</v>
          </cell>
          <cell r="F7" t="str">
            <v>Island</v>
          </cell>
        </row>
        <row r="8">
          <cell r="B8" t="str">
            <v xml:space="preserve">• 100% of low-income units at 50% AMI (25 points) </v>
          </cell>
          <cell r="F8" t="str">
            <v>King</v>
          </cell>
        </row>
        <row r="9">
          <cell r="F9" t="str">
            <v>Kitsap</v>
          </cell>
        </row>
        <row r="10">
          <cell r="F10" t="str">
            <v xml:space="preserve">Pierce </v>
          </cell>
        </row>
        <row r="11">
          <cell r="F11" t="str">
            <v>San Juan</v>
          </cell>
        </row>
        <row r="12">
          <cell r="F12" t="str">
            <v>Skagit</v>
          </cell>
        </row>
        <row r="13">
          <cell r="F13" t="str">
            <v>Skamania</v>
          </cell>
        </row>
        <row r="14">
          <cell r="F14" t="str">
            <v>Snohomish</v>
          </cell>
        </row>
        <row r="15">
          <cell r="F15" t="str">
            <v>Thurston</v>
          </cell>
        </row>
        <row r="16">
          <cell r="F16" t="str">
            <v>Whatcom</v>
          </cell>
        </row>
        <row r="43">
          <cell r="B43" t="str">
            <v>No Points Taken</v>
          </cell>
        </row>
        <row r="44">
          <cell r="B44" t="str">
            <v>Option 1: 10% for Large Households - 5 Points</v>
          </cell>
        </row>
        <row r="45">
          <cell r="B45" t="str">
            <v>Option 2: 10% for Persons with Disabilities - 5 Points</v>
          </cell>
        </row>
        <row r="46">
          <cell r="B46" t="str">
            <v>Option 3: 10% for Large Households, 10% for Persons with Disabilities - 10 Points</v>
          </cell>
        </row>
        <row r="48">
          <cell r="B48" t="str">
            <v>No Points Taken</v>
          </cell>
        </row>
        <row r="49">
          <cell r="B49" t="str">
            <v>Option 1: 20% for Large Households - 10 Points</v>
          </cell>
        </row>
        <row r="50">
          <cell r="B50" t="str">
            <v>Option 2: 20% for Persons with Disabilities- 10 Points</v>
          </cell>
        </row>
        <row r="51">
          <cell r="B51" t="str">
            <v>Option 3: 20% for Large Households, 20% for Persons with Disabilities - 20 Points</v>
          </cell>
        </row>
        <row r="53">
          <cell r="B53" t="str">
            <v>No Points Taken</v>
          </cell>
        </row>
        <row r="54">
          <cell r="B54" t="str">
            <v>Option 1: 100%  for Seniors with some services - 10 Points</v>
          </cell>
        </row>
        <row r="58">
          <cell r="B58" t="str">
            <v>No Points Taken</v>
          </cell>
        </row>
        <row r="59">
          <cell r="B59" t="str">
            <v>Less than 25% of the low-income housing units - 0 points</v>
          </cell>
        </row>
        <row r="60">
          <cell r="B60" t="str">
            <v>25-49% of the low-income housing units - 10 points</v>
          </cell>
        </row>
        <row r="61">
          <cell r="B61" t="str">
            <v>50-74% of the low-income housing units - 15 points</v>
          </cell>
        </row>
        <row r="62">
          <cell r="B62" t="str">
            <v xml:space="preserve">75% or more of the low-income housing units - 20 points </v>
          </cell>
        </row>
        <row r="65">
          <cell r="B65" t="str">
            <v>No Points Taken</v>
          </cell>
        </row>
        <row r="66">
          <cell r="B66" t="str">
            <v>5% of the Total Project Costs - 3 points</v>
          </cell>
        </row>
        <row r="67">
          <cell r="B67" t="str">
            <v>10% of the Total Project Costs - 5 points</v>
          </cell>
        </row>
        <row r="68">
          <cell r="B68" t="str">
            <v>15% of the Total Project Costs - 10 points</v>
          </cell>
        </row>
        <row r="70">
          <cell r="B70" t="str">
            <v>No Points Taken</v>
          </cell>
        </row>
        <row r="71">
          <cell r="B71" t="str">
            <v>2% of the Total Bond Issue - 1 point</v>
          </cell>
        </row>
        <row r="72">
          <cell r="B72" t="str">
            <v>4% of the Total Bond Issue - 2 points</v>
          </cell>
        </row>
        <row r="73">
          <cell r="B73" t="str">
            <v>6% of the Total Bond Issue - 3 points</v>
          </cell>
        </row>
        <row r="74">
          <cell r="B74" t="str">
            <v>8% of the Total Bond Issue - 4 points</v>
          </cell>
        </row>
        <row r="75">
          <cell r="B75" t="str">
            <v>10% of the Total Bond Issue - 5 points</v>
          </cell>
        </row>
        <row r="76">
          <cell r="B76" t="str">
            <v>12% of the Total Bond Issue - 6 points</v>
          </cell>
        </row>
        <row r="77">
          <cell r="B77" t="str">
            <v>14% of the Total Bond Issue - 7 points</v>
          </cell>
        </row>
        <row r="88">
          <cell r="B88" t="str">
            <v>No Points Taken</v>
          </cell>
        </row>
        <row r="89">
          <cell r="B89" t="str">
            <v>Option 1: Grayfield Site - 3 points</v>
          </cell>
        </row>
        <row r="90">
          <cell r="B90" t="str">
            <v>Option 2: Adaptive Reuse Site - 3 points</v>
          </cell>
        </row>
        <row r="91">
          <cell r="B91" t="str">
            <v>Option 3: Historic Property being financed by the federal Historic Tax Credit (RTC) - 3 points</v>
          </cell>
        </row>
        <row r="92">
          <cell r="B92" t="str">
            <v>Option 4: Brownfield site - 10 points</v>
          </cell>
        </row>
        <row r="101">
          <cell r="B101" t="str">
            <v>No Points Taken</v>
          </cell>
        </row>
        <row r="102">
          <cell r="B102" t="str">
            <v>Nonprofit Only - 2 Points</v>
          </cell>
        </row>
        <row r="103">
          <cell r="B103" t="str">
            <v>For Profit / Nonprofit Partnership - 2 Points</v>
          </cell>
        </row>
        <row r="126">
          <cell r="F126" t="str">
            <v>No Points Taken</v>
          </cell>
        </row>
        <row r="127">
          <cell r="F127" t="str">
            <v>75% of Total Housing Units as Supportive Housing for the Homeless - 35 Points</v>
          </cell>
        </row>
        <row r="171">
          <cell r="F171" t="str">
            <v>None</v>
          </cell>
        </row>
        <row r="172">
          <cell r="F172" t="str">
            <v>HUD 202</v>
          </cell>
        </row>
        <row r="173">
          <cell r="F173" t="str">
            <v>HUD 811</v>
          </cell>
        </row>
        <row r="174">
          <cell r="F174" t="str">
            <v>USDA 514</v>
          </cell>
        </row>
        <row r="175">
          <cell r="F175" t="str">
            <v>USDA 515</v>
          </cell>
        </row>
        <row r="176">
          <cell r="F176" t="str">
            <v>Other federal source preapproved by the Commission</v>
          </cell>
        </row>
        <row r="177">
          <cell r="F177" t="str">
            <v>NAHASDA Indian Housing Block Grant - NON-METRO COUNTIES ONLY</v>
          </cell>
        </row>
        <row r="189">
          <cell r="F189" t="str">
            <v>10% - 10 Points</v>
          </cell>
        </row>
        <row r="190">
          <cell r="F190" t="str">
            <v>11% - 8 Points</v>
          </cell>
        </row>
        <row r="191">
          <cell r="F191" t="str">
            <v>12% - 6 Points</v>
          </cell>
        </row>
        <row r="192">
          <cell r="F192" t="str">
            <v>13% - 4 Points</v>
          </cell>
        </row>
        <row r="193">
          <cell r="F193" t="str">
            <v>14% - 2 Points</v>
          </cell>
        </row>
        <row r="194">
          <cell r="F194" t="str">
            <v>15% - 0 Points</v>
          </cell>
        </row>
        <row r="197">
          <cell r="F197" t="str">
            <v>Not a Historic property</v>
          </cell>
        </row>
        <row r="198">
          <cell r="F198" t="str">
            <v>Listed, or determined eligible for listing, in the National Register of Historic Places</v>
          </cell>
        </row>
        <row r="199">
          <cell r="F199" t="str">
            <v xml:space="preserve">Located in a registered Historic District </v>
          </cell>
        </row>
        <row r="201">
          <cell r="F201" t="str">
            <v>Chehalis - Non-Metro (3 Points)</v>
          </cell>
        </row>
        <row r="202">
          <cell r="F202" t="str">
            <v>Colville - Non-Metro (3 Points)</v>
          </cell>
        </row>
        <row r="203">
          <cell r="F203" t="str">
            <v>Hoh - Non-Metro (3 Points)</v>
          </cell>
        </row>
        <row r="204">
          <cell r="F204" t="str">
            <v>Kalispel - Non-Metro (3 Points)</v>
          </cell>
        </row>
        <row r="205">
          <cell r="F205" t="str">
            <v>Lower Elwha - Non-Metro (3 Points)</v>
          </cell>
        </row>
        <row r="206">
          <cell r="F206" t="str">
            <v>Makah - Non-Metro (3 Points)</v>
          </cell>
        </row>
        <row r="207">
          <cell r="F207" t="str">
            <v>Nooksack - Metro (5 Points)</v>
          </cell>
        </row>
        <row r="208">
          <cell r="F208" t="str">
            <v>Quileute - Non-Metro (3 Points)</v>
          </cell>
        </row>
        <row r="209">
          <cell r="F209" t="str">
            <v>Quinault - Non-Metro (3 Points)</v>
          </cell>
        </row>
        <row r="210">
          <cell r="F210" t="str">
            <v>Skokomish - Non-Metro (3 Points)</v>
          </cell>
        </row>
        <row r="211">
          <cell r="F211" t="str">
            <v>Spokane - Non-Metro (3 Points)</v>
          </cell>
        </row>
        <row r="212">
          <cell r="F212" t="str">
            <v>Squaxin Island - Non-Metro (3 Points)</v>
          </cell>
        </row>
        <row r="213">
          <cell r="F213" t="str">
            <v>Upper Skagit - Non-Metro (3 Points)</v>
          </cell>
        </row>
        <row r="214">
          <cell r="F214" t="str">
            <v>Yakama - Non-Metro (3 Points)</v>
          </cell>
        </row>
        <row r="229">
          <cell r="F229" t="str">
            <v>Select Location</v>
          </cell>
        </row>
        <row r="230">
          <cell r="F230" t="str">
            <v>in</v>
          </cell>
        </row>
        <row r="231">
          <cell r="F231" t="str">
            <v>in a Metro County and within 5 miles of</v>
          </cell>
        </row>
        <row r="232">
          <cell r="F232" t="str">
            <v>in a Non-Metro County and within 10 miles of</v>
          </cell>
        </row>
        <row r="233">
          <cell r="F233" t="str">
            <v>in King County and is not eligible for these points.</v>
          </cell>
        </row>
        <row r="286">
          <cell r="F286" t="str">
            <v>No Points Taken</v>
          </cell>
        </row>
        <row r="287">
          <cell r="F287" t="str">
            <v>Nonprofit Only</v>
          </cell>
        </row>
        <row r="288">
          <cell r="F288" t="str">
            <v>For Profit Nonprofit Partnership</v>
          </cell>
        </row>
        <row r="289">
          <cell r="F289" t="str">
            <v>Nonprofit Sponsor Waiver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LIHTC Pro Forma"/>
      <sheetName val="Applicable Fraction"/>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40">
          <cell r="B40" t="str">
            <v>Select Lower Income County</v>
          </cell>
        </row>
        <row r="41">
          <cell r="B41" t="str">
            <v>Not located in a Lower Income County</v>
          </cell>
        </row>
        <row r="42">
          <cell r="B42" t="str">
            <v>Adams</v>
          </cell>
        </row>
        <row r="43">
          <cell r="B43" t="str">
            <v>Asotin</v>
          </cell>
        </row>
        <row r="44">
          <cell r="B44" t="str">
            <v>Chelan</v>
          </cell>
        </row>
        <row r="45">
          <cell r="B45" t="str">
            <v>Clallam</v>
          </cell>
        </row>
        <row r="46">
          <cell r="B46" t="str">
            <v>Columbia</v>
          </cell>
        </row>
        <row r="47">
          <cell r="B47" t="str">
            <v>Cowlitz</v>
          </cell>
        </row>
        <row r="48">
          <cell r="B48" t="str">
            <v>Douglas</v>
          </cell>
        </row>
        <row r="49">
          <cell r="B49" t="str">
            <v>Ferry</v>
          </cell>
        </row>
        <row r="50">
          <cell r="B50" t="str">
            <v>Garfield</v>
          </cell>
        </row>
        <row r="51">
          <cell r="B51" t="str">
            <v>Grant</v>
          </cell>
        </row>
        <row r="52">
          <cell r="B52" t="str">
            <v>Grays Harbor</v>
          </cell>
        </row>
        <row r="53">
          <cell r="B53" t="str">
            <v>Jefferson</v>
          </cell>
        </row>
        <row r="54">
          <cell r="B54" t="str">
            <v>Kittitas</v>
          </cell>
        </row>
        <row r="55">
          <cell r="B55" t="str">
            <v>Klickitat</v>
          </cell>
        </row>
        <row r="56">
          <cell r="B56" t="str">
            <v>Lewis</v>
          </cell>
        </row>
        <row r="57">
          <cell r="B57" t="str">
            <v>Lincoln</v>
          </cell>
        </row>
        <row r="58">
          <cell r="B58" t="str">
            <v>Mason</v>
          </cell>
        </row>
        <row r="59">
          <cell r="B59" t="str">
            <v>Okanogan</v>
          </cell>
        </row>
        <row r="60">
          <cell r="B60" t="str">
            <v>Pacific</v>
          </cell>
        </row>
        <row r="61">
          <cell r="B61" t="str">
            <v>Pend Oreille</v>
          </cell>
        </row>
        <row r="62">
          <cell r="B62" t="str">
            <v>Spokane</v>
          </cell>
        </row>
        <row r="63">
          <cell r="B63" t="str">
            <v>Stevens</v>
          </cell>
        </row>
        <row r="64">
          <cell r="B64" t="str">
            <v>Wahkiakum</v>
          </cell>
        </row>
        <row r="65">
          <cell r="B65" t="str">
            <v>Walla Walla</v>
          </cell>
        </row>
        <row r="66">
          <cell r="B66" t="str">
            <v>Whitman</v>
          </cell>
        </row>
        <row r="67">
          <cell r="B67" t="str">
            <v>Yakima</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91">
          <cell r="B91">
            <v>0</v>
          </cell>
        </row>
        <row r="92">
          <cell r="B92">
            <v>0.1</v>
          </cell>
        </row>
        <row r="93">
          <cell r="B93">
            <v>0.2</v>
          </cell>
        </row>
        <row r="94">
          <cell r="B94">
            <v>0.25</v>
          </cell>
        </row>
        <row r="95">
          <cell r="B95">
            <v>0.3</v>
          </cell>
        </row>
        <row r="96">
          <cell r="B96">
            <v>0.4</v>
          </cell>
        </row>
        <row r="97">
          <cell r="B97">
            <v>0.5</v>
          </cell>
        </row>
        <row r="98">
          <cell r="B98">
            <v>0.6</v>
          </cell>
        </row>
        <row r="99">
          <cell r="B99">
            <v>0.75</v>
          </cell>
        </row>
        <row r="100">
          <cell r="B100">
            <v>1</v>
          </cell>
        </row>
        <row r="102">
          <cell r="B102" t="str">
            <v>No Points Taken</v>
          </cell>
        </row>
        <row r="103">
          <cell r="B103" t="str">
            <v>• 1 year - 2 points</v>
          </cell>
        </row>
        <row r="104">
          <cell r="B104" t="str">
            <v>• 2 years - 4 points</v>
          </cell>
        </row>
        <row r="105">
          <cell r="B105" t="str">
            <v>• 3 years - 6 points</v>
          </cell>
        </row>
        <row r="106">
          <cell r="B106" t="str">
            <v>• 4 years - 8 points</v>
          </cell>
        </row>
        <row r="107">
          <cell r="B107" t="str">
            <v>• 5 years - 10 points</v>
          </cell>
        </row>
        <row r="108">
          <cell r="B108" t="str">
            <v>• 6 years - 12 points</v>
          </cell>
        </row>
        <row r="109">
          <cell r="B109" t="str">
            <v>• 7 years - 14 points</v>
          </cell>
        </row>
        <row r="110">
          <cell r="B110" t="str">
            <v>• 8 years - 16 points</v>
          </cell>
        </row>
        <row r="111">
          <cell r="B111" t="str">
            <v>• 9 years - 18 points</v>
          </cell>
        </row>
        <row r="112">
          <cell r="B112" t="str">
            <v>• 10 years - 20 points</v>
          </cell>
        </row>
        <row r="113">
          <cell r="B113" t="str">
            <v>• 11 years - 22 points</v>
          </cell>
        </row>
        <row r="114">
          <cell r="B114" t="str">
            <v>• 12 years - 24 points</v>
          </cell>
        </row>
        <row r="115">
          <cell r="B115" t="str">
            <v>• 13 years -  26 points</v>
          </cell>
        </row>
        <row r="116">
          <cell r="B116" t="str">
            <v>• 14 years - 28 points</v>
          </cell>
        </row>
        <row r="117">
          <cell r="B117" t="str">
            <v>• 15 years - 30 points</v>
          </cell>
        </row>
        <row r="118">
          <cell r="B118" t="str">
            <v>• 16 years - 32 points</v>
          </cell>
        </row>
        <row r="119">
          <cell r="B119" t="str">
            <v>• 17 years - 34 points</v>
          </cell>
        </row>
        <row r="120">
          <cell r="B120" t="str">
            <v>• 18 years - 36 points</v>
          </cell>
        </row>
        <row r="121">
          <cell r="B121" t="str">
            <v>• 19 years - 38 points</v>
          </cell>
        </row>
        <row r="122">
          <cell r="B122" t="str">
            <v>• 20 years - 40 points</v>
          </cell>
        </row>
        <row r="123">
          <cell r="B123" t="str">
            <v>• 21 years - 42 points</v>
          </cell>
        </row>
        <row r="124">
          <cell r="B124" t="str">
            <v>• 22 years - 44 points</v>
          </cell>
        </row>
        <row r="126">
          <cell r="B126" t="str">
            <v>No Points Taken</v>
          </cell>
        </row>
        <row r="127">
          <cell r="B127" t="str">
            <v>75% of Total Housing Units as Supportive Housing for the Homeless - 35 Points</v>
          </cell>
        </row>
        <row r="130">
          <cell r="B130" t="str">
            <v>No Points Taken</v>
          </cell>
        </row>
        <row r="131">
          <cell r="B131" t="str">
            <v>• 20% of the Total Housing Units for Farmworkers - 10 Points</v>
          </cell>
        </row>
        <row r="132">
          <cell r="B132" t="str">
            <v>• 20% of the Total Housing Units for Large Households - 10 Points</v>
          </cell>
        </row>
        <row r="133">
          <cell r="B133" t="str">
            <v>• 20% of the Total Housing Units as Housing for Persons with Disabilities - 10 Points</v>
          </cell>
        </row>
        <row r="134">
          <cell r="B134" t="str">
            <v>• 20% of the Total Housing Units as Permanent Housing for the Homeless - 10 Points</v>
          </cell>
        </row>
        <row r="135">
          <cell r="B135" t="str">
            <v>• 20% of the Total Housing Units as Transitional Housing for the Homeless - 10 Points</v>
          </cell>
        </row>
        <row r="136">
          <cell r="B136" t="str">
            <v>• Elderly Housing Project:  Residents 62 or older - 10 Points</v>
          </cell>
        </row>
        <row r="137">
          <cell r="B137" t="str">
            <v>• Elderly Housing Project:  Residents 55 or older - 10 Points</v>
          </cell>
        </row>
        <row r="138">
          <cell r="B138" t="str">
            <v>• Elderly Housing Project: RD Section 515 program or a HUD elderly program - 10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49">
          <cell r="B149" t="str">
            <v>Select Source</v>
          </cell>
        </row>
        <row r="150">
          <cell r="B150" t="str">
            <v>HOME</v>
          </cell>
        </row>
        <row r="151">
          <cell r="B151" t="str">
            <v>CDBG</v>
          </cell>
        </row>
        <row r="152">
          <cell r="B152">
            <v>2060</v>
          </cell>
        </row>
        <row r="153">
          <cell r="B153">
            <v>2163</v>
          </cell>
        </row>
        <row r="154">
          <cell r="B154" t="str">
            <v>Land Donation</v>
          </cell>
        </row>
        <row r="155">
          <cell r="B155" t="str">
            <v>Local Housing Levy Funds</v>
          </cell>
        </row>
        <row r="156">
          <cell r="B156" t="str">
            <v>Local Housing Trust Funds</v>
          </cell>
        </row>
        <row r="157">
          <cell r="B157" t="str">
            <v>HOPWA</v>
          </cell>
        </row>
        <row r="158">
          <cell r="B158" t="str">
            <v>McKinney Vento Homeless Assistance Grants</v>
          </cell>
        </row>
        <row r="159">
          <cell r="B159" t="str">
            <v>NAHASDA Indian Housing Block Grant Funds</v>
          </cell>
        </row>
        <row r="160">
          <cell r="B160" t="str">
            <v>Public Housing Authority funds preapproved by the Commission</v>
          </cell>
        </row>
        <row r="161">
          <cell r="B161" t="str">
            <v>Other source preapproved by the Commission</v>
          </cell>
        </row>
        <row r="163">
          <cell r="B163" t="str">
            <v>Select Source</v>
          </cell>
        </row>
        <row r="164">
          <cell r="B164" t="str">
            <v>Permanent Financing</v>
          </cell>
        </row>
        <row r="165">
          <cell r="B165" t="str">
            <v>Capital Grant</v>
          </cell>
        </row>
        <row r="166">
          <cell r="B166" t="str">
            <v>Land Donation</v>
          </cell>
        </row>
        <row r="167">
          <cell r="B167" t="str">
            <v>Project-Based Rental Assistance</v>
          </cell>
        </row>
        <row r="168">
          <cell r="B168" t="str">
            <v>Operating and Maintenance Subsidies</v>
          </cell>
        </row>
        <row r="169">
          <cell r="B169" t="str">
            <v>Other funding type preapproved by the Commission</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89">
          <cell r="B189" t="str">
            <v>10% - 10 Points</v>
          </cell>
        </row>
        <row r="190">
          <cell r="B190" t="str">
            <v>11% - 8 Points</v>
          </cell>
        </row>
        <row r="191">
          <cell r="B191" t="str">
            <v>12% - 6 Points</v>
          </cell>
        </row>
        <row r="192">
          <cell r="B192" t="str">
            <v>13% - 4 Points</v>
          </cell>
        </row>
        <row r="193">
          <cell r="B193" t="str">
            <v>14% - 2 Points</v>
          </cell>
        </row>
        <row r="194">
          <cell r="B194" t="str">
            <v>15% - 0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16">
          <cell r="B216" t="str">
            <v>No Points Taken</v>
          </cell>
        </row>
        <row r="217">
          <cell r="B217" t="str">
            <v>Urban:  within 1/4 mile of 3 services and within 1/2 mile of a grocery store</v>
          </cell>
        </row>
        <row r="218">
          <cell r="B218" t="str">
            <v>Urban:  within 1/2 mile of 5 services and within 1/2 mile of a grocery store</v>
          </cell>
        </row>
        <row r="219">
          <cell r="B219" t="str">
            <v>Rural:  within 2 miles of 4 services, one of which is a grocery store</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King County and in a High or Very High Opportunity Area Census tract.</v>
          </cell>
        </row>
        <row r="226">
          <cell r="B226" t="str">
            <v>a Metro County.  This project is not eligible for these points.</v>
          </cell>
        </row>
        <row r="227">
          <cell r="B227" t="str">
            <v>a Non-Metro County.  This project is not eligible for these points.</v>
          </cell>
        </row>
        <row r="229">
          <cell r="B229" t="str">
            <v>Select Location</v>
          </cell>
        </row>
        <row r="230">
          <cell r="B230" t="str">
            <v>in</v>
          </cell>
        </row>
        <row r="231">
          <cell r="B231" t="str">
            <v>in a Metro County and within 5 miles of</v>
          </cell>
        </row>
        <row r="232">
          <cell r="B232" t="str">
            <v>in a Non-Metro County and within 10 miles of</v>
          </cell>
        </row>
        <row r="233">
          <cell r="B233" t="str">
            <v>in King County and is not eligible for these points.</v>
          </cell>
        </row>
        <row r="235">
          <cell r="B235" t="str">
            <v>Select Job Growth Place</v>
          </cell>
        </row>
        <row r="236">
          <cell r="B236" t="str">
            <v>Airway Heights</v>
          </cell>
        </row>
        <row r="237">
          <cell r="B237" t="str">
            <v>Bainbridge Island</v>
          </cell>
        </row>
        <row r="238">
          <cell r="B238" t="str">
            <v>Battle Ground</v>
          </cell>
        </row>
        <row r="239">
          <cell r="B239" t="str">
            <v>Blaine</v>
          </cell>
        </row>
        <row r="240">
          <cell r="B240" t="str">
            <v>Bonney Lake</v>
          </cell>
        </row>
        <row r="241">
          <cell r="B241" t="str">
            <v>Bothell</v>
          </cell>
        </row>
        <row r="242">
          <cell r="B242" t="str">
            <v>Chehalis</v>
          </cell>
        </row>
        <row r="243">
          <cell r="B243" t="str">
            <v>Cheney</v>
          </cell>
        </row>
        <row r="244">
          <cell r="B244" t="str">
            <v>Clarkston</v>
          </cell>
        </row>
        <row r="245">
          <cell r="B245" t="str">
            <v>East Port Orchard CDP</v>
          </cell>
        </row>
        <row r="246">
          <cell r="B246" t="str">
            <v>Ellensburg</v>
          </cell>
        </row>
        <row r="247">
          <cell r="B247" t="str">
            <v>Ephrata</v>
          </cell>
        </row>
        <row r="248">
          <cell r="B248" t="str">
            <v>Everett</v>
          </cell>
        </row>
        <row r="249">
          <cell r="B249" t="str">
            <v>Fairwood</v>
          </cell>
        </row>
        <row r="250">
          <cell r="B250" t="str">
            <v>Ferndale</v>
          </cell>
        </row>
        <row r="251">
          <cell r="B251" t="str">
            <v>Fife</v>
          </cell>
        </row>
        <row r="252">
          <cell r="B252" t="str">
            <v>Five Corners</v>
          </cell>
        </row>
        <row r="253">
          <cell r="B253" t="str">
            <v>Fort Lewis</v>
          </cell>
        </row>
        <row r="254">
          <cell r="B254" t="str">
            <v>Grandview</v>
          </cell>
        </row>
        <row r="255">
          <cell r="B255" t="str">
            <v>Hazel Dell CDP</v>
          </cell>
        </row>
        <row r="256">
          <cell r="B256" t="str">
            <v>Hoquiam</v>
          </cell>
        </row>
        <row r="257">
          <cell r="B257" t="str">
            <v>Kennewick</v>
          </cell>
        </row>
        <row r="258">
          <cell r="B258" t="str">
            <v>Lacey</v>
          </cell>
        </row>
        <row r="259">
          <cell r="B259" t="str">
            <v>Lakewood</v>
          </cell>
        </row>
        <row r="260">
          <cell r="B260" t="str">
            <v>Longview</v>
          </cell>
        </row>
        <row r="261">
          <cell r="B261" t="str">
            <v>Mill Creek</v>
          </cell>
        </row>
        <row r="262">
          <cell r="B262" t="str">
            <v>Moses Lake</v>
          </cell>
        </row>
        <row r="263">
          <cell r="B263" t="str">
            <v>Mount Vista CDP</v>
          </cell>
        </row>
        <row r="264">
          <cell r="B264" t="str">
            <v>Mukilteo</v>
          </cell>
        </row>
        <row r="265">
          <cell r="B265" t="str">
            <v>North Lynnwood CDP</v>
          </cell>
        </row>
        <row r="266">
          <cell r="B266" t="str">
            <v>Olympia</v>
          </cell>
        </row>
        <row r="267">
          <cell r="B267" t="str">
            <v>Pasco</v>
          </cell>
        </row>
        <row r="268">
          <cell r="B268" t="str">
            <v>Port Angeles</v>
          </cell>
        </row>
        <row r="269">
          <cell r="B269" t="str">
            <v>Pullman</v>
          </cell>
        </row>
        <row r="270">
          <cell r="B270" t="str">
            <v>Richland</v>
          </cell>
        </row>
        <row r="271">
          <cell r="B271" t="str">
            <v>Salmon Creek CDP</v>
          </cell>
        </row>
        <row r="272">
          <cell r="B272" t="str">
            <v>Sequim</v>
          </cell>
        </row>
        <row r="273">
          <cell r="B273" t="str">
            <v>South Hill</v>
          </cell>
        </row>
        <row r="274">
          <cell r="B274" t="str">
            <v>Spokane</v>
          </cell>
        </row>
        <row r="275">
          <cell r="B275" t="str">
            <v>Spokane Valley</v>
          </cell>
        </row>
        <row r="276">
          <cell r="B276" t="str">
            <v>Sumner</v>
          </cell>
        </row>
        <row r="277">
          <cell r="B277" t="str">
            <v>Sunnyside</v>
          </cell>
        </row>
        <row r="278">
          <cell r="B278" t="str">
            <v>Sunnyslope CDP</v>
          </cell>
        </row>
        <row r="279">
          <cell r="B279" t="str">
            <v>Terrace Heights CDP</v>
          </cell>
        </row>
        <row r="280">
          <cell r="B280" t="str">
            <v>Tumwater</v>
          </cell>
        </row>
        <row r="281">
          <cell r="B281" t="str">
            <v>Vancouver</v>
          </cell>
        </row>
        <row r="282">
          <cell r="B282" t="str">
            <v>Walla Walla</v>
          </cell>
        </row>
        <row r="283">
          <cell r="B283" t="str">
            <v>Wenatchee</v>
          </cell>
        </row>
        <row r="284">
          <cell r="B284" t="str">
            <v>Yelm</v>
          </cell>
        </row>
        <row r="286">
          <cell r="B286" t="str">
            <v>No Points Taken</v>
          </cell>
        </row>
        <row r="287">
          <cell r="B287" t="str">
            <v>Nonprofit Only</v>
          </cell>
        </row>
        <row r="288">
          <cell r="B288" t="str">
            <v>For Profit Nonprofit Partnership</v>
          </cell>
        </row>
        <row r="289">
          <cell r="B289" t="str">
            <v>Nonprofit Sponsor Waiver</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LIHTC Pro Forma"/>
      <sheetName val="Units by Building"/>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91">
          <cell r="B91">
            <v>0</v>
          </cell>
        </row>
        <row r="92">
          <cell r="B92">
            <v>0.1</v>
          </cell>
        </row>
        <row r="93">
          <cell r="B93">
            <v>0.2</v>
          </cell>
        </row>
        <row r="94">
          <cell r="B94">
            <v>0.25</v>
          </cell>
        </row>
        <row r="95">
          <cell r="B95">
            <v>0.3</v>
          </cell>
        </row>
        <row r="96">
          <cell r="B96">
            <v>0.4</v>
          </cell>
        </row>
        <row r="97">
          <cell r="B97">
            <v>0.5</v>
          </cell>
        </row>
        <row r="98">
          <cell r="B98">
            <v>0.6</v>
          </cell>
        </row>
        <row r="99">
          <cell r="B99">
            <v>0.75</v>
          </cell>
        </row>
        <row r="100">
          <cell r="B100">
            <v>1</v>
          </cell>
        </row>
        <row r="126">
          <cell r="B126" t="str">
            <v>No Points Taken</v>
          </cell>
        </row>
        <row r="127">
          <cell r="B127" t="str">
            <v>75% of Total Housing Units as Supportive Housing for the Homeless - 35 Points</v>
          </cell>
        </row>
        <row r="140">
          <cell r="B140" t="str">
            <v>Select location</v>
          </cell>
        </row>
        <row r="141">
          <cell r="B141" t="str">
            <v>King County</v>
          </cell>
        </row>
        <row r="142">
          <cell r="B142" t="str">
            <v>Clark County</v>
          </cell>
        </row>
        <row r="143">
          <cell r="B143" t="str">
            <v>Pierce County</v>
          </cell>
        </row>
        <row r="144">
          <cell r="B144" t="str">
            <v>Spokane County</v>
          </cell>
        </row>
        <row r="145">
          <cell r="B145" t="str">
            <v>Snohomish County</v>
          </cell>
        </row>
        <row r="146">
          <cell r="B146" t="str">
            <v>Whatcom County</v>
          </cell>
        </row>
        <row r="147">
          <cell r="B147" t="str">
            <v>a Non-Metro County.  This project is not eligible for these points.</v>
          </cell>
        </row>
        <row r="149">
          <cell r="B149" t="str">
            <v>Select Source</v>
          </cell>
        </row>
        <row r="150">
          <cell r="B150" t="str">
            <v>HOME</v>
          </cell>
        </row>
        <row r="151">
          <cell r="B151" t="str">
            <v>CDBG</v>
          </cell>
        </row>
        <row r="152">
          <cell r="B152">
            <v>2060</v>
          </cell>
        </row>
        <row r="153">
          <cell r="B153">
            <v>2163</v>
          </cell>
        </row>
        <row r="154">
          <cell r="B154" t="str">
            <v>Land Donation</v>
          </cell>
        </row>
        <row r="155">
          <cell r="B155" t="str">
            <v>Local Housing Levy Funds</v>
          </cell>
        </row>
        <row r="156">
          <cell r="B156" t="str">
            <v>Local Housing Trust Funds</v>
          </cell>
        </row>
        <row r="157">
          <cell r="B157" t="str">
            <v>HOPWA</v>
          </cell>
        </row>
        <row r="158">
          <cell r="B158" t="str">
            <v>McKinney Vento Homeless Assistance Grants</v>
          </cell>
        </row>
        <row r="159">
          <cell r="B159" t="str">
            <v>NAHASDA Indian Housing Block Grant Funds</v>
          </cell>
        </row>
        <row r="160">
          <cell r="B160" t="str">
            <v>Public Housing Authority funds preapproved by the Commission</v>
          </cell>
        </row>
        <row r="161">
          <cell r="B161" t="str">
            <v>Other source preapproved by the Commission</v>
          </cell>
        </row>
        <row r="163">
          <cell r="B163" t="str">
            <v>Select Source</v>
          </cell>
        </row>
        <row r="164">
          <cell r="B164" t="str">
            <v>Permanent Financing</v>
          </cell>
        </row>
        <row r="165">
          <cell r="B165" t="str">
            <v>Capital Grant</v>
          </cell>
        </row>
        <row r="166">
          <cell r="B166" t="str">
            <v>Land Donation</v>
          </cell>
        </row>
        <row r="167">
          <cell r="B167" t="str">
            <v>Project-Based Rental Assistance</v>
          </cell>
        </row>
        <row r="168">
          <cell r="B168" t="str">
            <v>Operating and Maintenance Subsidies</v>
          </cell>
        </row>
        <row r="169">
          <cell r="B169" t="str">
            <v>Other funding type preapproved by the Commission</v>
          </cell>
        </row>
        <row r="171">
          <cell r="B171" t="str">
            <v>None</v>
          </cell>
        </row>
        <row r="172">
          <cell r="B172" t="str">
            <v>HUD 202</v>
          </cell>
        </row>
        <row r="173">
          <cell r="B173" t="str">
            <v>HUD 811</v>
          </cell>
        </row>
        <row r="174">
          <cell r="B174" t="str">
            <v>USDA 514</v>
          </cell>
        </row>
        <row r="175">
          <cell r="B175" t="str">
            <v>USDA 515</v>
          </cell>
        </row>
        <row r="176">
          <cell r="B176" t="str">
            <v>Other federal source preapproved by the Commission</v>
          </cell>
        </row>
        <row r="177">
          <cell r="B177" t="str">
            <v>NAHASDA Indian Housing Block Grant - NON-METRO COUNTIES ONLY</v>
          </cell>
        </row>
        <row r="179">
          <cell r="B179" t="str">
            <v>King County and has selected #4 above.</v>
          </cell>
        </row>
        <row r="180">
          <cell r="B180" t="str">
            <v>a Metro or Non-Metro County.</v>
          </cell>
        </row>
        <row r="181">
          <cell r="B181" t="str">
            <v>King County, has not selected #4 and is not eligible for these points.</v>
          </cell>
        </row>
        <row r="197">
          <cell r="B197" t="str">
            <v>Not a Historic property</v>
          </cell>
        </row>
        <row r="198">
          <cell r="B198" t="str">
            <v>Listed, or determined eligible for listing, in the National Register of Historic Places</v>
          </cell>
        </row>
        <row r="199">
          <cell r="B199" t="str">
            <v xml:space="preserve">Located in a registered Historic District </v>
          </cell>
        </row>
        <row r="201">
          <cell r="B201" t="str">
            <v>Chehalis - Non-Metro (3 Points)</v>
          </cell>
        </row>
        <row r="202">
          <cell r="B202" t="str">
            <v>Colville - Non-Metro (3 Points)</v>
          </cell>
        </row>
        <row r="203">
          <cell r="B203" t="str">
            <v>Hoh - Non-Metro (3 Points)</v>
          </cell>
        </row>
        <row r="204">
          <cell r="B204" t="str">
            <v>Kalispel - Non-Metro (3 Points)</v>
          </cell>
        </row>
        <row r="205">
          <cell r="B205" t="str">
            <v>Lower Elwha - Non-Metro (3 Points)</v>
          </cell>
        </row>
        <row r="206">
          <cell r="B206" t="str">
            <v>Makah - Non-Metro (3 Points)</v>
          </cell>
        </row>
        <row r="207">
          <cell r="B207" t="str">
            <v>Nooksack - Metro (5 Points)</v>
          </cell>
        </row>
        <row r="208">
          <cell r="B208" t="str">
            <v>Quileute - Non-Metro (3 Points)</v>
          </cell>
        </row>
        <row r="209">
          <cell r="B209" t="str">
            <v>Quinault - Non-Metro (3 Points)</v>
          </cell>
        </row>
        <row r="210">
          <cell r="B210" t="str">
            <v>Skokomish - Non-Metro (3 Points)</v>
          </cell>
        </row>
        <row r="211">
          <cell r="B211" t="str">
            <v>Spokane - Non-Metro (3 Points)</v>
          </cell>
        </row>
        <row r="212">
          <cell r="B212" t="str">
            <v>Squaxin Island - Non-Metro (3 Points)</v>
          </cell>
        </row>
        <row r="213">
          <cell r="B213" t="str">
            <v>Upper Skagit - Non-Metro (3 Points)</v>
          </cell>
        </row>
        <row r="214">
          <cell r="B214" t="str">
            <v>Yakama - Non-Metro (3 Points)</v>
          </cell>
        </row>
        <row r="221">
          <cell r="B221" t="str">
            <v>King County and in a TOD location.</v>
          </cell>
        </row>
        <row r="222">
          <cell r="B222" t="str">
            <v>a Metro County.  This project is not eligible for these points.</v>
          </cell>
        </row>
        <row r="223">
          <cell r="B223" t="str">
            <v>a Non-Metro County.  This project is not eligible for these points.</v>
          </cell>
        </row>
        <row r="225">
          <cell r="B225" t="str">
            <v>King County and in a High or Very High Opportunity Area Census tract.</v>
          </cell>
        </row>
        <row r="226">
          <cell r="B226" t="str">
            <v>a Metro County.  This project is not eligible for these points.</v>
          </cell>
        </row>
        <row r="227">
          <cell r="B227" t="str">
            <v>a Non-Metro County.  This project is not eligible for these points.</v>
          </cell>
        </row>
        <row r="229">
          <cell r="B229" t="str">
            <v>Select Location</v>
          </cell>
        </row>
        <row r="230">
          <cell r="B230" t="str">
            <v>in</v>
          </cell>
        </row>
        <row r="231">
          <cell r="B231" t="str">
            <v>in a Metro County and within 5 miles of</v>
          </cell>
        </row>
        <row r="232">
          <cell r="B232" t="str">
            <v>in a Non-Metro County and within 10 miles of</v>
          </cell>
        </row>
        <row r="233">
          <cell r="B233" t="str">
            <v>in King County and is not eligible for these points.</v>
          </cell>
        </row>
        <row r="235">
          <cell r="B235" t="str">
            <v>Select Job Growth Place</v>
          </cell>
        </row>
        <row r="236">
          <cell r="B236" t="str">
            <v>Airway Heights</v>
          </cell>
        </row>
        <row r="237">
          <cell r="B237" t="str">
            <v>Bainbridge Island</v>
          </cell>
        </row>
        <row r="238">
          <cell r="B238" t="str">
            <v>Battle Ground</v>
          </cell>
        </row>
        <row r="239">
          <cell r="B239" t="str">
            <v>Blaine</v>
          </cell>
        </row>
        <row r="240">
          <cell r="B240" t="str">
            <v>Bonney Lake</v>
          </cell>
        </row>
        <row r="241">
          <cell r="B241" t="str">
            <v>Bothell</v>
          </cell>
        </row>
        <row r="242">
          <cell r="B242" t="str">
            <v>Chehalis</v>
          </cell>
        </row>
        <row r="243">
          <cell r="B243" t="str">
            <v>Cheney</v>
          </cell>
        </row>
        <row r="244">
          <cell r="B244" t="str">
            <v>Clarkston</v>
          </cell>
        </row>
        <row r="245">
          <cell r="B245" t="str">
            <v>East Port Orchard CDP</v>
          </cell>
        </row>
        <row r="246">
          <cell r="B246" t="str">
            <v>Ellensburg</v>
          </cell>
        </row>
        <row r="247">
          <cell r="B247" t="str">
            <v>Ephrata</v>
          </cell>
        </row>
        <row r="248">
          <cell r="B248" t="str">
            <v>Everett</v>
          </cell>
        </row>
        <row r="249">
          <cell r="B249" t="str">
            <v>Fairwood</v>
          </cell>
        </row>
        <row r="250">
          <cell r="B250" t="str">
            <v>Ferndale</v>
          </cell>
        </row>
        <row r="251">
          <cell r="B251" t="str">
            <v>Fife</v>
          </cell>
        </row>
        <row r="252">
          <cell r="B252" t="str">
            <v>Five Corners</v>
          </cell>
        </row>
        <row r="253">
          <cell r="B253" t="str">
            <v>Fort Lewis</v>
          </cell>
        </row>
        <row r="254">
          <cell r="B254" t="str">
            <v>Grandview</v>
          </cell>
        </row>
        <row r="255">
          <cell r="B255" t="str">
            <v>Hazel Dell CDP</v>
          </cell>
        </row>
        <row r="256">
          <cell r="B256" t="str">
            <v>Hoquiam</v>
          </cell>
        </row>
        <row r="257">
          <cell r="B257" t="str">
            <v>Kennewick</v>
          </cell>
        </row>
        <row r="258">
          <cell r="B258" t="str">
            <v>Lacey</v>
          </cell>
        </row>
        <row r="259">
          <cell r="B259" t="str">
            <v>Lakewood</v>
          </cell>
        </row>
        <row r="260">
          <cell r="B260" t="str">
            <v>Longview</v>
          </cell>
        </row>
        <row r="261">
          <cell r="B261" t="str">
            <v>Mill Creek</v>
          </cell>
        </row>
        <row r="262">
          <cell r="B262" t="str">
            <v>Moses Lake</v>
          </cell>
        </row>
        <row r="263">
          <cell r="B263" t="str">
            <v>Mount Vista CDP</v>
          </cell>
        </row>
        <row r="264">
          <cell r="B264" t="str">
            <v>Mukilteo</v>
          </cell>
        </row>
        <row r="265">
          <cell r="B265" t="str">
            <v>North Lynnwood CDP</v>
          </cell>
        </row>
        <row r="266">
          <cell r="B266" t="str">
            <v>Olympia</v>
          </cell>
        </row>
        <row r="267">
          <cell r="B267" t="str">
            <v>Pasco</v>
          </cell>
        </row>
        <row r="268">
          <cell r="B268" t="str">
            <v>Port Angeles</v>
          </cell>
        </row>
        <row r="269">
          <cell r="B269" t="str">
            <v>Pullman</v>
          </cell>
        </row>
        <row r="270">
          <cell r="B270" t="str">
            <v>Richland</v>
          </cell>
        </row>
        <row r="271">
          <cell r="B271" t="str">
            <v>Salmon Creek CDP</v>
          </cell>
        </row>
        <row r="272">
          <cell r="B272" t="str">
            <v>Sequim</v>
          </cell>
        </row>
        <row r="273">
          <cell r="B273" t="str">
            <v>South Hill</v>
          </cell>
        </row>
        <row r="274">
          <cell r="B274" t="str">
            <v>Spokane</v>
          </cell>
        </row>
        <row r="275">
          <cell r="B275" t="str">
            <v>Spokane Valley</v>
          </cell>
        </row>
        <row r="276">
          <cell r="B276" t="str">
            <v>Sumner</v>
          </cell>
        </row>
        <row r="277">
          <cell r="B277" t="str">
            <v>Sunnyside</v>
          </cell>
        </row>
        <row r="278">
          <cell r="B278" t="str">
            <v>Sunnyslope CDP</v>
          </cell>
        </row>
        <row r="279">
          <cell r="B279" t="str">
            <v>Terrace Heights CDP</v>
          </cell>
        </row>
        <row r="280">
          <cell r="B280" t="str">
            <v>Tumwater</v>
          </cell>
        </row>
        <row r="281">
          <cell r="B281" t="str">
            <v>Vancouver</v>
          </cell>
        </row>
        <row r="282">
          <cell r="B282" t="str">
            <v>Walla Walla</v>
          </cell>
        </row>
        <row r="283">
          <cell r="B283" t="str">
            <v>Wenatchee</v>
          </cell>
        </row>
        <row r="284">
          <cell r="B284" t="str">
            <v>Yelm</v>
          </cell>
        </row>
        <row r="286">
          <cell r="B286" t="str">
            <v>No Points Taken</v>
          </cell>
        </row>
        <row r="287">
          <cell r="B287" t="str">
            <v>Nonprofit Only</v>
          </cell>
        </row>
        <row r="288">
          <cell r="B288" t="str">
            <v>For Profit Nonprofit Partnership</v>
          </cell>
        </row>
        <row r="289">
          <cell r="B289" t="str">
            <v>Nonprofit Sponsor Waiver</v>
          </cell>
        </row>
        <row r="291">
          <cell r="B291" t="str">
            <v>King-Pierce-Snohomish County TDC Limits</v>
          </cell>
        </row>
        <row r="292">
          <cell r="B292" t="str">
            <v>Balance of State TDC Limits</v>
          </cell>
        </row>
      </sheetData>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Checklist"/>
      <sheetName val="Signature Page"/>
      <sheetName val="App Fee"/>
      <sheetName val="1A Summary"/>
      <sheetName val="1B Units &amp; SF"/>
      <sheetName val="1C Buildings"/>
      <sheetName val="2A Description"/>
      <sheetName val="ESDS-UnderTheHood"/>
      <sheetName val="2B ESDS"/>
      <sheetName val="2C Acquisition Credit"/>
      <sheetName val="3 Population"/>
      <sheetName val="4 Relocation"/>
      <sheetName val="5 Timeline"/>
      <sheetName val="6A Sources and Uses"/>
      <sheetName val="Sheet2"/>
      <sheetName val="6B LIHTC Budget"/>
      <sheetName val="6C LIHTC Calc"/>
      <sheetName val="6D TDC Limit"/>
      <sheetName val="7A Financing Terms"/>
      <sheetName val="7B Historic Tax Credits"/>
      <sheetName val="8A Rents"/>
      <sheetName val="8B Pro Forma"/>
      <sheetName val="9A Ownership"/>
      <sheetName val="9B Contacts"/>
      <sheetName val="9C ID of Interest"/>
      <sheetName val="10 Scoring"/>
      <sheetName val="hidden - Scoring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Select from list</v>
          </cell>
        </row>
        <row r="2">
          <cell r="B2" t="str">
            <v>King County</v>
          </cell>
        </row>
        <row r="3">
          <cell r="B3" t="str">
            <v>Pierce/Snohomish</v>
          </cell>
        </row>
        <row r="4">
          <cell r="B4" t="str">
            <v>Metro Counties</v>
          </cell>
        </row>
        <row r="5">
          <cell r="B5" t="str">
            <v>Balance of State</v>
          </cell>
        </row>
      </sheetData>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3">
          <cell r="B83" t="str">
            <v>No Points Taken</v>
          </cell>
        </row>
        <row r="84">
          <cell r="B84" t="str">
            <v>Urban:  with 1/4 mile of 3 services and 1/2 mile of a grocery store or within 1/2 mile of 5 facilities and a grocery store - 3 points</v>
          </cell>
        </row>
        <row r="85">
          <cell r="B85" t="str">
            <v>Rural:  with 2 miles of 4 services, one of which is a grocery store - 3 points</v>
          </cell>
        </row>
        <row r="93">
          <cell r="B93">
            <v>0</v>
          </cell>
        </row>
        <row r="94">
          <cell r="B94">
            <v>0.1</v>
          </cell>
        </row>
        <row r="96">
          <cell r="B96">
            <v>0</v>
          </cell>
        </row>
        <row r="97">
          <cell r="B97">
            <v>0.3</v>
          </cell>
        </row>
        <row r="98">
          <cell r="B98">
            <v>0.5</v>
          </cell>
        </row>
        <row r="99">
          <cell r="B99">
            <v>0.7</v>
          </cell>
        </row>
        <row r="100">
          <cell r="B100">
            <v>1</v>
          </cell>
        </row>
        <row r="102">
          <cell r="B102">
            <v>1</v>
          </cell>
        </row>
        <row r="103">
          <cell r="B103">
            <v>0.9</v>
          </cell>
        </row>
        <row r="104">
          <cell r="B104">
            <v>0.7</v>
          </cell>
        </row>
        <row r="105">
          <cell r="B105">
            <v>0.5</v>
          </cell>
        </row>
        <row r="106">
          <cell r="B106">
            <v>0.3</v>
          </cell>
        </row>
        <row r="107">
          <cell r="B107">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Point Balancing"/>
    </sheetNames>
    <sheetDataSet>
      <sheetData sheetId="0"/>
      <sheetData sheetId="1" refreshError="1"/>
    </sheetDataSet>
  </externalBook>
</externalLink>
</file>

<file path=xl/tables/table1.xml><?xml version="1.0" encoding="utf-8"?>
<table xmlns="http://schemas.openxmlformats.org/spreadsheetml/2006/main" id="1" name="Table1" displayName="Table1" ref="C7:N21" totalsRowShown="0" headerRowDxfId="123" dataDxfId="121" headerRowBorderDxfId="122" tableBorderDxfId="120">
  <tableColumns count="12">
    <tableColumn id="1" name="Building ID#/Name" dataDxfId="119"/>
    <tableColumn id="2" name="Building Address _x000a_(Street)" dataDxfId="118"/>
    <tableColumn id="3" name="Building Address_x000a_(City)" dataDxfId="117"/>
    <tableColumn id="4" name="Building Type" dataDxfId="116"/>
    <tableColumn id="5" name="Building Activity" dataDxfId="115"/>
    <tableColumn id="6" name="Transitional Housing for the Homeless?" dataDxfId="114"/>
    <tableColumn id="7" name="Low-Income Units" dataDxfId="113"/>
    <tableColumn id="8" name="Market Rate Units" dataDxfId="112"/>
    <tableColumn id="9" name="Common Area Units" dataDxfId="111"/>
    <tableColumn id="10" name="TOTAL UNITS" dataDxfId="110">
      <calculatedColumnFormula>SUM(I8:K8)</calculatedColumnFormula>
    </tableColumn>
    <tableColumn id="11" name="Year building received original Certificate of Occupancy" dataDxfId="109"/>
    <tableColumn id="12" name="Expected Placed-In-Service Date (MM/DD/YYYYY)" dataDxfId="108"/>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7" dataDxfId="105" headerRowBorderDxfId="106" tableBorderDxfId="104">
  <tableColumns count="13">
    <tableColumn id="1" name="Building # " headerRowDxfId="103" dataDxfId="102"/>
    <tableColumn id="2" name="# of Floors" headerRowDxfId="101" dataDxfId="100"/>
    <tableColumn id="3" name=" Low-Income Units" headerRowDxfId="99" dataDxfId="98"/>
    <tableColumn id="4" name="Common Area/ Manager Units" headerRowDxfId="97" dataDxfId="96"/>
    <tableColumn id="5" name="Market Rate Units" headerRowDxfId="95" dataDxfId="94"/>
    <tableColumn id="6" name="Common Area for Residential Services" headerRowDxfId="93" dataDxfId="92"/>
    <tableColumn id="7" name="Other Common Area" headerRowDxfId="91" dataDxfId="90"/>
    <tableColumn id="8" name="Structured Residential Parking" headerRowDxfId="89" dataDxfId="88"/>
    <tableColumn id="9" name="Total Residential Gross Square Footage" headerRowDxfId="87" dataDxfId="86">
      <calculatedColumnFormula>SUM(E21:J21)</calculatedColumnFormula>
    </tableColumn>
    <tableColumn id="10" name="." headerRowDxfId="85" dataDxfId="84"/>
    <tableColumn id="11" name="# of floors2" headerRowDxfId="83" dataDxfId="82"/>
    <tableColumn id="12" name="Gross Square Footage" headerRowDxfId="81" dataDxfId="80"/>
    <tableColumn id="13" name="Total Gross Square Footage" headerRowDxfId="79" dataDxfId="78">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58" dataDxfId="56" headerRowBorderDxfId="57" tableBorderDxfId="55">
  <tableColumns count="5">
    <tableColumn id="1" name="Population Type" dataDxfId="54"/>
    <tableColumn id="2" name="Homeless at Entry?" dataDxfId="53"/>
    <tableColumn id="3" name="Residency Type" dataDxfId="52"/>
    <tableColumn id="4" name="Unit _x000a_or Bed" dataDxfId="51"/>
    <tableColumn id="5" name="Qty." dataDxfId="5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33" workbookViewId="0">
      <selection activeCell="A175" sqref="A175"/>
    </sheetView>
  </sheetViews>
  <sheetFormatPr defaultColWidth="8.85546875" defaultRowHeight="15" x14ac:dyDescent="0.25"/>
  <cols>
    <col min="1" max="1" width="17.42578125" style="711" bestFit="1" customWidth="1"/>
    <col min="2" max="2" width="42.42578125" style="711" bestFit="1" customWidth="1"/>
    <col min="3" max="3" width="8.85546875" style="711"/>
    <col min="4" max="4" width="19.42578125" style="711" bestFit="1" customWidth="1"/>
    <col min="5" max="5" width="25.28515625" style="711" bestFit="1" customWidth="1"/>
    <col min="6" max="6" width="8.85546875" style="711"/>
    <col min="7" max="7" width="16.42578125" style="711" bestFit="1" customWidth="1"/>
    <col min="8" max="8" width="10.7109375" style="711" bestFit="1" customWidth="1"/>
    <col min="9" max="16384" width="8.85546875" style="711"/>
  </cols>
  <sheetData>
    <row r="3" spans="1:2" x14ac:dyDescent="0.25">
      <c r="A3" s="350" t="s">
        <v>530</v>
      </c>
      <c r="B3" s="764" t="s">
        <v>541</v>
      </c>
    </row>
    <row r="4" spans="1:2" x14ac:dyDescent="0.25">
      <c r="B4" s="765" t="s">
        <v>516</v>
      </c>
    </row>
    <row r="5" spans="1:2" x14ac:dyDescent="0.25">
      <c r="B5" s="765" t="s">
        <v>517</v>
      </c>
    </row>
    <row r="6" spans="1:2" x14ac:dyDescent="0.25">
      <c r="B6" s="765" t="s">
        <v>554</v>
      </c>
    </row>
    <row r="7" spans="1:2" x14ac:dyDescent="0.25">
      <c r="B7" s="765" t="s">
        <v>518</v>
      </c>
    </row>
    <row r="8" spans="1:2" x14ac:dyDescent="0.25">
      <c r="B8" s="765" t="s">
        <v>519</v>
      </c>
    </row>
    <row r="9" spans="1:2" x14ac:dyDescent="0.25">
      <c r="B9" s="765" t="s">
        <v>520</v>
      </c>
    </row>
    <row r="10" spans="1:2" x14ac:dyDescent="0.25">
      <c r="B10" s="765" t="s">
        <v>521</v>
      </c>
    </row>
    <row r="11" spans="1:2" x14ac:dyDescent="0.25">
      <c r="B11" s="765" t="s">
        <v>522</v>
      </c>
    </row>
    <row r="12" spans="1:2" x14ac:dyDescent="0.25">
      <c r="B12" s="765" t="s">
        <v>546</v>
      </c>
    </row>
    <row r="13" spans="1:2" x14ac:dyDescent="0.25">
      <c r="B13" s="765" t="s">
        <v>523</v>
      </c>
    </row>
    <row r="14" spans="1:2" x14ac:dyDescent="0.25">
      <c r="B14" s="765" t="s">
        <v>524</v>
      </c>
    </row>
    <row r="15" spans="1:2" x14ac:dyDescent="0.25">
      <c r="B15" s="765" t="s">
        <v>525</v>
      </c>
    </row>
    <row r="16" spans="1:2" x14ac:dyDescent="0.25">
      <c r="B16" s="765" t="s">
        <v>526</v>
      </c>
    </row>
    <row r="17" spans="1:2" x14ac:dyDescent="0.25">
      <c r="B17" s="765" t="s">
        <v>527</v>
      </c>
    </row>
    <row r="18" spans="1:2" x14ac:dyDescent="0.25">
      <c r="B18" s="765" t="s">
        <v>528</v>
      </c>
    </row>
    <row r="19" spans="1:2" x14ac:dyDescent="0.25">
      <c r="B19" s="765" t="s">
        <v>529</v>
      </c>
    </row>
    <row r="20" spans="1:2" x14ac:dyDescent="0.25">
      <c r="B20" s="765" t="s">
        <v>500</v>
      </c>
    </row>
    <row r="21" spans="1:2" x14ac:dyDescent="0.25">
      <c r="B21" s="765" t="s">
        <v>555</v>
      </c>
    </row>
    <row r="22" spans="1:2" x14ac:dyDescent="0.25">
      <c r="B22" s="766" t="s">
        <v>556</v>
      </c>
    </row>
    <row r="26" spans="1:2" x14ac:dyDescent="0.25">
      <c r="A26" s="711" t="s">
        <v>557</v>
      </c>
      <c r="B26" s="328" t="s">
        <v>541</v>
      </c>
    </row>
    <row r="27" spans="1:2" x14ac:dyDescent="0.25">
      <c r="B27" s="768" t="s">
        <v>558</v>
      </c>
    </row>
    <row r="28" spans="1:2" x14ac:dyDescent="0.25">
      <c r="B28" s="767" t="s">
        <v>559</v>
      </c>
    </row>
    <row r="30" spans="1:2" x14ac:dyDescent="0.25">
      <c r="A30" s="711" t="s">
        <v>1149</v>
      </c>
      <c r="B30" s="764" t="s">
        <v>541</v>
      </c>
    </row>
    <row r="31" spans="1:2" x14ac:dyDescent="0.25">
      <c r="B31" s="771" t="s">
        <v>558</v>
      </c>
    </row>
    <row r="32" spans="1:2" x14ac:dyDescent="0.25">
      <c r="B32" s="771" t="s">
        <v>559</v>
      </c>
    </row>
    <row r="33" spans="1:2" x14ac:dyDescent="0.25">
      <c r="B33" s="1017" t="s">
        <v>1150</v>
      </c>
    </row>
    <row r="35" spans="1:2" x14ac:dyDescent="0.25">
      <c r="A35" s="711" t="s">
        <v>1164</v>
      </c>
      <c r="B35" s="764" t="s">
        <v>541</v>
      </c>
    </row>
    <row r="36" spans="1:2" x14ac:dyDescent="0.25">
      <c r="B36" s="771" t="s">
        <v>558</v>
      </c>
    </row>
    <row r="37" spans="1:2" x14ac:dyDescent="0.25">
      <c r="B37" s="771" t="s">
        <v>559</v>
      </c>
    </row>
    <row r="38" spans="1:2" x14ac:dyDescent="0.25">
      <c r="B38" s="1017" t="s">
        <v>1163</v>
      </c>
    </row>
    <row r="40" spans="1:2" x14ac:dyDescent="0.25">
      <c r="A40" s="711" t="s">
        <v>560</v>
      </c>
      <c r="B40" s="328" t="s">
        <v>541</v>
      </c>
    </row>
    <row r="41" spans="1:2" x14ac:dyDescent="0.25">
      <c r="B41" s="768" t="s">
        <v>561</v>
      </c>
    </row>
    <row r="42" spans="1:2" x14ac:dyDescent="0.25">
      <c r="B42" s="768" t="s">
        <v>562</v>
      </c>
    </row>
    <row r="43" spans="1:2" x14ac:dyDescent="0.25">
      <c r="B43" s="768" t="s">
        <v>563</v>
      </c>
    </row>
    <row r="44" spans="1:2" x14ac:dyDescent="0.25">
      <c r="B44" s="767" t="s">
        <v>564</v>
      </c>
    </row>
    <row r="46" spans="1:2" x14ac:dyDescent="0.25">
      <c r="A46" s="711" t="s">
        <v>565</v>
      </c>
      <c r="B46" s="328" t="s">
        <v>541</v>
      </c>
    </row>
    <row r="47" spans="1:2" x14ac:dyDescent="0.25">
      <c r="B47" s="768" t="s">
        <v>566</v>
      </c>
    </row>
    <row r="48" spans="1:2" x14ac:dyDescent="0.25">
      <c r="B48" s="767" t="s">
        <v>37</v>
      </c>
    </row>
    <row r="51" spans="1:8" x14ac:dyDescent="0.25">
      <c r="A51" s="711" t="s">
        <v>567</v>
      </c>
      <c r="B51" s="328" t="s">
        <v>553</v>
      </c>
      <c r="D51" s="711" t="s">
        <v>1681</v>
      </c>
      <c r="E51" s="328" t="s">
        <v>541</v>
      </c>
      <c r="G51" s="711" t="s">
        <v>1688</v>
      </c>
      <c r="H51" s="711" t="s">
        <v>1689</v>
      </c>
    </row>
    <row r="52" spans="1:8" x14ac:dyDescent="0.25">
      <c r="B52" s="768" t="s">
        <v>533</v>
      </c>
      <c r="E52" s="768" t="s">
        <v>533</v>
      </c>
      <c r="G52" s="1902" t="s">
        <v>1682</v>
      </c>
      <c r="H52" s="1902" t="s">
        <v>1687</v>
      </c>
    </row>
    <row r="53" spans="1:8" x14ac:dyDescent="0.25">
      <c r="B53" s="768" t="s">
        <v>551</v>
      </c>
      <c r="E53" s="767" t="s">
        <v>551</v>
      </c>
      <c r="G53" s="1902" t="s">
        <v>1683</v>
      </c>
      <c r="H53" s="1902" t="s">
        <v>1684</v>
      </c>
    </row>
    <row r="54" spans="1:8" x14ac:dyDescent="0.25">
      <c r="B54" s="767" t="s">
        <v>1680</v>
      </c>
      <c r="G54" s="1902"/>
      <c r="H54" s="1941" t="s">
        <v>674</v>
      </c>
    </row>
    <row r="55" spans="1:8" x14ac:dyDescent="0.25">
      <c r="H55" s="1902" t="s">
        <v>1685</v>
      </c>
    </row>
    <row r="56" spans="1:8" x14ac:dyDescent="0.25">
      <c r="A56" s="711" t="s">
        <v>1696</v>
      </c>
      <c r="B56" s="764" t="s">
        <v>541</v>
      </c>
      <c r="H56" s="1902" t="s">
        <v>1686</v>
      </c>
    </row>
    <row r="57" spans="1:8" x14ac:dyDescent="0.25">
      <c r="B57" s="771" t="s">
        <v>1694</v>
      </c>
      <c r="H57" s="1911"/>
    </row>
    <row r="58" spans="1:8" x14ac:dyDescent="0.25">
      <c r="B58" s="1017" t="s">
        <v>1695</v>
      </c>
      <c r="H58" s="1911"/>
    </row>
    <row r="59" spans="1:8" x14ac:dyDescent="0.25">
      <c r="H59" s="1911"/>
    </row>
    <row r="60" spans="1:8" x14ac:dyDescent="0.25">
      <c r="A60" s="711" t="s">
        <v>568</v>
      </c>
      <c r="B60" s="328" t="s">
        <v>541</v>
      </c>
    </row>
    <row r="61" spans="1:8" x14ac:dyDescent="0.25">
      <c r="B61" s="768" t="s">
        <v>569</v>
      </c>
    </row>
    <row r="62" spans="1:8" x14ac:dyDescent="0.25">
      <c r="B62" s="767" t="s">
        <v>570</v>
      </c>
    </row>
    <row r="65" spans="1:5" x14ac:dyDescent="0.25">
      <c r="A65" s="711" t="s">
        <v>37</v>
      </c>
      <c r="B65" s="328"/>
    </row>
    <row r="66" spans="1:5" x14ac:dyDescent="0.25">
      <c r="B66" s="767" t="s">
        <v>548</v>
      </c>
    </row>
    <row r="68" spans="1:5" x14ac:dyDescent="0.25">
      <c r="A68" s="711" t="s">
        <v>566</v>
      </c>
      <c r="B68" s="328" t="s">
        <v>541</v>
      </c>
      <c r="D68" s="711" t="s">
        <v>1710</v>
      </c>
      <c r="E68" s="328" t="s">
        <v>541</v>
      </c>
    </row>
    <row r="69" spans="1:5" x14ac:dyDescent="0.25">
      <c r="B69" s="768" t="s">
        <v>39</v>
      </c>
      <c r="E69" s="768" t="s">
        <v>39</v>
      </c>
    </row>
    <row r="70" spans="1:5" x14ac:dyDescent="0.25">
      <c r="B70" s="768" t="s">
        <v>38</v>
      </c>
      <c r="E70" s="768" t="s">
        <v>38</v>
      </c>
    </row>
    <row r="71" spans="1:5" x14ac:dyDescent="0.25">
      <c r="B71" s="768" t="s">
        <v>571</v>
      </c>
      <c r="E71" s="768" t="s">
        <v>571</v>
      </c>
    </row>
    <row r="72" spans="1:5" x14ac:dyDescent="0.25">
      <c r="B72" s="768" t="s">
        <v>572</v>
      </c>
      <c r="E72" s="768" t="s">
        <v>572</v>
      </c>
    </row>
    <row r="73" spans="1:5" x14ac:dyDescent="0.25">
      <c r="B73" s="768" t="s">
        <v>573</v>
      </c>
      <c r="E73" s="768" t="s">
        <v>573</v>
      </c>
    </row>
    <row r="74" spans="1:5" x14ac:dyDescent="0.25">
      <c r="B74" s="768" t="s">
        <v>574</v>
      </c>
      <c r="E74" s="768" t="s">
        <v>574</v>
      </c>
    </row>
    <row r="75" spans="1:5" x14ac:dyDescent="0.25">
      <c r="B75" s="767" t="s">
        <v>575</v>
      </c>
      <c r="E75" s="1017" t="s">
        <v>230</v>
      </c>
    </row>
    <row r="77" spans="1:5" x14ac:dyDescent="0.25">
      <c r="A77" s="711" t="s">
        <v>597</v>
      </c>
      <c r="B77" s="328" t="s">
        <v>541</v>
      </c>
    </row>
    <row r="78" spans="1:5" x14ac:dyDescent="0.25">
      <c r="B78" s="771" t="s">
        <v>37</v>
      </c>
    </row>
    <row r="79" spans="1:5" x14ac:dyDescent="0.25">
      <c r="B79" s="771" t="s">
        <v>38</v>
      </c>
    </row>
    <row r="80" spans="1:5" x14ac:dyDescent="0.25">
      <c r="B80" s="768" t="s">
        <v>39</v>
      </c>
    </row>
    <row r="81" spans="1:2" x14ac:dyDescent="0.25">
      <c r="B81" s="768" t="s">
        <v>571</v>
      </c>
    </row>
    <row r="82" spans="1:2" x14ac:dyDescent="0.25">
      <c r="B82" s="768" t="s">
        <v>572</v>
      </c>
    </row>
    <row r="83" spans="1:2" x14ac:dyDescent="0.25">
      <c r="B83" s="768" t="s">
        <v>573</v>
      </c>
    </row>
    <row r="84" spans="1:2" x14ac:dyDescent="0.25">
      <c r="B84" s="768" t="s">
        <v>574</v>
      </c>
    </row>
    <row r="85" spans="1:2" x14ac:dyDescent="0.25">
      <c r="B85" s="767" t="s">
        <v>575</v>
      </c>
    </row>
    <row r="87" spans="1:2" x14ac:dyDescent="0.25">
      <c r="A87" s="711" t="s">
        <v>598</v>
      </c>
      <c r="B87" s="328" t="s">
        <v>541</v>
      </c>
    </row>
    <row r="88" spans="1:2" x14ac:dyDescent="0.25">
      <c r="B88" s="768" t="s">
        <v>339</v>
      </c>
    </row>
    <row r="89" spans="1:2" x14ac:dyDescent="0.25">
      <c r="B89" s="767" t="s">
        <v>599</v>
      </c>
    </row>
    <row r="92" spans="1:2" x14ac:dyDescent="0.25">
      <c r="A92" s="711" t="s">
        <v>576</v>
      </c>
      <c r="B92" s="328" t="s">
        <v>541</v>
      </c>
    </row>
    <row r="93" spans="1:2" x14ac:dyDescent="0.25">
      <c r="B93" s="769">
        <v>0.25</v>
      </c>
    </row>
    <row r="94" spans="1:2" x14ac:dyDescent="0.25">
      <c r="B94" s="769">
        <v>0.3</v>
      </c>
    </row>
    <row r="95" spans="1:2" x14ac:dyDescent="0.25">
      <c r="B95" s="769">
        <v>0.35</v>
      </c>
    </row>
    <row r="96" spans="1:2" x14ac:dyDescent="0.25">
      <c r="B96" s="769">
        <v>0.4</v>
      </c>
    </row>
    <row r="97" spans="1:2" x14ac:dyDescent="0.25">
      <c r="B97" s="769">
        <v>0.45</v>
      </c>
    </row>
    <row r="98" spans="1:2" x14ac:dyDescent="0.25">
      <c r="B98" s="769">
        <v>0.5</v>
      </c>
    </row>
    <row r="99" spans="1:2" x14ac:dyDescent="0.25">
      <c r="B99" s="769">
        <v>0.55000000000000004</v>
      </c>
    </row>
    <row r="100" spans="1:2" x14ac:dyDescent="0.25">
      <c r="B100" s="769">
        <v>0.6</v>
      </c>
    </row>
    <row r="101" spans="1:2" x14ac:dyDescent="0.25">
      <c r="B101" s="769">
        <v>0.65</v>
      </c>
    </row>
    <row r="102" spans="1:2" x14ac:dyDescent="0.25">
      <c r="B102" s="770">
        <v>0.8</v>
      </c>
    </row>
    <row r="105" spans="1:2" x14ac:dyDescent="0.25">
      <c r="A105" s="711" t="s">
        <v>577</v>
      </c>
      <c r="B105" s="328" t="s">
        <v>541</v>
      </c>
    </row>
    <row r="106" spans="1:2" x14ac:dyDescent="0.25">
      <c r="B106" s="768" t="s">
        <v>578</v>
      </c>
    </row>
    <row r="107" spans="1:2" x14ac:dyDescent="0.25">
      <c r="B107" s="767" t="s">
        <v>579</v>
      </c>
    </row>
    <row r="110" spans="1:2" x14ac:dyDescent="0.25">
      <c r="A110" s="711" t="s">
        <v>581</v>
      </c>
      <c r="B110" s="1131" t="s">
        <v>580</v>
      </c>
    </row>
    <row r="116" spans="1:2" x14ac:dyDescent="0.25">
      <c r="A116" s="711" t="s">
        <v>590</v>
      </c>
      <c r="B116" s="328" t="s">
        <v>541</v>
      </c>
    </row>
    <row r="117" spans="1:2" x14ac:dyDescent="0.25">
      <c r="B117" s="768" t="s">
        <v>589</v>
      </c>
    </row>
    <row r="118" spans="1:2" x14ac:dyDescent="0.25">
      <c r="B118" s="768" t="s">
        <v>583</v>
      </c>
    </row>
    <row r="119" spans="1:2" x14ac:dyDescent="0.25">
      <c r="B119" s="768" t="s">
        <v>584</v>
      </c>
    </row>
    <row r="120" spans="1:2" x14ac:dyDescent="0.25">
      <c r="B120" s="768" t="s">
        <v>585</v>
      </c>
    </row>
    <row r="121" spans="1:2" x14ac:dyDescent="0.25">
      <c r="B121" s="768" t="s">
        <v>586</v>
      </c>
    </row>
    <row r="122" spans="1:2" x14ac:dyDescent="0.25">
      <c r="B122" s="768" t="s">
        <v>587</v>
      </c>
    </row>
    <row r="123" spans="1:2" x14ac:dyDescent="0.25">
      <c r="B123" s="768" t="s">
        <v>588</v>
      </c>
    </row>
    <row r="124" spans="1:2" x14ac:dyDescent="0.25">
      <c r="B124" s="767" t="s">
        <v>582</v>
      </c>
    </row>
    <row r="127" spans="1:2" x14ac:dyDescent="0.25">
      <c r="A127" s="711" t="s">
        <v>591</v>
      </c>
      <c r="B127" s="764" t="s">
        <v>541</v>
      </c>
    </row>
    <row r="128" spans="1:2" x14ac:dyDescent="0.25">
      <c r="B128" s="768" t="s">
        <v>28</v>
      </c>
    </row>
    <row r="129" spans="1:2" x14ac:dyDescent="0.25">
      <c r="B129" s="768" t="s">
        <v>25</v>
      </c>
    </row>
    <row r="130" spans="1:2" x14ac:dyDescent="0.25">
      <c r="B130" s="767" t="s">
        <v>22</v>
      </c>
    </row>
    <row r="132" spans="1:2" x14ac:dyDescent="0.25">
      <c r="A132" s="711" t="s">
        <v>602</v>
      </c>
      <c r="B132" s="764" t="s">
        <v>541</v>
      </c>
    </row>
    <row r="133" spans="1:2" x14ac:dyDescent="0.25">
      <c r="B133" s="771" t="s">
        <v>603</v>
      </c>
    </row>
    <row r="134" spans="1:2" x14ac:dyDescent="0.25">
      <c r="B134" s="771" t="s">
        <v>604</v>
      </c>
    </row>
    <row r="135" spans="1:2" x14ac:dyDescent="0.25">
      <c r="B135" s="771" t="s">
        <v>605</v>
      </c>
    </row>
    <row r="136" spans="1:2" x14ac:dyDescent="0.25">
      <c r="B136" s="771" t="s">
        <v>606</v>
      </c>
    </row>
    <row r="137" spans="1:2" x14ac:dyDescent="0.25">
      <c r="B137" s="998"/>
    </row>
    <row r="138" spans="1:2" x14ac:dyDescent="0.25">
      <c r="A138" s="711" t="s">
        <v>609</v>
      </c>
      <c r="B138" s="764" t="s">
        <v>553</v>
      </c>
    </row>
    <row r="139" spans="1:2" x14ac:dyDescent="0.25">
      <c r="B139" s="768" t="s">
        <v>610</v>
      </c>
    </row>
    <row r="140" spans="1:2" x14ac:dyDescent="0.25">
      <c r="B140" s="767" t="s">
        <v>611</v>
      </c>
    </row>
    <row r="142" spans="1:2" x14ac:dyDescent="0.25">
      <c r="A142" s="711" t="s">
        <v>612</v>
      </c>
      <c r="B142" s="764" t="s">
        <v>541</v>
      </c>
    </row>
    <row r="143" spans="1:2" x14ac:dyDescent="0.25">
      <c r="B143" s="771" t="s">
        <v>613</v>
      </c>
    </row>
    <row r="144" spans="1:2" x14ac:dyDescent="0.25">
      <c r="B144" s="771" t="s">
        <v>614</v>
      </c>
    </row>
    <row r="145" spans="1:5" x14ac:dyDescent="0.25">
      <c r="B145" s="1017" t="s">
        <v>615</v>
      </c>
    </row>
    <row r="147" spans="1:5" x14ac:dyDescent="0.25">
      <c r="A147" s="711" t="s">
        <v>619</v>
      </c>
      <c r="B147" s="1128" t="s">
        <v>541</v>
      </c>
    </row>
    <row r="148" spans="1:5" x14ac:dyDescent="0.25">
      <c r="B148" s="1129" t="s">
        <v>620</v>
      </c>
    </row>
    <row r="149" spans="1:5" x14ac:dyDescent="0.25">
      <c r="B149" s="1129" t="s">
        <v>618</v>
      </c>
    </row>
    <row r="150" spans="1:5" x14ac:dyDescent="0.25">
      <c r="B150" s="1129" t="s">
        <v>621</v>
      </c>
    </row>
    <row r="151" spans="1:5" x14ac:dyDescent="0.25">
      <c r="B151" s="1130" t="s">
        <v>622</v>
      </c>
    </row>
    <row r="153" spans="1:5" x14ac:dyDescent="0.25">
      <c r="A153" s="711" t="s">
        <v>631</v>
      </c>
      <c r="B153" s="764" t="s">
        <v>541</v>
      </c>
      <c r="D153" s="711" t="s">
        <v>702</v>
      </c>
      <c r="E153" s="764" t="s">
        <v>541</v>
      </c>
    </row>
    <row r="154" spans="1:5" x14ac:dyDescent="0.25">
      <c r="B154" s="1025" t="s">
        <v>628</v>
      </c>
      <c r="E154" s="1025" t="s">
        <v>628</v>
      </c>
    </row>
    <row r="155" spans="1:5" x14ac:dyDescent="0.25">
      <c r="B155" s="1025" t="s">
        <v>625</v>
      </c>
      <c r="E155" s="1025" t="s">
        <v>625</v>
      </c>
    </row>
    <row r="156" spans="1:5" x14ac:dyDescent="0.25">
      <c r="B156" s="1025" t="s">
        <v>626</v>
      </c>
      <c r="E156" s="1025" t="s">
        <v>626</v>
      </c>
    </row>
    <row r="157" spans="1:5" x14ac:dyDescent="0.25">
      <c r="B157" s="1025" t="s">
        <v>650</v>
      </c>
      <c r="E157" s="1025" t="s">
        <v>650</v>
      </c>
    </row>
    <row r="158" spans="1:5" x14ac:dyDescent="0.25">
      <c r="B158" s="1025" t="s">
        <v>623</v>
      </c>
      <c r="E158" s="1025" t="s">
        <v>623</v>
      </c>
    </row>
    <row r="159" spans="1:5" x14ac:dyDescent="0.25">
      <c r="B159" s="1025" t="s">
        <v>630</v>
      </c>
      <c r="E159" s="1025" t="s">
        <v>630</v>
      </c>
    </row>
    <row r="160" spans="1:5" x14ac:dyDescent="0.25">
      <c r="B160" s="1025" t="s">
        <v>570</v>
      </c>
      <c r="E160" s="1025" t="s">
        <v>570</v>
      </c>
    </row>
    <row r="161" spans="1:5" x14ac:dyDescent="0.25">
      <c r="B161" s="1025" t="s">
        <v>629</v>
      </c>
      <c r="E161" s="1025" t="s">
        <v>629</v>
      </c>
    </row>
    <row r="162" spans="1:5" x14ac:dyDescent="0.25">
      <c r="B162" s="1025" t="s">
        <v>627</v>
      </c>
      <c r="E162" s="1025" t="s">
        <v>627</v>
      </c>
    </row>
    <row r="163" spans="1:5" x14ac:dyDescent="0.25">
      <c r="B163" s="1025" t="s">
        <v>1151</v>
      </c>
      <c r="E163" s="1025" t="s">
        <v>624</v>
      </c>
    </row>
    <row r="164" spans="1:5" x14ac:dyDescent="0.25">
      <c r="B164" s="1025" t="s">
        <v>1152</v>
      </c>
      <c r="E164" s="1025"/>
    </row>
    <row r="165" spans="1:5" x14ac:dyDescent="0.25">
      <c r="B165" s="1025" t="s">
        <v>693</v>
      </c>
      <c r="E165" s="1025" t="s">
        <v>693</v>
      </c>
    </row>
    <row r="166" spans="1:5" x14ac:dyDescent="0.25">
      <c r="B166" s="1084" t="s">
        <v>651</v>
      </c>
      <c r="E166" s="1025" t="s">
        <v>701</v>
      </c>
    </row>
    <row r="167" spans="1:5" x14ac:dyDescent="0.25">
      <c r="B167" s="1132" t="s">
        <v>230</v>
      </c>
      <c r="E167" s="1084" t="s">
        <v>651</v>
      </c>
    </row>
    <row r="168" spans="1:5" x14ac:dyDescent="0.25">
      <c r="E168" s="1132" t="s">
        <v>230</v>
      </c>
    </row>
    <row r="170" spans="1:5" x14ac:dyDescent="0.25">
      <c r="A170" s="711" t="s">
        <v>637</v>
      </c>
      <c r="B170" s="328" t="s">
        <v>541</v>
      </c>
    </row>
    <row r="171" spans="1:5" x14ac:dyDescent="0.25">
      <c r="B171" s="768" t="s">
        <v>635</v>
      </c>
    </row>
    <row r="172" spans="1:5" x14ac:dyDescent="0.25">
      <c r="B172" s="767" t="s">
        <v>636</v>
      </c>
    </row>
    <row r="175" spans="1:5" x14ac:dyDescent="0.25">
      <c r="A175" s="711" t="s">
        <v>1714</v>
      </c>
      <c r="B175" s="764" t="s">
        <v>541</v>
      </c>
    </row>
    <row r="176" spans="1:5" x14ac:dyDescent="0.25">
      <c r="B176" s="771" t="s">
        <v>1713</v>
      </c>
    </row>
    <row r="177" spans="2:2" x14ac:dyDescent="0.25">
      <c r="B177" s="1017" t="s">
        <v>1715</v>
      </c>
    </row>
  </sheetData>
  <sheetProtection password="D666" sheet="1" objects="1" scenarios="1"/>
  <sortState ref="B155:B166">
    <sortCondition ref="B155"/>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8.85546875" defaultRowHeight="15" x14ac:dyDescent="0.25"/>
  <cols>
    <col min="1" max="1" width="8.85546875" style="367" bestFit="1" customWidth="1"/>
    <col min="2" max="2" width="32.28515625" style="367" bestFit="1" customWidth="1"/>
    <col min="3" max="3" width="8.85546875" style="367" customWidth="1"/>
    <col min="4" max="4" width="17" style="367" bestFit="1" customWidth="1"/>
    <col min="5" max="5" width="8.85546875" style="1290"/>
    <col min="6" max="6" width="8.85546875" style="367" bestFit="1" customWidth="1"/>
    <col min="7" max="7" width="41.140625" style="367" customWidth="1"/>
    <col min="8" max="8" width="8.85546875" style="367"/>
    <col min="9" max="9" width="18.28515625" style="367" bestFit="1" customWidth="1"/>
    <col min="10" max="10" width="49.85546875" style="367" bestFit="1" customWidth="1"/>
    <col min="11" max="16384" width="8.85546875" style="367"/>
  </cols>
  <sheetData>
    <row r="1" spans="1:10" x14ac:dyDescent="0.25">
      <c r="A1" s="1289" t="s">
        <v>845</v>
      </c>
      <c r="B1" s="1289" t="s">
        <v>846</v>
      </c>
      <c r="C1" s="1289" t="s">
        <v>847</v>
      </c>
      <c r="D1" s="1289" t="s">
        <v>848</v>
      </c>
      <c r="E1" s="1290" t="s">
        <v>849</v>
      </c>
      <c r="F1" s="1291" t="s">
        <v>845</v>
      </c>
      <c r="G1" s="1292" t="s">
        <v>850</v>
      </c>
      <c r="H1" s="367" t="s">
        <v>847</v>
      </c>
      <c r="I1" s="367" t="s">
        <v>848</v>
      </c>
      <c r="J1" s="1216" t="s">
        <v>851</v>
      </c>
    </row>
    <row r="2" spans="1:10" x14ac:dyDescent="0.25">
      <c r="A2" s="1293">
        <v>1.1000000000000001</v>
      </c>
      <c r="B2" s="1294" t="s">
        <v>852</v>
      </c>
      <c r="C2" s="1289" t="s">
        <v>853</v>
      </c>
      <c r="D2" s="1289" t="s">
        <v>28</v>
      </c>
      <c r="E2" s="1290">
        <v>1</v>
      </c>
      <c r="F2" s="1291" t="s">
        <v>711</v>
      </c>
      <c r="G2" s="1295" t="s">
        <v>852</v>
      </c>
      <c r="H2" s="1216" t="s">
        <v>854</v>
      </c>
      <c r="I2" s="1216" t="s">
        <v>28</v>
      </c>
      <c r="J2" s="1296" t="s">
        <v>855</v>
      </c>
    </row>
    <row r="3" spans="1:10" x14ac:dyDescent="0.25">
      <c r="A3" s="1297">
        <v>1.2</v>
      </c>
      <c r="B3" s="1298" t="s">
        <v>856</v>
      </c>
      <c r="C3" s="1289" t="s">
        <v>853</v>
      </c>
      <c r="D3" s="1289" t="s">
        <v>28</v>
      </c>
      <c r="E3" s="1290">
        <v>2</v>
      </c>
      <c r="F3" s="1291" t="s">
        <v>713</v>
      </c>
      <c r="G3" s="1295" t="s">
        <v>857</v>
      </c>
      <c r="H3" s="1216" t="s">
        <v>854</v>
      </c>
      <c r="I3" s="1216" t="s">
        <v>28</v>
      </c>
      <c r="J3" s="1296" t="s">
        <v>858</v>
      </c>
    </row>
    <row r="4" spans="1:10" x14ac:dyDescent="0.25">
      <c r="A4" s="1299">
        <v>2.1</v>
      </c>
      <c r="B4" s="1294" t="s">
        <v>852</v>
      </c>
      <c r="C4" s="1289" t="s">
        <v>853</v>
      </c>
      <c r="D4" s="1289" t="s">
        <v>28</v>
      </c>
      <c r="E4" s="1290">
        <v>3</v>
      </c>
      <c r="F4" s="1291">
        <v>1.2</v>
      </c>
      <c r="G4" s="1295" t="s">
        <v>859</v>
      </c>
      <c r="H4" s="1216" t="s">
        <v>854</v>
      </c>
      <c r="I4" s="1216" t="s">
        <v>28</v>
      </c>
      <c r="J4" s="1296" t="s">
        <v>860</v>
      </c>
    </row>
    <row r="5" spans="1:10" x14ac:dyDescent="0.25">
      <c r="A5" s="1300">
        <v>2.2000000000000002</v>
      </c>
      <c r="B5" s="1301" t="s">
        <v>861</v>
      </c>
      <c r="C5" s="1289" t="s">
        <v>853</v>
      </c>
      <c r="D5" s="1289" t="s">
        <v>28</v>
      </c>
      <c r="E5" s="1290">
        <v>4</v>
      </c>
      <c r="F5" s="1291" t="s">
        <v>716</v>
      </c>
      <c r="G5" s="1295" t="s">
        <v>852</v>
      </c>
      <c r="H5" s="1216" t="s">
        <v>854</v>
      </c>
      <c r="I5" s="1216" t="s">
        <v>28</v>
      </c>
      <c r="J5" s="1296" t="s">
        <v>855</v>
      </c>
    </row>
    <row r="6" spans="1:10" x14ac:dyDescent="0.25">
      <c r="A6" s="1300">
        <v>2.2999999999999998</v>
      </c>
      <c r="B6" s="1301" t="s">
        <v>852</v>
      </c>
      <c r="C6" s="1289" t="s">
        <v>853</v>
      </c>
      <c r="D6" s="1289" t="s">
        <v>28</v>
      </c>
      <c r="E6" s="1290">
        <v>5</v>
      </c>
      <c r="F6" s="1291" t="s">
        <v>718</v>
      </c>
      <c r="G6" s="1302" t="s">
        <v>862</v>
      </c>
      <c r="H6" s="1216" t="s">
        <v>854</v>
      </c>
      <c r="I6" s="1216" t="s">
        <v>28</v>
      </c>
      <c r="J6" s="1296" t="s">
        <v>863</v>
      </c>
    </row>
    <row r="7" spans="1:10" x14ac:dyDescent="0.25">
      <c r="A7" s="1300">
        <v>2.4</v>
      </c>
      <c r="B7" s="1301" t="s">
        <v>864</v>
      </c>
      <c r="C7" s="1289" t="s">
        <v>853</v>
      </c>
      <c r="D7" s="1289" t="s">
        <v>28</v>
      </c>
      <c r="E7" s="1290">
        <v>6</v>
      </c>
      <c r="F7" s="1303">
        <v>1.4</v>
      </c>
      <c r="G7" s="1302" t="s">
        <v>865</v>
      </c>
      <c r="H7" s="1216" t="s">
        <v>854</v>
      </c>
      <c r="I7" s="1216" t="s">
        <v>28</v>
      </c>
      <c r="J7" s="1296" t="s">
        <v>866</v>
      </c>
    </row>
    <row r="8" spans="1:10" x14ac:dyDescent="0.25">
      <c r="A8" s="1300">
        <v>2.5</v>
      </c>
      <c r="B8" s="1301" t="s">
        <v>867</v>
      </c>
      <c r="C8" s="1289" t="s">
        <v>853</v>
      </c>
      <c r="D8" s="1289" t="s">
        <v>28</v>
      </c>
      <c r="E8" s="1290">
        <v>7</v>
      </c>
      <c r="F8" s="1303">
        <v>2.1</v>
      </c>
      <c r="G8" s="1295" t="s">
        <v>852</v>
      </c>
      <c r="H8" s="1216" t="s">
        <v>854</v>
      </c>
      <c r="I8" s="1216" t="s">
        <v>28</v>
      </c>
      <c r="J8" s="1296" t="s">
        <v>855</v>
      </c>
    </row>
    <row r="9" spans="1:10" x14ac:dyDescent="0.25">
      <c r="A9" s="1300">
        <v>2.6</v>
      </c>
      <c r="B9" s="1301" t="s">
        <v>868</v>
      </c>
      <c r="C9" s="1289" t="s">
        <v>853</v>
      </c>
      <c r="D9" s="1289" t="s">
        <v>28</v>
      </c>
      <c r="E9" s="1290">
        <v>8</v>
      </c>
      <c r="F9" s="1303">
        <v>2.2000000000000002</v>
      </c>
      <c r="G9" s="1295" t="s">
        <v>852</v>
      </c>
      <c r="H9" s="1216" t="s">
        <v>854</v>
      </c>
      <c r="I9" s="1216" t="s">
        <v>28</v>
      </c>
      <c r="J9" s="1296" t="s">
        <v>855</v>
      </c>
    </row>
    <row r="10" spans="1:10" x14ac:dyDescent="0.25">
      <c r="A10" s="1304" t="s">
        <v>869</v>
      </c>
      <c r="B10" s="1301" t="s">
        <v>548</v>
      </c>
      <c r="C10" s="1289" t="s">
        <v>853</v>
      </c>
      <c r="D10" s="1289" t="s">
        <v>28</v>
      </c>
      <c r="E10" s="1290">
        <v>9</v>
      </c>
      <c r="F10" s="1303">
        <v>2.2999999999999998</v>
      </c>
      <c r="G10" s="1295" t="s">
        <v>852</v>
      </c>
      <c r="H10" s="1216" t="s">
        <v>854</v>
      </c>
      <c r="I10" s="1216" t="s">
        <v>28</v>
      </c>
      <c r="J10" s="1296" t="s">
        <v>855</v>
      </c>
    </row>
    <row r="11" spans="1:10" x14ac:dyDescent="0.25">
      <c r="A11" s="1300" t="s">
        <v>870</v>
      </c>
      <c r="B11" s="1301" t="s">
        <v>871</v>
      </c>
      <c r="C11" s="1289" t="s">
        <v>853</v>
      </c>
      <c r="D11" s="1289" t="s">
        <v>28</v>
      </c>
      <c r="E11" s="1290">
        <v>10</v>
      </c>
      <c r="F11" s="1303">
        <v>2.4</v>
      </c>
      <c r="G11" s="1295" t="s">
        <v>864</v>
      </c>
      <c r="H11" s="1216" t="s">
        <v>854</v>
      </c>
      <c r="I11" s="1216" t="s">
        <v>28</v>
      </c>
      <c r="J11" s="1296" t="s">
        <v>872</v>
      </c>
    </row>
    <row r="12" spans="1:10" x14ac:dyDescent="0.25">
      <c r="A12" s="1300">
        <v>2.8</v>
      </c>
      <c r="B12" s="1301" t="s">
        <v>873</v>
      </c>
      <c r="C12" s="1289" t="s">
        <v>853</v>
      </c>
      <c r="D12" s="1289" t="s">
        <v>28</v>
      </c>
      <c r="E12" s="1290">
        <v>11</v>
      </c>
      <c r="F12" s="1303">
        <v>2.5</v>
      </c>
      <c r="G12" s="1295" t="s">
        <v>874</v>
      </c>
      <c r="H12" s="1216" t="s">
        <v>854</v>
      </c>
      <c r="I12" s="1216" t="s">
        <v>28</v>
      </c>
      <c r="J12" s="1296" t="s">
        <v>875</v>
      </c>
    </row>
    <row r="13" spans="1:10" x14ac:dyDescent="0.25">
      <c r="A13" s="1300">
        <v>2.9</v>
      </c>
      <c r="B13" s="1301" t="s">
        <v>876</v>
      </c>
      <c r="C13" s="1289" t="s">
        <v>853</v>
      </c>
      <c r="D13" s="1289" t="s">
        <v>28</v>
      </c>
      <c r="E13" s="1290">
        <v>12</v>
      </c>
      <c r="F13" s="1303">
        <v>2.6</v>
      </c>
      <c r="G13" s="1295" t="s">
        <v>852</v>
      </c>
      <c r="H13" s="1216" t="s">
        <v>854</v>
      </c>
      <c r="I13" s="1216" t="s">
        <v>28</v>
      </c>
      <c r="J13" s="1296" t="s">
        <v>855</v>
      </c>
    </row>
    <row r="14" spans="1:10" x14ac:dyDescent="0.25">
      <c r="A14" s="1305" t="s">
        <v>735</v>
      </c>
      <c r="B14" s="1298" t="s">
        <v>868</v>
      </c>
      <c r="C14" s="1289" t="s">
        <v>853</v>
      </c>
      <c r="D14" s="1289" t="s">
        <v>28</v>
      </c>
      <c r="E14" s="1290">
        <v>13</v>
      </c>
      <c r="F14" s="1171" t="s">
        <v>729</v>
      </c>
      <c r="G14" s="1295" t="s">
        <v>852</v>
      </c>
      <c r="H14" s="1216" t="s">
        <v>854</v>
      </c>
      <c r="I14" s="1216" t="s">
        <v>28</v>
      </c>
      <c r="J14" s="1296" t="s">
        <v>855</v>
      </c>
    </row>
    <row r="15" spans="1:10" x14ac:dyDescent="0.25">
      <c r="A15" s="1299" t="s">
        <v>877</v>
      </c>
      <c r="B15" s="1294" t="s">
        <v>852</v>
      </c>
      <c r="C15" s="1289" t="s">
        <v>853</v>
      </c>
      <c r="D15" s="1289" t="s">
        <v>28</v>
      </c>
      <c r="E15" s="1290">
        <v>14</v>
      </c>
      <c r="F15" s="1291" t="s">
        <v>731</v>
      </c>
      <c r="G15" s="1295" t="s">
        <v>878</v>
      </c>
      <c r="H15" s="1216" t="s">
        <v>854</v>
      </c>
      <c r="I15" s="1216" t="s">
        <v>28</v>
      </c>
      <c r="J15" s="1296" t="s">
        <v>879</v>
      </c>
    </row>
    <row r="16" spans="1:10" x14ac:dyDescent="0.25">
      <c r="A16" s="1300" t="s">
        <v>880</v>
      </c>
      <c r="B16" s="1301" t="s">
        <v>852</v>
      </c>
      <c r="C16" s="1289" t="s">
        <v>853</v>
      </c>
      <c r="D16" s="1289" t="s">
        <v>28</v>
      </c>
      <c r="E16" s="1290">
        <v>15</v>
      </c>
      <c r="F16" s="1303">
        <v>2.8</v>
      </c>
      <c r="G16" s="1295" t="s">
        <v>861</v>
      </c>
      <c r="H16" s="1216" t="s">
        <v>854</v>
      </c>
      <c r="I16" s="1216" t="s">
        <v>28</v>
      </c>
      <c r="J16" s="1296" t="s">
        <v>881</v>
      </c>
    </row>
    <row r="17" spans="1:10" x14ac:dyDescent="0.25">
      <c r="A17" s="1300" t="s">
        <v>741</v>
      </c>
      <c r="B17" s="1306" t="s">
        <v>882</v>
      </c>
      <c r="C17" s="1289" t="s">
        <v>853</v>
      </c>
      <c r="D17" s="1289" t="s">
        <v>28</v>
      </c>
      <c r="E17" s="1290">
        <v>16</v>
      </c>
      <c r="F17" s="1303">
        <v>2.9</v>
      </c>
      <c r="G17" s="1295" t="s">
        <v>864</v>
      </c>
      <c r="H17" s="1216" t="s">
        <v>854</v>
      </c>
      <c r="I17" s="1216" t="s">
        <v>28</v>
      </c>
      <c r="J17" s="1296" t="s">
        <v>872</v>
      </c>
    </row>
    <row r="18" spans="1:10" x14ac:dyDescent="0.25">
      <c r="A18" s="1300" t="s">
        <v>742</v>
      </c>
      <c r="B18" s="1301" t="s">
        <v>864</v>
      </c>
      <c r="C18" s="1289" t="s">
        <v>853</v>
      </c>
      <c r="D18" s="1289" t="s">
        <v>28</v>
      </c>
      <c r="E18" s="1290">
        <v>17</v>
      </c>
      <c r="F18" s="1307" t="s">
        <v>735</v>
      </c>
      <c r="G18" s="1295" t="s">
        <v>868</v>
      </c>
      <c r="H18" s="1216" t="s">
        <v>854</v>
      </c>
      <c r="I18" s="1216" t="s">
        <v>28</v>
      </c>
      <c r="J18" s="1296" t="s">
        <v>883</v>
      </c>
    </row>
    <row r="19" spans="1:10" x14ac:dyDescent="0.25">
      <c r="A19" s="1300" t="s">
        <v>743</v>
      </c>
      <c r="B19" s="1301" t="s">
        <v>884</v>
      </c>
      <c r="C19" s="1289" t="s">
        <v>853</v>
      </c>
      <c r="D19" s="1289" t="s">
        <v>28</v>
      </c>
      <c r="E19" s="1290">
        <v>18</v>
      </c>
      <c r="F19" s="1303">
        <v>3.1</v>
      </c>
      <c r="G19" s="1295" t="s">
        <v>852</v>
      </c>
      <c r="H19" s="1216" t="s">
        <v>854</v>
      </c>
      <c r="I19" s="1216" t="s">
        <v>28</v>
      </c>
      <c r="J19" s="1296" t="s">
        <v>855</v>
      </c>
    </row>
    <row r="20" spans="1:10" x14ac:dyDescent="0.25">
      <c r="A20" s="1300" t="s">
        <v>885</v>
      </c>
      <c r="B20" s="1306" t="s">
        <v>886</v>
      </c>
      <c r="C20" s="1308" t="s">
        <v>853</v>
      </c>
      <c r="D20" s="1308" t="s">
        <v>28</v>
      </c>
      <c r="E20" s="1290">
        <v>19</v>
      </c>
      <c r="F20" s="1291">
        <v>3.2</v>
      </c>
      <c r="G20" s="1295" t="s">
        <v>852</v>
      </c>
      <c r="H20" s="1216" t="s">
        <v>854</v>
      </c>
      <c r="I20" s="1216" t="s">
        <v>28</v>
      </c>
      <c r="J20" s="1296" t="s">
        <v>855</v>
      </c>
    </row>
    <row r="21" spans="1:10" x14ac:dyDescent="0.25">
      <c r="A21" s="1300" t="s">
        <v>887</v>
      </c>
      <c r="B21" s="1301" t="s">
        <v>888</v>
      </c>
      <c r="C21" s="1289" t="s">
        <v>853</v>
      </c>
      <c r="D21" s="1289" t="s">
        <v>28</v>
      </c>
      <c r="E21" s="1290">
        <v>20</v>
      </c>
      <c r="F21" s="1291" t="s">
        <v>889</v>
      </c>
      <c r="G21" s="1295" t="s">
        <v>890</v>
      </c>
      <c r="H21" s="1216" t="s">
        <v>854</v>
      </c>
      <c r="I21" s="1216" t="s">
        <v>28</v>
      </c>
      <c r="J21" s="1296" t="s">
        <v>891</v>
      </c>
    </row>
    <row r="22" spans="1:10" x14ac:dyDescent="0.25">
      <c r="A22" s="1300" t="s">
        <v>892</v>
      </c>
      <c r="B22" s="1298" t="s">
        <v>852</v>
      </c>
      <c r="C22" s="1289" t="s">
        <v>853</v>
      </c>
      <c r="D22" s="1289" t="s">
        <v>28</v>
      </c>
      <c r="E22" s="1290">
        <v>21</v>
      </c>
      <c r="F22" s="1291" t="s">
        <v>893</v>
      </c>
      <c r="G22" s="1295" t="s">
        <v>864</v>
      </c>
      <c r="H22" s="1216" t="s">
        <v>854</v>
      </c>
      <c r="I22" s="1216" t="s">
        <v>28</v>
      </c>
      <c r="J22" s="1296" t="s">
        <v>872</v>
      </c>
    </row>
    <row r="23" spans="1:10" x14ac:dyDescent="0.25">
      <c r="A23" s="1309" t="s">
        <v>894</v>
      </c>
      <c r="B23" s="1310" t="s">
        <v>852</v>
      </c>
      <c r="C23" s="1289" t="s">
        <v>853</v>
      </c>
      <c r="D23" s="1289" t="s">
        <v>28</v>
      </c>
      <c r="E23" s="1290">
        <v>22</v>
      </c>
      <c r="F23" s="1291" t="s">
        <v>895</v>
      </c>
      <c r="G23" s="1295" t="s">
        <v>896</v>
      </c>
      <c r="H23" s="1216" t="s">
        <v>854</v>
      </c>
      <c r="I23" s="1216" t="s">
        <v>28</v>
      </c>
      <c r="J23" s="1296" t="s">
        <v>897</v>
      </c>
    </row>
    <row r="24" spans="1:10" x14ac:dyDescent="0.25">
      <c r="A24" s="1311" t="s">
        <v>898</v>
      </c>
      <c r="B24" s="1312" t="s">
        <v>888</v>
      </c>
      <c r="C24" s="1308" t="s">
        <v>853</v>
      </c>
      <c r="D24" s="1289" t="s">
        <v>28</v>
      </c>
      <c r="E24" s="1290">
        <v>23</v>
      </c>
      <c r="F24" s="1313">
        <v>3.4</v>
      </c>
      <c r="G24" s="1302" t="s">
        <v>899</v>
      </c>
      <c r="H24" s="1216" t="s">
        <v>854</v>
      </c>
      <c r="I24" s="1216" t="s">
        <v>28</v>
      </c>
      <c r="J24" s="1296" t="s">
        <v>891</v>
      </c>
    </row>
    <row r="25" spans="1:10" x14ac:dyDescent="0.25">
      <c r="A25" s="1311" t="s">
        <v>900</v>
      </c>
      <c r="B25" s="1314" t="s">
        <v>901</v>
      </c>
      <c r="C25" s="1308" t="s">
        <v>853</v>
      </c>
      <c r="D25" s="1289" t="s">
        <v>28</v>
      </c>
      <c r="E25" s="1290">
        <v>24</v>
      </c>
      <c r="F25" s="1303">
        <v>3.5</v>
      </c>
      <c r="G25" s="1295" t="s">
        <v>902</v>
      </c>
      <c r="H25" s="1216" t="s">
        <v>854</v>
      </c>
      <c r="I25" s="1216" t="s">
        <v>28</v>
      </c>
      <c r="J25" s="1296" t="s">
        <v>903</v>
      </c>
    </row>
    <row r="26" spans="1:10" x14ac:dyDescent="0.25">
      <c r="A26" s="1315" t="s">
        <v>904</v>
      </c>
      <c r="B26" s="1316" t="s">
        <v>852</v>
      </c>
      <c r="C26" s="1308" t="s">
        <v>853</v>
      </c>
      <c r="D26" s="1289" t="s">
        <v>28</v>
      </c>
      <c r="E26" s="1290">
        <v>25</v>
      </c>
      <c r="F26" s="1303">
        <v>3.6</v>
      </c>
      <c r="G26" s="1295" t="s">
        <v>852</v>
      </c>
      <c r="H26" s="1216" t="s">
        <v>854</v>
      </c>
      <c r="I26" s="1216" t="s">
        <v>28</v>
      </c>
      <c r="J26" s="1296" t="s">
        <v>855</v>
      </c>
    </row>
    <row r="27" spans="1:10" x14ac:dyDescent="0.25">
      <c r="A27" s="1317" t="s">
        <v>905</v>
      </c>
      <c r="B27" s="1318" t="s">
        <v>548</v>
      </c>
      <c r="C27" s="1289" t="s">
        <v>853</v>
      </c>
      <c r="D27" s="1289" t="s">
        <v>28</v>
      </c>
      <c r="E27" s="1290">
        <v>26</v>
      </c>
      <c r="F27" s="1291" t="s">
        <v>750</v>
      </c>
      <c r="G27" s="1295" t="s">
        <v>852</v>
      </c>
      <c r="H27" s="1216" t="s">
        <v>854</v>
      </c>
      <c r="I27" s="1216" t="s">
        <v>28</v>
      </c>
      <c r="J27" s="1296" t="s">
        <v>855</v>
      </c>
    </row>
    <row r="28" spans="1:10" x14ac:dyDescent="0.25">
      <c r="A28" s="1319" t="s">
        <v>906</v>
      </c>
      <c r="B28" s="1318" t="s">
        <v>907</v>
      </c>
      <c r="C28" s="1289" t="s">
        <v>853</v>
      </c>
      <c r="D28" s="1289" t="s">
        <v>28</v>
      </c>
      <c r="E28" s="1290">
        <v>27</v>
      </c>
      <c r="F28" s="1291" t="s">
        <v>752</v>
      </c>
      <c r="G28" s="1295" t="s">
        <v>908</v>
      </c>
      <c r="H28" s="1216" t="s">
        <v>854</v>
      </c>
      <c r="I28" s="1216" t="s">
        <v>28</v>
      </c>
      <c r="J28" s="1296" t="s">
        <v>909</v>
      </c>
    </row>
    <row r="29" spans="1:10" x14ac:dyDescent="0.25">
      <c r="A29" s="1317" t="s">
        <v>910</v>
      </c>
      <c r="B29" s="1318" t="s">
        <v>548</v>
      </c>
      <c r="C29" s="1308" t="s">
        <v>853</v>
      </c>
      <c r="D29" s="1289" t="s">
        <v>28</v>
      </c>
      <c r="E29" s="1290">
        <v>28</v>
      </c>
      <c r="F29" s="1303">
        <v>4.2</v>
      </c>
      <c r="G29" s="1295" t="s">
        <v>861</v>
      </c>
      <c r="H29" s="1216" t="s">
        <v>854</v>
      </c>
      <c r="I29" s="1216" t="s">
        <v>28</v>
      </c>
      <c r="J29" s="1296" t="s">
        <v>881</v>
      </c>
    </row>
    <row r="30" spans="1:10" x14ac:dyDescent="0.25">
      <c r="A30" s="1319" t="s">
        <v>911</v>
      </c>
      <c r="B30" s="1318" t="s">
        <v>852</v>
      </c>
      <c r="C30" s="1308" t="s">
        <v>853</v>
      </c>
      <c r="D30" s="1289" t="s">
        <v>28</v>
      </c>
      <c r="E30" s="1290">
        <v>29</v>
      </c>
      <c r="F30" s="1303">
        <v>4.3</v>
      </c>
      <c r="G30" s="1295" t="s">
        <v>912</v>
      </c>
      <c r="H30" s="1216" t="s">
        <v>854</v>
      </c>
      <c r="I30" s="1216" t="s">
        <v>28</v>
      </c>
      <c r="J30" s="1296" t="s">
        <v>913</v>
      </c>
    </row>
    <row r="31" spans="1:10" x14ac:dyDescent="0.25">
      <c r="A31" s="1319" t="s">
        <v>914</v>
      </c>
      <c r="B31" s="1320" t="s">
        <v>915</v>
      </c>
      <c r="C31" s="1308" t="s">
        <v>853</v>
      </c>
      <c r="D31" s="1289" t="s">
        <v>28</v>
      </c>
      <c r="E31" s="1290">
        <v>30</v>
      </c>
      <c r="F31" s="1303">
        <v>4.4000000000000004</v>
      </c>
      <c r="G31" s="1295" t="s">
        <v>916</v>
      </c>
      <c r="H31" s="1216" t="s">
        <v>854</v>
      </c>
      <c r="I31" s="1216" t="s">
        <v>28</v>
      </c>
      <c r="J31" s="1296" t="s">
        <v>917</v>
      </c>
    </row>
    <row r="32" spans="1:10" x14ac:dyDescent="0.25">
      <c r="A32" s="1319" t="s">
        <v>918</v>
      </c>
      <c r="B32" s="1318" t="s">
        <v>868</v>
      </c>
      <c r="C32" s="1289" t="s">
        <v>853</v>
      </c>
      <c r="D32" s="1289" t="s">
        <v>28</v>
      </c>
      <c r="E32" s="1290">
        <v>31</v>
      </c>
      <c r="F32" s="1291" t="s">
        <v>759</v>
      </c>
      <c r="G32" s="1295" t="s">
        <v>852</v>
      </c>
      <c r="H32" s="1216" t="s">
        <v>854</v>
      </c>
      <c r="I32" s="1216" t="s">
        <v>28</v>
      </c>
      <c r="J32" s="1296" t="s">
        <v>855</v>
      </c>
    </row>
    <row r="33" spans="1:10" x14ac:dyDescent="0.25">
      <c r="A33" s="1319" t="s">
        <v>919</v>
      </c>
      <c r="B33" s="1318" t="s">
        <v>852</v>
      </c>
      <c r="C33" s="1289" t="s">
        <v>853</v>
      </c>
      <c r="D33" s="1289" t="s">
        <v>28</v>
      </c>
      <c r="E33" s="1290">
        <v>32</v>
      </c>
      <c r="F33" s="1291" t="s">
        <v>761</v>
      </c>
      <c r="G33" s="1295" t="s">
        <v>548</v>
      </c>
      <c r="H33" s="1216" t="s">
        <v>854</v>
      </c>
      <c r="I33" s="1216" t="s">
        <v>28</v>
      </c>
      <c r="J33" s="1296" t="s">
        <v>548</v>
      </c>
    </row>
    <row r="34" spans="1:10" x14ac:dyDescent="0.25">
      <c r="A34" s="1319" t="s">
        <v>920</v>
      </c>
      <c r="B34" s="1318" t="s">
        <v>852</v>
      </c>
      <c r="C34" s="1289" t="s">
        <v>853</v>
      </c>
      <c r="D34" s="1289" t="s">
        <v>28</v>
      </c>
      <c r="E34" s="1290">
        <v>33</v>
      </c>
      <c r="F34" s="1291" t="s">
        <v>763</v>
      </c>
      <c r="G34" s="1321" t="s">
        <v>921</v>
      </c>
      <c r="H34" s="1216" t="s">
        <v>854</v>
      </c>
      <c r="I34" s="1216" t="s">
        <v>28</v>
      </c>
      <c r="J34" s="1296" t="s">
        <v>922</v>
      </c>
    </row>
    <row r="35" spans="1:10" x14ac:dyDescent="0.25">
      <c r="A35" s="1317" t="s">
        <v>923</v>
      </c>
      <c r="B35" s="1318" t="s">
        <v>548</v>
      </c>
      <c r="C35" s="1289" t="s">
        <v>853</v>
      </c>
      <c r="D35" s="1289" t="s">
        <v>28</v>
      </c>
      <c r="E35" s="1290">
        <v>34</v>
      </c>
      <c r="F35" s="1291" t="s">
        <v>765</v>
      </c>
      <c r="G35" s="1295" t="s">
        <v>548</v>
      </c>
      <c r="H35" s="1216" t="s">
        <v>854</v>
      </c>
      <c r="I35" s="1216" t="s">
        <v>28</v>
      </c>
      <c r="J35" s="1296" t="s">
        <v>548</v>
      </c>
    </row>
    <row r="36" spans="1:10" x14ac:dyDescent="0.25">
      <c r="A36" s="1319" t="s">
        <v>924</v>
      </c>
      <c r="B36" s="1318" t="s">
        <v>925</v>
      </c>
      <c r="C36" s="1308" t="s">
        <v>853</v>
      </c>
      <c r="D36" s="1289" t="s">
        <v>28</v>
      </c>
      <c r="E36" s="1290">
        <v>35</v>
      </c>
      <c r="F36" s="1303">
        <v>5.3</v>
      </c>
      <c r="G36" s="1295" t="s">
        <v>926</v>
      </c>
      <c r="H36" s="1216" t="s">
        <v>854</v>
      </c>
      <c r="I36" s="1216" t="s">
        <v>28</v>
      </c>
      <c r="J36" s="1296" t="s">
        <v>927</v>
      </c>
    </row>
    <row r="37" spans="1:10" x14ac:dyDescent="0.25">
      <c r="A37" s="1319" t="s">
        <v>928</v>
      </c>
      <c r="B37" s="1318" t="s">
        <v>929</v>
      </c>
      <c r="C37" s="1308" t="s">
        <v>853</v>
      </c>
      <c r="D37" s="1289" t="s">
        <v>28</v>
      </c>
      <c r="E37" s="1290">
        <v>36</v>
      </c>
      <c r="F37" s="1303">
        <v>5.4</v>
      </c>
      <c r="G37" s="1302" t="s">
        <v>930</v>
      </c>
      <c r="H37" s="1216" t="s">
        <v>854</v>
      </c>
      <c r="I37" s="1216" t="s">
        <v>28</v>
      </c>
      <c r="J37" s="1296" t="s">
        <v>891</v>
      </c>
    </row>
    <row r="38" spans="1:10" x14ac:dyDescent="0.25">
      <c r="A38" s="1319" t="s">
        <v>931</v>
      </c>
      <c r="B38" s="1318" t="s">
        <v>932</v>
      </c>
      <c r="C38" s="1308" t="s">
        <v>853</v>
      </c>
      <c r="D38" s="1289" t="s">
        <v>28</v>
      </c>
      <c r="E38" s="1290">
        <v>37</v>
      </c>
      <c r="F38" s="1303">
        <v>5.5</v>
      </c>
      <c r="G38" s="1295" t="s">
        <v>868</v>
      </c>
      <c r="H38" s="1216" t="s">
        <v>854</v>
      </c>
      <c r="I38" s="1216" t="s">
        <v>28</v>
      </c>
      <c r="J38" s="1296" t="s">
        <v>883</v>
      </c>
    </row>
    <row r="39" spans="1:10" x14ac:dyDescent="0.25">
      <c r="A39" s="1319" t="s">
        <v>933</v>
      </c>
      <c r="B39" s="1318" t="s">
        <v>852</v>
      </c>
      <c r="C39" s="1308" t="s">
        <v>853</v>
      </c>
      <c r="D39" s="1289" t="s">
        <v>28</v>
      </c>
      <c r="E39" s="1290">
        <v>38</v>
      </c>
      <c r="F39" s="1303">
        <v>5.6</v>
      </c>
      <c r="G39" s="1295" t="s">
        <v>852</v>
      </c>
      <c r="H39" s="1216" t="s">
        <v>854</v>
      </c>
      <c r="I39" s="1216" t="s">
        <v>28</v>
      </c>
      <c r="J39" s="1296" t="s">
        <v>855</v>
      </c>
    </row>
    <row r="40" spans="1:10" x14ac:dyDescent="0.25">
      <c r="A40" s="1319" t="s">
        <v>782</v>
      </c>
      <c r="B40" s="1318" t="s">
        <v>934</v>
      </c>
      <c r="C40" s="1289" t="s">
        <v>853</v>
      </c>
      <c r="D40" s="1289" t="s">
        <v>28</v>
      </c>
      <c r="E40" s="1290">
        <v>39</v>
      </c>
      <c r="F40" s="1291" t="s">
        <v>771</v>
      </c>
      <c r="G40" s="1295" t="s">
        <v>852</v>
      </c>
      <c r="H40" s="1216" t="s">
        <v>854</v>
      </c>
      <c r="I40" s="1216" t="s">
        <v>28</v>
      </c>
      <c r="J40" s="1296" t="s">
        <v>855</v>
      </c>
    </row>
    <row r="41" spans="1:10" x14ac:dyDescent="0.25">
      <c r="A41" s="1319">
        <v>5.1100000000000003</v>
      </c>
      <c r="B41" s="1318" t="s">
        <v>548</v>
      </c>
      <c r="C41" s="1289" t="s">
        <v>853</v>
      </c>
      <c r="D41" s="1289" t="s">
        <v>28</v>
      </c>
      <c r="E41" s="1290">
        <v>40</v>
      </c>
      <c r="F41" s="1291" t="s">
        <v>773</v>
      </c>
      <c r="G41" s="1295" t="s">
        <v>548</v>
      </c>
      <c r="H41" s="1216" t="s">
        <v>854</v>
      </c>
      <c r="I41" s="1216" t="s">
        <v>28</v>
      </c>
      <c r="J41" s="1296" t="s">
        <v>548</v>
      </c>
    </row>
    <row r="42" spans="1:10" x14ac:dyDescent="0.25">
      <c r="A42" s="1319">
        <v>5.12</v>
      </c>
      <c r="B42" s="1318" t="s">
        <v>548</v>
      </c>
      <c r="C42" s="1289" t="s">
        <v>853</v>
      </c>
      <c r="D42" s="1289" t="s">
        <v>28</v>
      </c>
      <c r="E42" s="1290">
        <v>41</v>
      </c>
      <c r="F42" s="1291" t="s">
        <v>775</v>
      </c>
      <c r="G42" s="1295" t="s">
        <v>548</v>
      </c>
      <c r="H42" s="1216" t="s">
        <v>854</v>
      </c>
      <c r="I42" s="1216" t="s">
        <v>28</v>
      </c>
      <c r="J42" s="1296" t="s">
        <v>548</v>
      </c>
    </row>
    <row r="43" spans="1:10" x14ac:dyDescent="0.25">
      <c r="A43" s="1322">
        <v>5.13</v>
      </c>
      <c r="B43" s="1323" t="s">
        <v>548</v>
      </c>
      <c r="C43" s="1289" t="s">
        <v>853</v>
      </c>
      <c r="D43" s="1289" t="s">
        <v>28</v>
      </c>
      <c r="E43" s="1290">
        <v>42</v>
      </c>
      <c r="F43" s="1291" t="s">
        <v>777</v>
      </c>
      <c r="G43" s="1295" t="s">
        <v>929</v>
      </c>
      <c r="H43" s="1216" t="s">
        <v>854</v>
      </c>
      <c r="I43" s="1216" t="s">
        <v>28</v>
      </c>
      <c r="J43" s="1296" t="s">
        <v>935</v>
      </c>
    </row>
    <row r="44" spans="1:10" x14ac:dyDescent="0.25">
      <c r="A44" s="1315" t="s">
        <v>936</v>
      </c>
      <c r="B44" s="1316" t="s">
        <v>852</v>
      </c>
      <c r="C44" s="1289" t="s">
        <v>853</v>
      </c>
      <c r="D44" s="1289" t="s">
        <v>28</v>
      </c>
      <c r="E44" s="1290">
        <v>43</v>
      </c>
      <c r="F44" s="1291" t="s">
        <v>779</v>
      </c>
      <c r="G44" s="1295" t="s">
        <v>548</v>
      </c>
      <c r="H44" s="1216" t="s">
        <v>854</v>
      </c>
      <c r="I44" s="1216" t="s">
        <v>28</v>
      </c>
      <c r="J44" s="1296" t="s">
        <v>548</v>
      </c>
    </row>
    <row r="45" spans="1:10" x14ac:dyDescent="0.25">
      <c r="A45" s="1319" t="s">
        <v>937</v>
      </c>
      <c r="B45" s="1318" t="s">
        <v>852</v>
      </c>
      <c r="C45" s="1308" t="s">
        <v>853</v>
      </c>
      <c r="D45" s="1289" t="s">
        <v>28</v>
      </c>
      <c r="E45" s="1290">
        <v>44</v>
      </c>
      <c r="F45" s="1303">
        <v>5.9</v>
      </c>
      <c r="G45" s="1295" t="s">
        <v>852</v>
      </c>
      <c r="H45" s="1216" t="s">
        <v>854</v>
      </c>
      <c r="I45" s="1216" t="s">
        <v>28</v>
      </c>
      <c r="J45" s="1296" t="s">
        <v>855</v>
      </c>
    </row>
    <row r="46" spans="1:10" x14ac:dyDescent="0.25">
      <c r="A46" s="1319" t="s">
        <v>938</v>
      </c>
      <c r="B46" s="1318" t="s">
        <v>884</v>
      </c>
      <c r="C46" s="1308" t="s">
        <v>853</v>
      </c>
      <c r="D46" s="1289" t="s">
        <v>28</v>
      </c>
      <c r="E46" s="1290">
        <v>45</v>
      </c>
      <c r="F46" s="1307" t="s">
        <v>782</v>
      </c>
      <c r="G46" s="1295" t="s">
        <v>548</v>
      </c>
      <c r="H46" s="1216" t="s">
        <v>854</v>
      </c>
      <c r="I46" s="1216" t="s">
        <v>28</v>
      </c>
      <c r="J46" s="1296" t="s">
        <v>548</v>
      </c>
    </row>
    <row r="47" spans="1:10" x14ac:dyDescent="0.25">
      <c r="A47" s="1319" t="s">
        <v>939</v>
      </c>
      <c r="B47" s="1318" t="s">
        <v>940</v>
      </c>
      <c r="C47" s="1308" t="s">
        <v>853</v>
      </c>
      <c r="D47" s="1289" t="s">
        <v>28</v>
      </c>
      <c r="E47" s="1290">
        <v>46</v>
      </c>
      <c r="F47" s="1303">
        <v>5.1100000000000003</v>
      </c>
      <c r="G47" s="1295" t="s">
        <v>548</v>
      </c>
      <c r="H47" s="1216" t="s">
        <v>854</v>
      </c>
      <c r="I47" s="1216" t="s">
        <v>28</v>
      </c>
      <c r="J47" s="1296" t="s">
        <v>548</v>
      </c>
    </row>
    <row r="48" spans="1:10" x14ac:dyDescent="0.25">
      <c r="A48" s="1319" t="s">
        <v>941</v>
      </c>
      <c r="B48" s="1318" t="s">
        <v>884</v>
      </c>
      <c r="C48" s="1308" t="s">
        <v>853</v>
      </c>
      <c r="D48" s="1289" t="s">
        <v>28</v>
      </c>
      <c r="E48" s="1290">
        <v>47</v>
      </c>
      <c r="F48" s="1303">
        <v>5.12</v>
      </c>
      <c r="G48" s="1295" t="s">
        <v>548</v>
      </c>
      <c r="H48" s="1216" t="s">
        <v>854</v>
      </c>
      <c r="I48" s="1216" t="s">
        <v>28</v>
      </c>
      <c r="J48" s="1296" t="s">
        <v>548</v>
      </c>
    </row>
    <row r="49" spans="1:10" x14ac:dyDescent="0.25">
      <c r="A49" s="1319" t="s">
        <v>942</v>
      </c>
      <c r="B49" s="1318" t="s">
        <v>884</v>
      </c>
      <c r="C49" s="1308" t="s">
        <v>853</v>
      </c>
      <c r="D49" s="1289" t="s">
        <v>28</v>
      </c>
      <c r="E49" s="1290">
        <v>48</v>
      </c>
      <c r="F49" s="1303">
        <v>5.13</v>
      </c>
      <c r="G49" s="1295" t="s">
        <v>548</v>
      </c>
      <c r="H49" s="1216" t="s">
        <v>854</v>
      </c>
      <c r="I49" s="1216" t="s">
        <v>28</v>
      </c>
      <c r="J49" s="1296" t="s">
        <v>548</v>
      </c>
    </row>
    <row r="50" spans="1:10" x14ac:dyDescent="0.25">
      <c r="A50" s="1319" t="s">
        <v>943</v>
      </c>
      <c r="B50" s="1318" t="s">
        <v>864</v>
      </c>
      <c r="C50" s="1308" t="s">
        <v>853</v>
      </c>
      <c r="D50" s="1289" t="s">
        <v>28</v>
      </c>
      <c r="E50" s="1290">
        <v>49</v>
      </c>
      <c r="F50" s="1303">
        <v>6.1</v>
      </c>
      <c r="G50" s="1295" t="s">
        <v>852</v>
      </c>
      <c r="H50" s="1216" t="s">
        <v>854</v>
      </c>
      <c r="I50" s="1216" t="s">
        <v>28</v>
      </c>
      <c r="J50" s="1296" t="s">
        <v>855</v>
      </c>
    </row>
    <row r="51" spans="1:10" x14ac:dyDescent="0.25">
      <c r="A51" s="1319" t="s">
        <v>944</v>
      </c>
      <c r="B51" s="1318" t="s">
        <v>864</v>
      </c>
      <c r="C51" s="1308" t="s">
        <v>853</v>
      </c>
      <c r="D51" s="1289" t="s">
        <v>28</v>
      </c>
      <c r="E51" s="1290">
        <v>50</v>
      </c>
      <c r="F51" s="1303">
        <v>6.2</v>
      </c>
      <c r="G51" s="1295" t="s">
        <v>852</v>
      </c>
      <c r="H51" s="1216" t="s">
        <v>854</v>
      </c>
      <c r="I51" s="1216" t="s">
        <v>28</v>
      </c>
      <c r="J51" s="1296" t="s">
        <v>855</v>
      </c>
    </row>
    <row r="52" spans="1:10" x14ac:dyDescent="0.25">
      <c r="A52" s="1322" t="s">
        <v>945</v>
      </c>
      <c r="B52" s="1323" t="s">
        <v>946</v>
      </c>
      <c r="C52" s="1308" t="s">
        <v>853</v>
      </c>
      <c r="D52" s="1289" t="s">
        <v>28</v>
      </c>
      <c r="E52" s="1290">
        <v>51</v>
      </c>
      <c r="F52" s="1303">
        <v>6.3</v>
      </c>
      <c r="G52" s="1295" t="s">
        <v>896</v>
      </c>
      <c r="H52" s="1216" t="s">
        <v>854</v>
      </c>
      <c r="I52" s="1216" t="s">
        <v>28</v>
      </c>
      <c r="J52" s="1324" t="s">
        <v>897</v>
      </c>
    </row>
    <row r="53" spans="1:10" x14ac:dyDescent="0.25">
      <c r="A53" s="1315" t="s">
        <v>947</v>
      </c>
      <c r="B53" s="1316" t="s">
        <v>852</v>
      </c>
      <c r="C53" s="1308" t="s">
        <v>853</v>
      </c>
      <c r="D53" s="1289" t="s">
        <v>28</v>
      </c>
      <c r="E53" s="1290">
        <v>52</v>
      </c>
      <c r="F53" s="1303">
        <v>6.4</v>
      </c>
      <c r="G53" s="1302" t="s">
        <v>948</v>
      </c>
      <c r="H53" s="1216" t="s">
        <v>854</v>
      </c>
      <c r="I53" s="1216" t="s">
        <v>28</v>
      </c>
      <c r="J53" s="1296" t="s">
        <v>949</v>
      </c>
    </row>
    <row r="54" spans="1:10" x14ac:dyDescent="0.25">
      <c r="A54" s="1319" t="s">
        <v>950</v>
      </c>
      <c r="B54" s="1320" t="s">
        <v>951</v>
      </c>
      <c r="C54" s="1289" t="s">
        <v>853</v>
      </c>
      <c r="D54" s="1289" t="s">
        <v>28</v>
      </c>
      <c r="E54" s="1290">
        <v>53</v>
      </c>
      <c r="F54" s="1291" t="s">
        <v>792</v>
      </c>
      <c r="G54" s="1295" t="s">
        <v>861</v>
      </c>
      <c r="H54" s="1216" t="s">
        <v>854</v>
      </c>
      <c r="I54" s="1216" t="s">
        <v>28</v>
      </c>
      <c r="J54" s="1296" t="s">
        <v>881</v>
      </c>
    </row>
    <row r="55" spans="1:10" x14ac:dyDescent="0.25">
      <c r="A55" s="1319" t="s">
        <v>952</v>
      </c>
      <c r="B55" s="1318" t="s">
        <v>953</v>
      </c>
      <c r="C55" s="1289" t="s">
        <v>853</v>
      </c>
      <c r="D55" s="1289" t="s">
        <v>28</v>
      </c>
      <c r="E55" s="1290">
        <v>54</v>
      </c>
      <c r="F55" s="1291" t="s">
        <v>794</v>
      </c>
      <c r="G55" s="1295" t="s">
        <v>954</v>
      </c>
      <c r="H55" s="1216" t="s">
        <v>854</v>
      </c>
      <c r="I55" s="1216" t="s">
        <v>28</v>
      </c>
      <c r="J55" s="1296" t="s">
        <v>881</v>
      </c>
    </row>
    <row r="56" spans="1:10" x14ac:dyDescent="0.25">
      <c r="A56" s="1319" t="s">
        <v>955</v>
      </c>
      <c r="B56" s="1318" t="s">
        <v>852</v>
      </c>
      <c r="C56" s="1308" t="s">
        <v>853</v>
      </c>
      <c r="D56" s="1289" t="s">
        <v>28</v>
      </c>
      <c r="E56" s="1290">
        <v>55</v>
      </c>
      <c r="F56" s="1303">
        <v>6.6</v>
      </c>
      <c r="G56" s="1295" t="s">
        <v>859</v>
      </c>
      <c r="H56" s="1216" t="s">
        <v>854</v>
      </c>
      <c r="I56" s="1216" t="s">
        <v>28</v>
      </c>
      <c r="J56" s="1324" t="s">
        <v>860</v>
      </c>
    </row>
    <row r="57" spans="1:10" x14ac:dyDescent="0.25">
      <c r="A57" s="1317" t="s">
        <v>956</v>
      </c>
      <c r="B57" s="1318" t="s">
        <v>548</v>
      </c>
      <c r="C57" s="1308" t="s">
        <v>853</v>
      </c>
      <c r="D57" s="1289" t="s">
        <v>28</v>
      </c>
      <c r="E57" s="1290">
        <v>56</v>
      </c>
      <c r="F57" s="1303">
        <v>7.1</v>
      </c>
      <c r="G57" s="1295" t="s">
        <v>852</v>
      </c>
      <c r="H57" s="1216" t="s">
        <v>854</v>
      </c>
      <c r="I57" s="1216" t="s">
        <v>28</v>
      </c>
      <c r="J57" s="1296" t="s">
        <v>855</v>
      </c>
    </row>
    <row r="58" spans="1:10" x14ac:dyDescent="0.25">
      <c r="A58" s="1319" t="s">
        <v>957</v>
      </c>
      <c r="B58" s="1318" t="s">
        <v>852</v>
      </c>
      <c r="C58" s="1289" t="s">
        <v>853</v>
      </c>
      <c r="D58" s="1289" t="s">
        <v>28</v>
      </c>
      <c r="E58" s="1290">
        <v>57</v>
      </c>
      <c r="F58" s="1291" t="s">
        <v>800</v>
      </c>
      <c r="G58" s="1295" t="s">
        <v>958</v>
      </c>
      <c r="H58" s="1216" t="s">
        <v>854</v>
      </c>
      <c r="I58" s="1216" t="s">
        <v>28</v>
      </c>
      <c r="J58" s="1296" t="s">
        <v>891</v>
      </c>
    </row>
    <row r="59" spans="1:10" x14ac:dyDescent="0.25">
      <c r="A59" s="1317" t="s">
        <v>959</v>
      </c>
      <c r="B59" s="1318" t="s">
        <v>548</v>
      </c>
      <c r="C59" s="1289" t="s">
        <v>853</v>
      </c>
      <c r="D59" s="1289" t="s">
        <v>28</v>
      </c>
      <c r="E59" s="1290">
        <v>58</v>
      </c>
      <c r="F59" s="1291" t="s">
        <v>802</v>
      </c>
      <c r="G59" s="1295" t="s">
        <v>960</v>
      </c>
      <c r="H59" s="1216" t="s">
        <v>854</v>
      </c>
      <c r="I59" s="1216" t="s">
        <v>28</v>
      </c>
      <c r="J59" s="1296" t="s">
        <v>961</v>
      </c>
    </row>
    <row r="60" spans="1:10" x14ac:dyDescent="0.25">
      <c r="A60" s="1319">
        <v>7.5</v>
      </c>
      <c r="B60" s="1318" t="s">
        <v>852</v>
      </c>
      <c r="C60" s="1289" t="s">
        <v>853</v>
      </c>
      <c r="D60" s="1289" t="s">
        <v>28</v>
      </c>
      <c r="E60" s="1290">
        <v>59</v>
      </c>
      <c r="F60" s="1291" t="s">
        <v>803</v>
      </c>
      <c r="G60" s="1295" t="s">
        <v>852</v>
      </c>
      <c r="H60" s="1216" t="s">
        <v>854</v>
      </c>
      <c r="I60" s="1216" t="s">
        <v>28</v>
      </c>
      <c r="J60" s="1296" t="s">
        <v>855</v>
      </c>
    </row>
    <row r="61" spans="1:10" x14ac:dyDescent="0.25">
      <c r="A61" s="1319">
        <v>7.6</v>
      </c>
      <c r="B61" s="1318" t="s">
        <v>852</v>
      </c>
      <c r="C61" s="1289" t="s">
        <v>853</v>
      </c>
      <c r="D61" s="1289" t="s">
        <v>28</v>
      </c>
      <c r="E61" s="1290">
        <v>60</v>
      </c>
      <c r="F61" s="1291" t="s">
        <v>805</v>
      </c>
      <c r="G61" s="1295" t="s">
        <v>548</v>
      </c>
      <c r="H61" s="1216" t="s">
        <v>854</v>
      </c>
      <c r="I61" s="1216" t="s">
        <v>28</v>
      </c>
      <c r="J61" s="1296" t="s">
        <v>548</v>
      </c>
    </row>
    <row r="62" spans="1:10" x14ac:dyDescent="0.25">
      <c r="A62" s="1319">
        <v>7.7</v>
      </c>
      <c r="B62" s="1318" t="s">
        <v>852</v>
      </c>
      <c r="C62" s="1289" t="s">
        <v>853</v>
      </c>
      <c r="D62" s="1289" t="s">
        <v>28</v>
      </c>
      <c r="E62" s="1290">
        <v>61</v>
      </c>
      <c r="F62" s="1291" t="s">
        <v>806</v>
      </c>
      <c r="G62" s="1295" t="s">
        <v>852</v>
      </c>
      <c r="H62" s="1216" t="s">
        <v>854</v>
      </c>
      <c r="I62" s="1216" t="s">
        <v>28</v>
      </c>
      <c r="J62" s="1296" t="s">
        <v>855</v>
      </c>
    </row>
    <row r="63" spans="1:10" x14ac:dyDescent="0.25">
      <c r="A63" s="1319">
        <v>7.8</v>
      </c>
      <c r="B63" s="1318" t="s">
        <v>852</v>
      </c>
      <c r="C63" s="1289" t="s">
        <v>853</v>
      </c>
      <c r="D63" s="1289" t="s">
        <v>28</v>
      </c>
      <c r="E63" s="1290">
        <v>62</v>
      </c>
      <c r="F63" s="1291" t="s">
        <v>808</v>
      </c>
      <c r="G63" s="1295" t="s">
        <v>548</v>
      </c>
      <c r="H63" s="1216" t="s">
        <v>854</v>
      </c>
      <c r="I63" s="1216" t="s">
        <v>28</v>
      </c>
      <c r="J63" s="1296" t="s">
        <v>548</v>
      </c>
    </row>
    <row r="64" spans="1:10" x14ac:dyDescent="0.25">
      <c r="A64" s="1325" t="s">
        <v>962</v>
      </c>
      <c r="B64" s="1318" t="s">
        <v>852</v>
      </c>
      <c r="C64" s="1289" t="s">
        <v>853</v>
      </c>
      <c r="D64" s="1289" t="s">
        <v>28</v>
      </c>
      <c r="E64" s="1290">
        <v>63</v>
      </c>
      <c r="F64" s="1303">
        <v>7.5</v>
      </c>
      <c r="G64" s="1295" t="s">
        <v>852</v>
      </c>
      <c r="H64" s="1216" t="s">
        <v>854</v>
      </c>
      <c r="I64" s="1216" t="s">
        <v>28</v>
      </c>
      <c r="J64" s="1296" t="s">
        <v>855</v>
      </c>
    </row>
    <row r="65" spans="1:10" x14ac:dyDescent="0.25">
      <c r="A65" s="1319" t="s">
        <v>963</v>
      </c>
      <c r="B65" s="1318" t="s">
        <v>852</v>
      </c>
      <c r="C65" s="1289" t="s">
        <v>853</v>
      </c>
      <c r="D65" s="1289" t="s">
        <v>28</v>
      </c>
      <c r="E65" s="1290">
        <v>64</v>
      </c>
      <c r="F65" s="1303">
        <v>7.6</v>
      </c>
      <c r="G65" s="1295" t="s">
        <v>852</v>
      </c>
      <c r="H65" s="1216" t="s">
        <v>854</v>
      </c>
      <c r="I65" s="1216" t="s">
        <v>28</v>
      </c>
      <c r="J65" s="1296" t="s">
        <v>855</v>
      </c>
    </row>
    <row r="66" spans="1:10" x14ac:dyDescent="0.25">
      <c r="A66" s="1319" t="s">
        <v>964</v>
      </c>
      <c r="B66" s="1318" t="s">
        <v>852</v>
      </c>
      <c r="C66" s="1289" t="s">
        <v>853</v>
      </c>
      <c r="D66" s="1289" t="s">
        <v>28</v>
      </c>
      <c r="E66" s="1290">
        <v>65</v>
      </c>
      <c r="F66" s="1303">
        <v>7.7</v>
      </c>
      <c r="G66" s="1295" t="s">
        <v>852</v>
      </c>
      <c r="H66" s="1216" t="s">
        <v>854</v>
      </c>
      <c r="I66" s="1216" t="s">
        <v>28</v>
      </c>
      <c r="J66" s="1296" t="s">
        <v>855</v>
      </c>
    </row>
    <row r="67" spans="1:10" x14ac:dyDescent="0.25">
      <c r="A67" s="1319" t="s">
        <v>814</v>
      </c>
      <c r="B67" s="1318" t="s">
        <v>852</v>
      </c>
      <c r="C67" s="1289" t="s">
        <v>853</v>
      </c>
      <c r="D67" s="1289" t="s">
        <v>28</v>
      </c>
      <c r="E67" s="1290">
        <v>66</v>
      </c>
      <c r="F67" s="1303">
        <v>7.8</v>
      </c>
      <c r="G67" s="1295" t="s">
        <v>852</v>
      </c>
      <c r="H67" s="1216" t="s">
        <v>854</v>
      </c>
      <c r="I67" s="1216" t="s">
        <v>28</v>
      </c>
      <c r="J67" s="1296" t="s">
        <v>855</v>
      </c>
    </row>
    <row r="68" spans="1:10" x14ac:dyDescent="0.25">
      <c r="A68" s="1319">
        <v>7.11</v>
      </c>
      <c r="B68" s="1318" t="s">
        <v>852</v>
      </c>
      <c r="C68" s="1289" t="s">
        <v>853</v>
      </c>
      <c r="D68" s="1289" t="s">
        <v>28</v>
      </c>
      <c r="E68" s="1290">
        <v>67</v>
      </c>
      <c r="F68" s="1303">
        <v>7.9</v>
      </c>
      <c r="G68" s="1295" t="s">
        <v>852</v>
      </c>
      <c r="H68" s="1216" t="s">
        <v>854</v>
      </c>
      <c r="I68" s="1216" t="s">
        <v>28</v>
      </c>
      <c r="J68" s="1296" t="s">
        <v>855</v>
      </c>
    </row>
    <row r="69" spans="1:10" x14ac:dyDescent="0.25">
      <c r="A69" s="1319">
        <v>7.12</v>
      </c>
      <c r="B69" s="1318" t="s">
        <v>852</v>
      </c>
      <c r="C69" s="1308" t="s">
        <v>853</v>
      </c>
      <c r="D69" s="1289" t="s">
        <v>28</v>
      </c>
      <c r="E69" s="1290">
        <v>68</v>
      </c>
      <c r="F69" s="1307" t="s">
        <v>814</v>
      </c>
      <c r="G69" s="1295" t="s">
        <v>852</v>
      </c>
      <c r="H69" s="1216" t="s">
        <v>854</v>
      </c>
      <c r="I69" s="1216" t="s">
        <v>28</v>
      </c>
      <c r="J69" s="1296" t="s">
        <v>855</v>
      </c>
    </row>
    <row r="70" spans="1:10" x14ac:dyDescent="0.25">
      <c r="A70" s="1319">
        <v>7.13</v>
      </c>
      <c r="B70" s="1318" t="s">
        <v>965</v>
      </c>
      <c r="C70" s="1308" t="s">
        <v>853</v>
      </c>
      <c r="D70" s="1289" t="s">
        <v>28</v>
      </c>
      <c r="E70" s="1290">
        <v>69</v>
      </c>
      <c r="F70" s="1303">
        <v>7.11</v>
      </c>
      <c r="G70" s="1295" t="s">
        <v>852</v>
      </c>
      <c r="H70" s="1216" t="s">
        <v>854</v>
      </c>
      <c r="I70" s="1216" t="s">
        <v>28</v>
      </c>
      <c r="J70" s="1296" t="s">
        <v>855</v>
      </c>
    </row>
    <row r="71" spans="1:10" x14ac:dyDescent="0.25">
      <c r="A71" s="1319">
        <v>7.14</v>
      </c>
      <c r="B71" s="1318" t="s">
        <v>852</v>
      </c>
      <c r="C71" s="1308" t="s">
        <v>853</v>
      </c>
      <c r="D71" s="1289" t="s">
        <v>28</v>
      </c>
      <c r="E71" s="1290">
        <v>70</v>
      </c>
      <c r="F71" s="1303">
        <v>7.12</v>
      </c>
      <c r="G71" s="1295" t="s">
        <v>852</v>
      </c>
      <c r="H71" s="1216" t="s">
        <v>854</v>
      </c>
      <c r="I71" s="1216" t="s">
        <v>28</v>
      </c>
      <c r="J71" s="1296" t="s">
        <v>855</v>
      </c>
    </row>
    <row r="72" spans="1:10" x14ac:dyDescent="0.25">
      <c r="A72" s="1319">
        <v>7.15</v>
      </c>
      <c r="B72" s="1318" t="s">
        <v>852</v>
      </c>
      <c r="C72" s="1289" t="s">
        <v>853</v>
      </c>
      <c r="D72" s="1289" t="s">
        <v>28</v>
      </c>
      <c r="E72" s="1290">
        <v>71</v>
      </c>
      <c r="F72" s="1291" t="s">
        <v>818</v>
      </c>
      <c r="G72" s="1295" t="s">
        <v>852</v>
      </c>
      <c r="H72" s="1216" t="s">
        <v>854</v>
      </c>
      <c r="I72" s="1216" t="s">
        <v>28</v>
      </c>
      <c r="J72" s="1296" t="s">
        <v>855</v>
      </c>
    </row>
    <row r="73" spans="1:10" x14ac:dyDescent="0.25">
      <c r="A73" s="1319">
        <v>7.16</v>
      </c>
      <c r="B73" s="1318" t="s">
        <v>852</v>
      </c>
      <c r="C73" s="1289" t="s">
        <v>853</v>
      </c>
      <c r="D73" s="1289" t="s">
        <v>28</v>
      </c>
      <c r="E73" s="1290">
        <v>72</v>
      </c>
      <c r="F73" s="1291" t="s">
        <v>820</v>
      </c>
      <c r="G73" s="1295" t="s">
        <v>966</v>
      </c>
      <c r="H73" s="1216" t="s">
        <v>854</v>
      </c>
      <c r="I73" s="1216" t="s">
        <v>28</v>
      </c>
      <c r="J73" s="1296" t="s">
        <v>967</v>
      </c>
    </row>
    <row r="74" spans="1:10" x14ac:dyDescent="0.25">
      <c r="A74" s="1322">
        <v>7.17</v>
      </c>
      <c r="B74" s="1323" t="s">
        <v>916</v>
      </c>
      <c r="C74" s="1308" t="s">
        <v>853</v>
      </c>
      <c r="D74" s="1289" t="s">
        <v>28</v>
      </c>
      <c r="E74" s="1290">
        <v>73</v>
      </c>
      <c r="F74" s="1303">
        <v>7.14</v>
      </c>
      <c r="G74" s="1295" t="s">
        <v>852</v>
      </c>
      <c r="H74" s="1216" t="s">
        <v>854</v>
      </c>
      <c r="I74" s="1216" t="s">
        <v>28</v>
      </c>
      <c r="J74" s="1296" t="s">
        <v>855</v>
      </c>
    </row>
    <row r="75" spans="1:10" x14ac:dyDescent="0.25">
      <c r="A75" s="1315" t="s">
        <v>968</v>
      </c>
      <c r="B75" s="1316" t="s">
        <v>852</v>
      </c>
      <c r="C75" s="1308" t="s">
        <v>853</v>
      </c>
      <c r="D75" s="1289" t="s">
        <v>28</v>
      </c>
      <c r="E75" s="1290">
        <v>74</v>
      </c>
      <c r="F75" s="1303">
        <v>7.15</v>
      </c>
      <c r="G75" s="1295" t="s">
        <v>852</v>
      </c>
      <c r="H75" s="1216" t="s">
        <v>854</v>
      </c>
      <c r="I75" s="1216" t="s">
        <v>28</v>
      </c>
      <c r="J75" s="1296" t="s">
        <v>855</v>
      </c>
    </row>
    <row r="76" spans="1:10" x14ac:dyDescent="0.25">
      <c r="A76" s="1319" t="s">
        <v>969</v>
      </c>
      <c r="B76" s="1318" t="s">
        <v>852</v>
      </c>
      <c r="C76" s="1289" t="s">
        <v>853</v>
      </c>
      <c r="D76" s="1289" t="s">
        <v>28</v>
      </c>
      <c r="E76" s="1290">
        <v>75</v>
      </c>
      <c r="F76" s="1303">
        <v>7.16</v>
      </c>
      <c r="G76" s="1295" t="s">
        <v>852</v>
      </c>
      <c r="H76" s="1216" t="s">
        <v>854</v>
      </c>
      <c r="I76" s="1216" t="s">
        <v>28</v>
      </c>
      <c r="J76" s="1296" t="s">
        <v>855</v>
      </c>
    </row>
    <row r="77" spans="1:10" x14ac:dyDescent="0.25">
      <c r="A77" s="1319" t="s">
        <v>970</v>
      </c>
      <c r="B77" s="1318" t="s">
        <v>852</v>
      </c>
      <c r="C77" s="1289" t="s">
        <v>853</v>
      </c>
      <c r="D77" s="1289" t="s">
        <v>28</v>
      </c>
      <c r="E77" s="1290">
        <v>76</v>
      </c>
      <c r="F77" s="1303">
        <v>7.17</v>
      </c>
      <c r="G77" s="1295" t="s">
        <v>852</v>
      </c>
      <c r="H77" s="1216" t="s">
        <v>854</v>
      </c>
      <c r="I77" s="1216" t="s">
        <v>28</v>
      </c>
      <c r="J77" s="1296" t="s">
        <v>855</v>
      </c>
    </row>
    <row r="78" spans="1:10" x14ac:dyDescent="0.25">
      <c r="A78" s="1326" t="s">
        <v>971</v>
      </c>
      <c r="B78" s="1327" t="s">
        <v>916</v>
      </c>
      <c r="C78" s="1289" t="s">
        <v>853</v>
      </c>
      <c r="D78" s="1289" t="s">
        <v>28</v>
      </c>
      <c r="E78" s="1290">
        <v>77</v>
      </c>
      <c r="F78" s="1291" t="s">
        <v>827</v>
      </c>
      <c r="G78" s="1295" t="s">
        <v>852</v>
      </c>
      <c r="H78" s="1216" t="s">
        <v>854</v>
      </c>
      <c r="I78" s="1216" t="s">
        <v>28</v>
      </c>
      <c r="J78" s="1328" t="s">
        <v>855</v>
      </c>
    </row>
    <row r="79" spans="1:10" s="1098" customFormat="1" ht="15.75" thickBot="1" x14ac:dyDescent="0.3">
      <c r="A79" s="1329" t="s">
        <v>972</v>
      </c>
      <c r="B79" s="1330" t="s">
        <v>861</v>
      </c>
      <c r="C79" s="1330" t="s">
        <v>853</v>
      </c>
      <c r="D79" s="1330" t="s">
        <v>28</v>
      </c>
      <c r="E79" s="1290">
        <v>78</v>
      </c>
      <c r="F79" s="1171" t="s">
        <v>829</v>
      </c>
      <c r="G79" s="1295" t="s">
        <v>916</v>
      </c>
      <c r="H79" s="1216" t="s">
        <v>854</v>
      </c>
      <c r="I79" s="1216" t="s">
        <v>28</v>
      </c>
      <c r="J79" s="1171" t="s">
        <v>917</v>
      </c>
    </row>
    <row r="80" spans="1:10" ht="15.75" thickTop="1" x14ac:dyDescent="0.25">
      <c r="A80" s="1331">
        <v>1.1000000000000001</v>
      </c>
      <c r="B80" s="1332" t="s">
        <v>852</v>
      </c>
      <c r="C80" s="1333" t="s">
        <v>853</v>
      </c>
      <c r="D80" s="1289" t="s">
        <v>973</v>
      </c>
      <c r="E80" s="1290">
        <v>79</v>
      </c>
      <c r="F80" s="1303">
        <v>8.1999999999999993</v>
      </c>
      <c r="G80" s="1302" t="s">
        <v>974</v>
      </c>
      <c r="H80" s="1216" t="s">
        <v>854</v>
      </c>
      <c r="I80" s="1216" t="s">
        <v>28</v>
      </c>
      <c r="J80" s="1334" t="s">
        <v>975</v>
      </c>
    </row>
    <row r="81" spans="1:10" x14ac:dyDescent="0.25">
      <c r="A81" s="1297">
        <v>1.2</v>
      </c>
      <c r="B81" s="1298" t="s">
        <v>856</v>
      </c>
      <c r="C81" s="1335" t="s">
        <v>853</v>
      </c>
      <c r="D81" s="1289" t="s">
        <v>973</v>
      </c>
      <c r="E81" s="1290">
        <v>80</v>
      </c>
      <c r="F81" s="1303">
        <v>8.3000000000000007</v>
      </c>
      <c r="G81" s="1295" t="s">
        <v>852</v>
      </c>
      <c r="H81" s="1216" t="s">
        <v>854</v>
      </c>
      <c r="I81" s="1216" t="s">
        <v>28</v>
      </c>
      <c r="J81" s="1296" t="s">
        <v>855</v>
      </c>
    </row>
    <row r="82" spans="1:10" x14ac:dyDescent="0.25">
      <c r="A82" s="1299">
        <v>2.1</v>
      </c>
      <c r="B82" s="1294" t="s">
        <v>852</v>
      </c>
      <c r="C82" s="1335" t="s">
        <v>853</v>
      </c>
      <c r="D82" s="1289" t="s">
        <v>973</v>
      </c>
      <c r="E82" s="1290">
        <v>81</v>
      </c>
      <c r="F82" s="1303">
        <v>8.4</v>
      </c>
      <c r="G82" s="1295" t="s">
        <v>976</v>
      </c>
      <c r="H82" s="1216" t="s">
        <v>854</v>
      </c>
      <c r="I82" s="1216" t="s">
        <v>28</v>
      </c>
      <c r="J82" s="1296" t="s">
        <v>977</v>
      </c>
    </row>
    <row r="83" spans="1:10" ht="15.75" thickBot="1" x14ac:dyDescent="0.3">
      <c r="A83" s="1300">
        <v>2.2000000000000002</v>
      </c>
      <c r="B83" s="1301" t="s">
        <v>548</v>
      </c>
      <c r="C83" s="1335" t="s">
        <v>853</v>
      </c>
      <c r="D83" s="1289" t="s">
        <v>973</v>
      </c>
      <c r="E83" s="1290">
        <v>82</v>
      </c>
      <c r="F83" s="1336">
        <v>8.5</v>
      </c>
      <c r="G83" s="1295" t="s">
        <v>852</v>
      </c>
      <c r="H83" s="1337" t="s">
        <v>854</v>
      </c>
      <c r="I83" s="1338" t="s">
        <v>28</v>
      </c>
      <c r="J83" s="1339" t="s">
        <v>855</v>
      </c>
    </row>
    <row r="84" spans="1:10" ht="15.75" thickTop="1" x14ac:dyDescent="0.25">
      <c r="A84" s="1300">
        <v>2.2999999999999998</v>
      </c>
      <c r="B84" s="1301" t="s">
        <v>852</v>
      </c>
      <c r="C84" s="1335" t="s">
        <v>853</v>
      </c>
      <c r="D84" s="1289" t="s">
        <v>973</v>
      </c>
      <c r="E84" s="1290">
        <v>83</v>
      </c>
      <c r="F84" s="1291" t="s">
        <v>711</v>
      </c>
      <c r="G84" s="1302" t="s">
        <v>852</v>
      </c>
      <c r="H84" s="711" t="s">
        <v>854</v>
      </c>
      <c r="I84" s="711" t="s">
        <v>978</v>
      </c>
      <c r="J84" s="1334" t="s">
        <v>855</v>
      </c>
    </row>
    <row r="85" spans="1:10" x14ac:dyDescent="0.25">
      <c r="A85" s="1300">
        <v>2.4</v>
      </c>
      <c r="B85" s="1301" t="s">
        <v>864</v>
      </c>
      <c r="C85" s="1335" t="s">
        <v>853</v>
      </c>
      <c r="D85" s="1289" t="s">
        <v>973</v>
      </c>
      <c r="E85" s="1290">
        <v>84</v>
      </c>
      <c r="F85" s="1291" t="s">
        <v>713</v>
      </c>
      <c r="G85" s="1295" t="s">
        <v>857</v>
      </c>
      <c r="H85" s="711" t="s">
        <v>854</v>
      </c>
      <c r="I85" s="711" t="s">
        <v>978</v>
      </c>
      <c r="J85" s="1296" t="s">
        <v>858</v>
      </c>
    </row>
    <row r="86" spans="1:10" x14ac:dyDescent="0.25">
      <c r="A86" s="1300">
        <v>2.5</v>
      </c>
      <c r="B86" s="1301" t="s">
        <v>867</v>
      </c>
      <c r="C86" s="1335" t="s">
        <v>853</v>
      </c>
      <c r="D86" s="1289" t="s">
        <v>973</v>
      </c>
      <c r="E86" s="1290">
        <v>85</v>
      </c>
      <c r="F86" s="1303">
        <v>1.2</v>
      </c>
      <c r="G86" s="1302" t="s">
        <v>979</v>
      </c>
      <c r="H86" s="711" t="s">
        <v>854</v>
      </c>
      <c r="I86" s="711" t="s">
        <v>978</v>
      </c>
      <c r="J86" s="1296" t="s">
        <v>860</v>
      </c>
    </row>
    <row r="87" spans="1:10" x14ac:dyDescent="0.25">
      <c r="A87" s="1300">
        <v>2.6</v>
      </c>
      <c r="B87" s="1301" t="s">
        <v>868</v>
      </c>
      <c r="C87" s="1335" t="s">
        <v>853</v>
      </c>
      <c r="D87" s="1289" t="s">
        <v>973</v>
      </c>
      <c r="E87" s="1290">
        <v>86</v>
      </c>
      <c r="F87" s="1291" t="s">
        <v>716</v>
      </c>
      <c r="G87" s="1302" t="s">
        <v>852</v>
      </c>
      <c r="H87" s="711" t="s">
        <v>854</v>
      </c>
      <c r="I87" s="711" t="s">
        <v>978</v>
      </c>
      <c r="J87" s="1296" t="s">
        <v>855</v>
      </c>
    </row>
    <row r="88" spans="1:10" x14ac:dyDescent="0.25">
      <c r="A88" s="1304" t="s">
        <v>869</v>
      </c>
      <c r="B88" s="1301" t="s">
        <v>548</v>
      </c>
      <c r="C88" s="1335" t="s">
        <v>853</v>
      </c>
      <c r="D88" s="1289" t="s">
        <v>973</v>
      </c>
      <c r="E88" s="1290">
        <v>87</v>
      </c>
      <c r="F88" s="1291" t="s">
        <v>718</v>
      </c>
      <c r="G88" s="1302" t="s">
        <v>862</v>
      </c>
      <c r="H88" s="711" t="s">
        <v>854</v>
      </c>
      <c r="I88" s="711" t="s">
        <v>978</v>
      </c>
      <c r="J88" s="1296" t="s">
        <v>863</v>
      </c>
    </row>
    <row r="89" spans="1:10" x14ac:dyDescent="0.25">
      <c r="A89" s="1300" t="s">
        <v>870</v>
      </c>
      <c r="B89" s="1301" t="s">
        <v>871</v>
      </c>
      <c r="C89" s="1335" t="s">
        <v>853</v>
      </c>
      <c r="D89" s="1289" t="s">
        <v>973</v>
      </c>
      <c r="E89" s="1290">
        <v>88</v>
      </c>
      <c r="F89" s="1303">
        <v>1.4</v>
      </c>
      <c r="G89" s="1302" t="s">
        <v>865</v>
      </c>
      <c r="H89" s="711" t="s">
        <v>854</v>
      </c>
      <c r="I89" s="711" t="s">
        <v>978</v>
      </c>
      <c r="J89" s="1296" t="s">
        <v>866</v>
      </c>
    </row>
    <row r="90" spans="1:10" x14ac:dyDescent="0.25">
      <c r="A90" s="1300">
        <v>2.8</v>
      </c>
      <c r="B90" s="1301" t="s">
        <v>873</v>
      </c>
      <c r="C90" s="1335" t="s">
        <v>853</v>
      </c>
      <c r="D90" s="1289" t="s">
        <v>973</v>
      </c>
      <c r="E90" s="1290">
        <v>89</v>
      </c>
      <c r="F90" s="1303">
        <v>2.1</v>
      </c>
      <c r="G90" s="1302" t="s">
        <v>852</v>
      </c>
      <c r="H90" s="711" t="s">
        <v>854</v>
      </c>
      <c r="I90" s="711" t="s">
        <v>978</v>
      </c>
      <c r="J90" s="1296" t="s">
        <v>855</v>
      </c>
    </row>
    <row r="91" spans="1:10" x14ac:dyDescent="0.25">
      <c r="A91" s="1300">
        <v>2.9</v>
      </c>
      <c r="B91" s="1301" t="s">
        <v>876</v>
      </c>
      <c r="C91" s="1335" t="s">
        <v>853</v>
      </c>
      <c r="D91" s="1289" t="s">
        <v>973</v>
      </c>
      <c r="E91" s="1290">
        <v>90</v>
      </c>
      <c r="F91" s="1303">
        <v>2.2000000000000002</v>
      </c>
      <c r="G91" s="1302" t="s">
        <v>548</v>
      </c>
      <c r="H91" s="711" t="s">
        <v>854</v>
      </c>
      <c r="I91" s="711" t="s">
        <v>978</v>
      </c>
      <c r="J91" s="1296" t="s">
        <v>548</v>
      </c>
    </row>
    <row r="92" spans="1:10" x14ac:dyDescent="0.25">
      <c r="A92" s="1305" t="s">
        <v>735</v>
      </c>
      <c r="B92" s="1298" t="s">
        <v>868</v>
      </c>
      <c r="C92" s="1335" t="s">
        <v>853</v>
      </c>
      <c r="D92" s="1289" t="s">
        <v>973</v>
      </c>
      <c r="E92" s="1290">
        <v>91</v>
      </c>
      <c r="F92" s="1303">
        <v>2.2999999999999998</v>
      </c>
      <c r="G92" s="1302" t="s">
        <v>852</v>
      </c>
      <c r="H92" s="711" t="s">
        <v>854</v>
      </c>
      <c r="I92" s="711" t="s">
        <v>978</v>
      </c>
      <c r="J92" s="1296" t="s">
        <v>855</v>
      </c>
    </row>
    <row r="93" spans="1:10" x14ac:dyDescent="0.25">
      <c r="A93" s="1299" t="s">
        <v>877</v>
      </c>
      <c r="B93" s="1294" t="s">
        <v>852</v>
      </c>
      <c r="C93" s="1335" t="s">
        <v>853</v>
      </c>
      <c r="D93" s="1289" t="s">
        <v>973</v>
      </c>
      <c r="E93" s="1290">
        <v>92</v>
      </c>
      <c r="F93" s="1303">
        <v>2.4</v>
      </c>
      <c r="G93" s="1302" t="s">
        <v>864</v>
      </c>
      <c r="H93" s="711" t="s">
        <v>854</v>
      </c>
      <c r="I93" s="711" t="s">
        <v>978</v>
      </c>
      <c r="J93" s="1296" t="s">
        <v>872</v>
      </c>
    </row>
    <row r="94" spans="1:10" x14ac:dyDescent="0.25">
      <c r="A94" s="1300" t="s">
        <v>880</v>
      </c>
      <c r="B94" s="1301" t="s">
        <v>852</v>
      </c>
      <c r="C94" s="1335" t="s">
        <v>853</v>
      </c>
      <c r="D94" s="1289" t="s">
        <v>973</v>
      </c>
      <c r="E94" s="1290">
        <v>93</v>
      </c>
      <c r="F94" s="1303">
        <v>2.5</v>
      </c>
      <c r="G94" s="1302" t="s">
        <v>980</v>
      </c>
      <c r="H94" s="711" t="s">
        <v>854</v>
      </c>
      <c r="I94" s="711" t="s">
        <v>978</v>
      </c>
      <c r="J94" s="1296" t="s">
        <v>875</v>
      </c>
    </row>
    <row r="95" spans="1:10" x14ac:dyDescent="0.25">
      <c r="A95" s="1300" t="s">
        <v>741</v>
      </c>
      <c r="B95" s="1306" t="s">
        <v>882</v>
      </c>
      <c r="C95" s="1335" t="s">
        <v>853</v>
      </c>
      <c r="D95" s="1289" t="s">
        <v>973</v>
      </c>
      <c r="E95" s="1290">
        <v>94</v>
      </c>
      <c r="F95" s="1303">
        <v>2.6</v>
      </c>
      <c r="G95" s="1302" t="s">
        <v>852</v>
      </c>
      <c r="H95" s="711" t="s">
        <v>854</v>
      </c>
      <c r="I95" s="711" t="s">
        <v>978</v>
      </c>
      <c r="J95" s="1296" t="s">
        <v>855</v>
      </c>
    </row>
    <row r="96" spans="1:10" x14ac:dyDescent="0.25">
      <c r="A96" s="1300" t="s">
        <v>742</v>
      </c>
      <c r="B96" s="1301" t="s">
        <v>864</v>
      </c>
      <c r="C96" s="1335" t="s">
        <v>853</v>
      </c>
      <c r="D96" s="1289" t="s">
        <v>973</v>
      </c>
      <c r="E96" s="1290">
        <v>95</v>
      </c>
      <c r="F96" s="1291" t="s">
        <v>729</v>
      </c>
      <c r="G96" s="1302" t="s">
        <v>852</v>
      </c>
      <c r="H96" s="737" t="s">
        <v>854</v>
      </c>
      <c r="I96" s="711" t="s">
        <v>978</v>
      </c>
      <c r="J96" s="1296" t="s">
        <v>855</v>
      </c>
    </row>
    <row r="97" spans="1:10" x14ac:dyDescent="0.25">
      <c r="A97" s="1300" t="s">
        <v>743</v>
      </c>
      <c r="B97" s="1301" t="s">
        <v>884</v>
      </c>
      <c r="C97" s="1335" t="s">
        <v>853</v>
      </c>
      <c r="D97" s="1289" t="s">
        <v>973</v>
      </c>
      <c r="E97" s="1290">
        <v>96</v>
      </c>
      <c r="F97" s="1291" t="s">
        <v>731</v>
      </c>
      <c r="G97" s="1295" t="s">
        <v>878</v>
      </c>
      <c r="H97" s="737" t="s">
        <v>854</v>
      </c>
      <c r="I97" s="711" t="s">
        <v>978</v>
      </c>
      <c r="J97" s="1296" t="s">
        <v>879</v>
      </c>
    </row>
    <row r="98" spans="1:10" x14ac:dyDescent="0.25">
      <c r="A98" s="1300" t="s">
        <v>885</v>
      </c>
      <c r="B98" s="1306" t="s">
        <v>886</v>
      </c>
      <c r="C98" s="1335" t="s">
        <v>853</v>
      </c>
      <c r="D98" s="1289" t="s">
        <v>973</v>
      </c>
      <c r="E98" s="1290">
        <v>97</v>
      </c>
      <c r="F98" s="1303">
        <v>2.8</v>
      </c>
      <c r="G98" s="1302" t="s">
        <v>981</v>
      </c>
      <c r="H98" s="711" t="s">
        <v>854</v>
      </c>
      <c r="I98" s="711" t="s">
        <v>978</v>
      </c>
      <c r="J98" s="1296" t="s">
        <v>982</v>
      </c>
    </row>
    <row r="99" spans="1:10" x14ac:dyDescent="0.25">
      <c r="A99" s="1300" t="s">
        <v>887</v>
      </c>
      <c r="B99" s="1301" t="s">
        <v>888</v>
      </c>
      <c r="C99" s="1335" t="s">
        <v>853</v>
      </c>
      <c r="D99" s="1289" t="s">
        <v>973</v>
      </c>
      <c r="E99" s="1290">
        <v>98</v>
      </c>
      <c r="F99" s="1303">
        <v>2.9</v>
      </c>
      <c r="G99" s="1302" t="s">
        <v>864</v>
      </c>
      <c r="H99" s="711" t="s">
        <v>854</v>
      </c>
      <c r="I99" s="711" t="s">
        <v>978</v>
      </c>
      <c r="J99" s="1296" t="s">
        <v>872</v>
      </c>
    </row>
    <row r="100" spans="1:10" x14ac:dyDescent="0.25">
      <c r="A100" s="1300" t="s">
        <v>892</v>
      </c>
      <c r="B100" s="1298" t="s">
        <v>852</v>
      </c>
      <c r="C100" s="1335" t="s">
        <v>853</v>
      </c>
      <c r="D100" s="1289" t="s">
        <v>973</v>
      </c>
      <c r="E100" s="1290">
        <v>99</v>
      </c>
      <c r="F100" s="1307" t="s">
        <v>735</v>
      </c>
      <c r="G100" s="1302" t="s">
        <v>868</v>
      </c>
      <c r="H100" s="711" t="s">
        <v>854</v>
      </c>
      <c r="I100" s="711" t="s">
        <v>978</v>
      </c>
      <c r="J100" s="1296" t="s">
        <v>883</v>
      </c>
    </row>
    <row r="101" spans="1:10" x14ac:dyDescent="0.25">
      <c r="A101" s="1309" t="s">
        <v>894</v>
      </c>
      <c r="B101" s="1310" t="s">
        <v>852</v>
      </c>
      <c r="C101" s="1335" t="s">
        <v>853</v>
      </c>
      <c r="D101" s="1289" t="s">
        <v>973</v>
      </c>
      <c r="E101" s="1290">
        <v>100</v>
      </c>
      <c r="F101" s="1303">
        <v>3.1</v>
      </c>
      <c r="G101" s="1302" t="s">
        <v>852</v>
      </c>
      <c r="H101" s="711" t="s">
        <v>854</v>
      </c>
      <c r="I101" s="711" t="s">
        <v>978</v>
      </c>
      <c r="J101" s="1296" t="s">
        <v>855</v>
      </c>
    </row>
    <row r="102" spans="1:10" x14ac:dyDescent="0.25">
      <c r="A102" s="1311" t="s">
        <v>898</v>
      </c>
      <c r="B102" s="1312" t="s">
        <v>888</v>
      </c>
      <c r="C102" s="1335" t="s">
        <v>853</v>
      </c>
      <c r="D102" s="1289" t="s">
        <v>973</v>
      </c>
      <c r="E102" s="1290">
        <v>101</v>
      </c>
      <c r="F102" s="1303">
        <v>3.2</v>
      </c>
      <c r="G102" s="1302" t="s">
        <v>852</v>
      </c>
      <c r="H102" s="711" t="s">
        <v>854</v>
      </c>
      <c r="I102" s="711" t="s">
        <v>978</v>
      </c>
      <c r="J102" s="1296" t="s">
        <v>855</v>
      </c>
    </row>
    <row r="103" spans="1:10" x14ac:dyDescent="0.25">
      <c r="A103" s="1311" t="s">
        <v>900</v>
      </c>
      <c r="B103" s="1314" t="s">
        <v>901</v>
      </c>
      <c r="C103" s="1335" t="s">
        <v>853</v>
      </c>
      <c r="D103" s="1289" t="s">
        <v>973</v>
      </c>
      <c r="E103" s="1290">
        <v>102</v>
      </c>
      <c r="F103" s="1291" t="s">
        <v>889</v>
      </c>
      <c r="G103" s="1302" t="s">
        <v>983</v>
      </c>
      <c r="H103" s="737" t="s">
        <v>854</v>
      </c>
      <c r="I103" s="711" t="s">
        <v>978</v>
      </c>
      <c r="J103" s="1296" t="s">
        <v>891</v>
      </c>
    </row>
    <row r="104" spans="1:10" x14ac:dyDescent="0.25">
      <c r="A104" s="1315" t="s">
        <v>904</v>
      </c>
      <c r="B104" s="1316" t="s">
        <v>548</v>
      </c>
      <c r="C104" s="1335" t="s">
        <v>853</v>
      </c>
      <c r="D104" s="1289" t="s">
        <v>973</v>
      </c>
      <c r="E104" s="1290">
        <v>103</v>
      </c>
      <c r="F104" s="1291" t="s">
        <v>893</v>
      </c>
      <c r="G104" s="1302" t="s">
        <v>864</v>
      </c>
      <c r="H104" s="737" t="s">
        <v>854</v>
      </c>
      <c r="I104" s="711" t="s">
        <v>978</v>
      </c>
      <c r="J104" s="1296" t="s">
        <v>872</v>
      </c>
    </row>
    <row r="105" spans="1:10" x14ac:dyDescent="0.25">
      <c r="A105" s="1317" t="s">
        <v>905</v>
      </c>
      <c r="B105" s="1318" t="s">
        <v>852</v>
      </c>
      <c r="C105" s="1335" t="s">
        <v>853</v>
      </c>
      <c r="D105" s="1289" t="s">
        <v>973</v>
      </c>
      <c r="E105" s="1290">
        <v>104</v>
      </c>
      <c r="F105" s="1291" t="s">
        <v>895</v>
      </c>
      <c r="G105" s="1302" t="s">
        <v>896</v>
      </c>
      <c r="H105" s="737" t="s">
        <v>854</v>
      </c>
      <c r="I105" s="711" t="s">
        <v>978</v>
      </c>
      <c r="J105" s="1296" t="s">
        <v>897</v>
      </c>
    </row>
    <row r="106" spans="1:10" x14ac:dyDescent="0.25">
      <c r="A106" s="1319" t="s">
        <v>906</v>
      </c>
      <c r="B106" s="1318" t="s">
        <v>548</v>
      </c>
      <c r="C106" s="1335" t="s">
        <v>853</v>
      </c>
      <c r="D106" s="1289" t="s">
        <v>973</v>
      </c>
      <c r="E106" s="1290">
        <v>105</v>
      </c>
      <c r="F106" s="1303">
        <v>3.4</v>
      </c>
      <c r="G106" s="1302" t="s">
        <v>899</v>
      </c>
      <c r="H106" s="711" t="s">
        <v>854</v>
      </c>
      <c r="I106" s="711" t="s">
        <v>978</v>
      </c>
      <c r="J106" s="1296" t="s">
        <v>891</v>
      </c>
    </row>
    <row r="107" spans="1:10" x14ac:dyDescent="0.25">
      <c r="A107" s="1317" t="s">
        <v>910</v>
      </c>
      <c r="B107" s="1318" t="s">
        <v>864</v>
      </c>
      <c r="C107" s="1335" t="s">
        <v>853</v>
      </c>
      <c r="D107" s="1289" t="s">
        <v>973</v>
      </c>
      <c r="E107" s="1290">
        <v>106</v>
      </c>
      <c r="F107" s="1303">
        <v>3.5</v>
      </c>
      <c r="G107" s="1295" t="s">
        <v>902</v>
      </c>
      <c r="H107" s="711" t="s">
        <v>854</v>
      </c>
      <c r="I107" s="711" t="s">
        <v>978</v>
      </c>
      <c r="J107" s="1296" t="s">
        <v>903</v>
      </c>
    </row>
    <row r="108" spans="1:10" x14ac:dyDescent="0.25">
      <c r="A108" s="1319" t="s">
        <v>911</v>
      </c>
      <c r="B108" s="1318" t="s">
        <v>852</v>
      </c>
      <c r="C108" s="1335" t="s">
        <v>853</v>
      </c>
      <c r="D108" s="1289" t="s">
        <v>973</v>
      </c>
      <c r="E108" s="1290">
        <v>107</v>
      </c>
      <c r="F108" s="1303">
        <v>3.6</v>
      </c>
      <c r="G108" s="1302" t="s">
        <v>852</v>
      </c>
      <c r="H108" s="711" t="s">
        <v>854</v>
      </c>
      <c r="I108" s="711" t="s">
        <v>978</v>
      </c>
      <c r="J108" s="1296" t="s">
        <v>855</v>
      </c>
    </row>
    <row r="109" spans="1:10" x14ac:dyDescent="0.25">
      <c r="A109" s="1319" t="s">
        <v>914</v>
      </c>
      <c r="B109" s="1320" t="s">
        <v>915</v>
      </c>
      <c r="C109" s="1335" t="s">
        <v>853</v>
      </c>
      <c r="D109" s="1289" t="s">
        <v>973</v>
      </c>
      <c r="E109" s="1290">
        <v>108</v>
      </c>
      <c r="F109" s="1291" t="s">
        <v>750</v>
      </c>
      <c r="G109" s="1302" t="s">
        <v>852</v>
      </c>
      <c r="H109" s="737" t="s">
        <v>854</v>
      </c>
      <c r="I109" s="711" t="s">
        <v>978</v>
      </c>
      <c r="J109" s="1296" t="s">
        <v>855</v>
      </c>
    </row>
    <row r="110" spans="1:10" x14ac:dyDescent="0.25">
      <c r="A110" s="1319" t="s">
        <v>918</v>
      </c>
      <c r="B110" s="1318" t="s">
        <v>868</v>
      </c>
      <c r="C110" s="1335" t="s">
        <v>853</v>
      </c>
      <c r="D110" s="1289" t="s">
        <v>973</v>
      </c>
      <c r="E110" s="1290">
        <v>109</v>
      </c>
      <c r="F110" s="1291" t="s">
        <v>752</v>
      </c>
      <c r="G110" s="1302" t="s">
        <v>984</v>
      </c>
      <c r="H110" s="737" t="s">
        <v>854</v>
      </c>
      <c r="I110" s="711" t="s">
        <v>978</v>
      </c>
      <c r="J110" s="1296" t="s">
        <v>909</v>
      </c>
    </row>
    <row r="111" spans="1:10" x14ac:dyDescent="0.25">
      <c r="A111" s="1319" t="s">
        <v>919</v>
      </c>
      <c r="B111" s="1318" t="s">
        <v>852</v>
      </c>
      <c r="C111" s="1335" t="s">
        <v>853</v>
      </c>
      <c r="D111" s="1289" t="s">
        <v>973</v>
      </c>
      <c r="E111" s="1290">
        <v>110</v>
      </c>
      <c r="F111" s="1303">
        <v>4.2</v>
      </c>
      <c r="G111" s="1302" t="s">
        <v>953</v>
      </c>
      <c r="H111" s="711" t="s">
        <v>854</v>
      </c>
      <c r="I111" s="711" t="s">
        <v>978</v>
      </c>
      <c r="J111" s="1296" t="s">
        <v>927</v>
      </c>
    </row>
    <row r="112" spans="1:10" x14ac:dyDescent="0.25">
      <c r="A112" s="1319" t="s">
        <v>920</v>
      </c>
      <c r="B112" s="1318" t="s">
        <v>548</v>
      </c>
      <c r="C112" s="1335" t="s">
        <v>853</v>
      </c>
      <c r="D112" s="1289" t="s">
        <v>973</v>
      </c>
      <c r="E112" s="1290">
        <v>111</v>
      </c>
      <c r="F112" s="1303">
        <v>4.3</v>
      </c>
      <c r="G112" s="1302" t="s">
        <v>912</v>
      </c>
      <c r="H112" s="711" t="s">
        <v>854</v>
      </c>
      <c r="I112" s="711" t="s">
        <v>978</v>
      </c>
      <c r="J112" s="1296" t="s">
        <v>913</v>
      </c>
    </row>
    <row r="113" spans="1:10" x14ac:dyDescent="0.25">
      <c r="A113" s="1317" t="s">
        <v>923</v>
      </c>
      <c r="B113" s="1318" t="s">
        <v>861</v>
      </c>
      <c r="C113" s="1335" t="s">
        <v>853</v>
      </c>
      <c r="D113" s="1289" t="s">
        <v>973</v>
      </c>
      <c r="E113" s="1290">
        <v>112</v>
      </c>
      <c r="F113" s="1303">
        <v>4.4000000000000004</v>
      </c>
      <c r="G113" s="1302" t="s">
        <v>916</v>
      </c>
      <c r="H113" s="711" t="s">
        <v>854</v>
      </c>
      <c r="I113" s="711" t="s">
        <v>978</v>
      </c>
      <c r="J113" s="1296" t="s">
        <v>917</v>
      </c>
    </row>
    <row r="114" spans="1:10" x14ac:dyDescent="0.25">
      <c r="A114" s="1319" t="s">
        <v>924</v>
      </c>
      <c r="B114" s="1318" t="s">
        <v>925</v>
      </c>
      <c r="C114" s="1335" t="s">
        <v>853</v>
      </c>
      <c r="D114" s="1289" t="s">
        <v>973</v>
      </c>
      <c r="E114" s="1290">
        <v>113</v>
      </c>
      <c r="F114" s="1291" t="s">
        <v>759</v>
      </c>
      <c r="G114" s="1302" t="s">
        <v>548</v>
      </c>
      <c r="H114" s="737" t="s">
        <v>854</v>
      </c>
      <c r="I114" s="711" t="s">
        <v>978</v>
      </c>
      <c r="J114" s="1296" t="s">
        <v>548</v>
      </c>
    </row>
    <row r="115" spans="1:10" x14ac:dyDescent="0.25">
      <c r="A115" s="1319" t="s">
        <v>928</v>
      </c>
      <c r="B115" s="1318" t="s">
        <v>929</v>
      </c>
      <c r="C115" s="1335" t="s">
        <v>853</v>
      </c>
      <c r="D115" s="1289" t="s">
        <v>973</v>
      </c>
      <c r="E115" s="1290">
        <v>114</v>
      </c>
      <c r="F115" s="1291" t="s">
        <v>761</v>
      </c>
      <c r="G115" s="1302" t="s">
        <v>852</v>
      </c>
      <c r="H115" s="737" t="s">
        <v>854</v>
      </c>
      <c r="I115" s="711" t="s">
        <v>978</v>
      </c>
      <c r="J115" s="1296" t="s">
        <v>855</v>
      </c>
    </row>
    <row r="116" spans="1:10" x14ac:dyDescent="0.25">
      <c r="A116" s="1319" t="s">
        <v>931</v>
      </c>
      <c r="B116" s="1318" t="s">
        <v>932</v>
      </c>
      <c r="C116" s="1335" t="s">
        <v>853</v>
      </c>
      <c r="D116" s="1289" t="s">
        <v>973</v>
      </c>
      <c r="E116" s="1290">
        <v>115</v>
      </c>
      <c r="F116" s="1291" t="s">
        <v>763</v>
      </c>
      <c r="G116" s="1321" t="s">
        <v>548</v>
      </c>
      <c r="H116" s="737" t="s">
        <v>854</v>
      </c>
      <c r="I116" s="711" t="s">
        <v>978</v>
      </c>
      <c r="J116" s="1296" t="s">
        <v>548</v>
      </c>
    </row>
    <row r="117" spans="1:10" x14ac:dyDescent="0.25">
      <c r="A117" s="1319" t="s">
        <v>933</v>
      </c>
      <c r="B117" s="1318" t="s">
        <v>852</v>
      </c>
      <c r="C117" s="1335" t="s">
        <v>853</v>
      </c>
      <c r="D117" s="1289" t="s">
        <v>973</v>
      </c>
      <c r="E117" s="1290">
        <v>116</v>
      </c>
      <c r="F117" s="1291" t="s">
        <v>765</v>
      </c>
      <c r="G117" s="1302" t="s">
        <v>864</v>
      </c>
      <c r="H117" s="737" t="s">
        <v>854</v>
      </c>
      <c r="I117" s="711" t="s">
        <v>978</v>
      </c>
      <c r="J117" s="1296" t="s">
        <v>872</v>
      </c>
    </row>
    <row r="118" spans="1:10" x14ac:dyDescent="0.25">
      <c r="A118" s="1319" t="s">
        <v>782</v>
      </c>
      <c r="B118" s="1318" t="s">
        <v>934</v>
      </c>
      <c r="C118" s="1335" t="s">
        <v>853</v>
      </c>
      <c r="D118" s="1289" t="s">
        <v>973</v>
      </c>
      <c r="E118" s="1290">
        <v>117</v>
      </c>
      <c r="F118" s="1303">
        <v>5.3</v>
      </c>
      <c r="G118" s="1295" t="s">
        <v>926</v>
      </c>
      <c r="H118" s="711" t="s">
        <v>854</v>
      </c>
      <c r="I118" s="711" t="s">
        <v>978</v>
      </c>
      <c r="J118" s="1296" t="s">
        <v>927</v>
      </c>
    </row>
    <row r="119" spans="1:10" x14ac:dyDescent="0.25">
      <c r="A119" s="1319">
        <v>5.1100000000000003</v>
      </c>
      <c r="B119" s="1318" t="s">
        <v>985</v>
      </c>
      <c r="C119" s="1335" t="s">
        <v>853</v>
      </c>
      <c r="D119" s="1289" t="s">
        <v>973</v>
      </c>
      <c r="E119" s="1290">
        <v>118</v>
      </c>
      <c r="F119" s="1303">
        <v>5.4</v>
      </c>
      <c r="G119" s="1302" t="s">
        <v>930</v>
      </c>
      <c r="H119" s="711" t="s">
        <v>854</v>
      </c>
      <c r="I119" s="711" t="s">
        <v>978</v>
      </c>
      <c r="J119" s="1296" t="s">
        <v>891</v>
      </c>
    </row>
    <row r="120" spans="1:10" x14ac:dyDescent="0.25">
      <c r="A120" s="1319">
        <v>5.12</v>
      </c>
      <c r="B120" s="1318" t="s">
        <v>876</v>
      </c>
      <c r="C120" s="1335" t="s">
        <v>853</v>
      </c>
      <c r="D120" s="1289" t="s">
        <v>973</v>
      </c>
      <c r="E120" s="1290">
        <v>119</v>
      </c>
      <c r="F120" s="1303">
        <v>5.5</v>
      </c>
      <c r="G120" s="1295" t="s">
        <v>868</v>
      </c>
      <c r="H120" s="711" t="s">
        <v>854</v>
      </c>
      <c r="I120" s="711" t="s">
        <v>978</v>
      </c>
      <c r="J120" s="1296" t="s">
        <v>883</v>
      </c>
    </row>
    <row r="121" spans="1:10" x14ac:dyDescent="0.25">
      <c r="A121" s="1322">
        <v>5.13</v>
      </c>
      <c r="B121" s="1323" t="s">
        <v>986</v>
      </c>
      <c r="C121" s="1335" t="s">
        <v>853</v>
      </c>
      <c r="D121" s="1289" t="s">
        <v>973</v>
      </c>
      <c r="E121" s="1290">
        <v>120</v>
      </c>
      <c r="F121" s="1303">
        <v>5.6</v>
      </c>
      <c r="G121" s="1302" t="s">
        <v>852</v>
      </c>
      <c r="H121" s="711" t="s">
        <v>854</v>
      </c>
      <c r="I121" s="711" t="s">
        <v>978</v>
      </c>
      <c r="J121" s="1296" t="s">
        <v>855</v>
      </c>
    </row>
    <row r="122" spans="1:10" x14ac:dyDescent="0.25">
      <c r="A122" s="1315" t="s">
        <v>936</v>
      </c>
      <c r="B122" s="1316" t="s">
        <v>852</v>
      </c>
      <c r="C122" s="1335" t="s">
        <v>853</v>
      </c>
      <c r="D122" s="1289" t="s">
        <v>973</v>
      </c>
      <c r="E122" s="1290">
        <v>121</v>
      </c>
      <c r="F122" s="1291" t="s">
        <v>771</v>
      </c>
      <c r="G122" s="1302" t="s">
        <v>548</v>
      </c>
      <c r="H122" s="737" t="s">
        <v>854</v>
      </c>
      <c r="I122" s="711" t="s">
        <v>978</v>
      </c>
      <c r="J122" s="1296" t="s">
        <v>548</v>
      </c>
    </row>
    <row r="123" spans="1:10" x14ac:dyDescent="0.25">
      <c r="A123" s="1319" t="s">
        <v>937</v>
      </c>
      <c r="B123" s="1318" t="s">
        <v>852</v>
      </c>
      <c r="C123" s="1335" t="s">
        <v>853</v>
      </c>
      <c r="D123" s="1289" t="s">
        <v>973</v>
      </c>
      <c r="E123" s="1290">
        <v>122</v>
      </c>
      <c r="F123" s="1291" t="s">
        <v>773</v>
      </c>
      <c r="G123" s="1302" t="s">
        <v>987</v>
      </c>
      <c r="H123" s="737" t="s">
        <v>854</v>
      </c>
      <c r="I123" s="711" t="s">
        <v>978</v>
      </c>
      <c r="J123" s="1296" t="s">
        <v>881</v>
      </c>
    </row>
    <row r="124" spans="1:10" x14ac:dyDescent="0.25">
      <c r="A124" s="1319" t="s">
        <v>938</v>
      </c>
      <c r="B124" s="1318" t="s">
        <v>884</v>
      </c>
      <c r="C124" s="1335" t="s">
        <v>853</v>
      </c>
      <c r="D124" s="1289" t="s">
        <v>973</v>
      </c>
      <c r="E124" s="1290">
        <v>123</v>
      </c>
      <c r="F124" s="1291" t="s">
        <v>775</v>
      </c>
      <c r="G124" s="1302" t="s">
        <v>988</v>
      </c>
      <c r="H124" s="737" t="s">
        <v>854</v>
      </c>
      <c r="I124" s="711" t="s">
        <v>978</v>
      </c>
      <c r="J124" s="1340" t="s">
        <v>989</v>
      </c>
    </row>
    <row r="125" spans="1:10" x14ac:dyDescent="0.25">
      <c r="A125" s="1319" t="s">
        <v>939</v>
      </c>
      <c r="B125" s="1318" t="s">
        <v>940</v>
      </c>
      <c r="C125" s="1335" t="s">
        <v>853</v>
      </c>
      <c r="D125" s="1289" t="s">
        <v>973</v>
      </c>
      <c r="E125" s="1290">
        <v>124</v>
      </c>
      <c r="F125" s="1291" t="s">
        <v>777</v>
      </c>
      <c r="G125" s="1302" t="s">
        <v>929</v>
      </c>
      <c r="H125" s="737" t="s">
        <v>854</v>
      </c>
      <c r="I125" s="711" t="s">
        <v>978</v>
      </c>
      <c r="J125" s="1296" t="s">
        <v>935</v>
      </c>
    </row>
    <row r="126" spans="1:10" x14ac:dyDescent="0.25">
      <c r="A126" s="1319" t="s">
        <v>941</v>
      </c>
      <c r="B126" s="1318" t="s">
        <v>884</v>
      </c>
      <c r="C126" s="1335" t="s">
        <v>853</v>
      </c>
      <c r="D126" s="1289" t="s">
        <v>973</v>
      </c>
      <c r="E126" s="1290">
        <v>125</v>
      </c>
      <c r="F126" s="1291" t="s">
        <v>779</v>
      </c>
      <c r="G126" s="1302" t="s">
        <v>990</v>
      </c>
      <c r="H126" s="737" t="s">
        <v>854</v>
      </c>
      <c r="I126" s="711" t="s">
        <v>978</v>
      </c>
      <c r="J126" s="1324" t="s">
        <v>991</v>
      </c>
    </row>
    <row r="127" spans="1:10" x14ac:dyDescent="0.25">
      <c r="A127" s="1319" t="s">
        <v>942</v>
      </c>
      <c r="B127" s="1318" t="s">
        <v>884</v>
      </c>
      <c r="C127" s="1335" t="s">
        <v>853</v>
      </c>
      <c r="D127" s="1289" t="s">
        <v>973</v>
      </c>
      <c r="E127" s="1290">
        <v>126</v>
      </c>
      <c r="F127" s="1303">
        <v>5.9</v>
      </c>
      <c r="G127" s="1302" t="s">
        <v>852</v>
      </c>
      <c r="H127" s="711" t="s">
        <v>854</v>
      </c>
      <c r="I127" s="711" t="s">
        <v>978</v>
      </c>
      <c r="J127" s="1296" t="s">
        <v>855</v>
      </c>
    </row>
    <row r="128" spans="1:10" x14ac:dyDescent="0.25">
      <c r="A128" s="1319" t="s">
        <v>943</v>
      </c>
      <c r="B128" s="1318" t="s">
        <v>864</v>
      </c>
      <c r="C128" s="1335" t="s">
        <v>853</v>
      </c>
      <c r="D128" s="1289" t="s">
        <v>973</v>
      </c>
      <c r="E128" s="1290">
        <v>127</v>
      </c>
      <c r="F128" s="1307" t="s">
        <v>782</v>
      </c>
      <c r="G128" s="1302" t="s">
        <v>992</v>
      </c>
      <c r="H128" s="711" t="s">
        <v>854</v>
      </c>
      <c r="I128" s="711" t="s">
        <v>978</v>
      </c>
      <c r="J128" s="1296" t="s">
        <v>993</v>
      </c>
    </row>
    <row r="129" spans="1:13" x14ac:dyDescent="0.25">
      <c r="A129" s="1319" t="s">
        <v>944</v>
      </c>
      <c r="B129" s="1318" t="s">
        <v>864</v>
      </c>
      <c r="C129" s="1335" t="s">
        <v>853</v>
      </c>
      <c r="D129" s="1289" t="s">
        <v>973</v>
      </c>
      <c r="E129" s="1290">
        <v>128</v>
      </c>
      <c r="F129" s="1303">
        <v>5.1100000000000003</v>
      </c>
      <c r="G129" s="1302" t="s">
        <v>994</v>
      </c>
      <c r="H129" s="711" t="s">
        <v>854</v>
      </c>
      <c r="I129" s="711" t="s">
        <v>978</v>
      </c>
      <c r="J129" s="1296" t="s">
        <v>995</v>
      </c>
    </row>
    <row r="130" spans="1:13" x14ac:dyDescent="0.25">
      <c r="A130" s="1322" t="s">
        <v>945</v>
      </c>
      <c r="B130" s="1323" t="s">
        <v>946</v>
      </c>
      <c r="C130" s="1335" t="s">
        <v>853</v>
      </c>
      <c r="D130" s="1289" t="s">
        <v>973</v>
      </c>
      <c r="E130" s="1290">
        <v>129</v>
      </c>
      <c r="F130" s="1303">
        <v>5.12</v>
      </c>
      <c r="G130" s="1302" t="s">
        <v>876</v>
      </c>
      <c r="H130" s="711" t="s">
        <v>854</v>
      </c>
      <c r="I130" s="711" t="s">
        <v>978</v>
      </c>
      <c r="J130" s="1296">
        <v>10</v>
      </c>
    </row>
    <row r="131" spans="1:13" x14ac:dyDescent="0.25">
      <c r="A131" s="1315" t="s">
        <v>947</v>
      </c>
      <c r="B131" s="1316" t="s">
        <v>852</v>
      </c>
      <c r="C131" s="1335" t="s">
        <v>853</v>
      </c>
      <c r="D131" s="1289" t="s">
        <v>973</v>
      </c>
      <c r="E131" s="1290">
        <v>130</v>
      </c>
      <c r="F131" s="1303">
        <v>5.13</v>
      </c>
      <c r="G131" s="1302" t="s">
        <v>996</v>
      </c>
      <c r="H131" s="711" t="s">
        <v>854</v>
      </c>
      <c r="I131" s="711" t="s">
        <v>978</v>
      </c>
      <c r="J131" s="1296" t="s">
        <v>997</v>
      </c>
    </row>
    <row r="132" spans="1:13" x14ac:dyDescent="0.25">
      <c r="A132" s="1319" t="s">
        <v>950</v>
      </c>
      <c r="B132" s="1320" t="s">
        <v>951</v>
      </c>
      <c r="C132" s="1335" t="s">
        <v>853</v>
      </c>
      <c r="D132" s="1289" t="s">
        <v>973</v>
      </c>
      <c r="E132" s="1290">
        <v>131</v>
      </c>
      <c r="F132" s="1303">
        <v>6.1</v>
      </c>
      <c r="G132" s="1302" t="s">
        <v>852</v>
      </c>
      <c r="H132" s="711" t="s">
        <v>854</v>
      </c>
      <c r="I132" s="711" t="s">
        <v>978</v>
      </c>
      <c r="J132" s="1296" t="s">
        <v>855</v>
      </c>
    </row>
    <row r="133" spans="1:13" x14ac:dyDescent="0.25">
      <c r="A133" s="1319" t="s">
        <v>952</v>
      </c>
      <c r="B133" s="1318" t="s">
        <v>953</v>
      </c>
      <c r="C133" s="1335" t="s">
        <v>853</v>
      </c>
      <c r="D133" s="1289" t="s">
        <v>973</v>
      </c>
      <c r="E133" s="1290">
        <v>132</v>
      </c>
      <c r="F133" s="1303">
        <v>6.2</v>
      </c>
      <c r="G133" s="1302" t="s">
        <v>852</v>
      </c>
      <c r="H133" s="711" t="s">
        <v>854</v>
      </c>
      <c r="I133" s="711" t="s">
        <v>978</v>
      </c>
      <c r="J133" s="1296" t="s">
        <v>855</v>
      </c>
    </row>
    <row r="134" spans="1:13" x14ac:dyDescent="0.25">
      <c r="A134" s="1319" t="s">
        <v>955</v>
      </c>
      <c r="B134" s="1318" t="s">
        <v>548</v>
      </c>
      <c r="C134" s="1335" t="s">
        <v>853</v>
      </c>
      <c r="D134" s="1289" t="s">
        <v>973</v>
      </c>
      <c r="E134" s="1290">
        <v>133</v>
      </c>
      <c r="F134" s="1303">
        <v>6.3</v>
      </c>
      <c r="G134" s="1302" t="s">
        <v>896</v>
      </c>
      <c r="H134" s="711" t="s">
        <v>854</v>
      </c>
      <c r="I134" s="711" t="s">
        <v>978</v>
      </c>
      <c r="J134" s="1324" t="s">
        <v>897</v>
      </c>
    </row>
    <row r="135" spans="1:13" x14ac:dyDescent="0.25">
      <c r="A135" s="1317" t="s">
        <v>956</v>
      </c>
      <c r="B135" s="1318" t="s">
        <v>864</v>
      </c>
      <c r="C135" s="1335" t="s">
        <v>853</v>
      </c>
      <c r="D135" s="1289" t="s">
        <v>973</v>
      </c>
      <c r="E135" s="1290">
        <v>134</v>
      </c>
      <c r="F135" s="1303">
        <v>6.4</v>
      </c>
      <c r="G135" s="1302" t="s">
        <v>948</v>
      </c>
      <c r="H135" s="711" t="s">
        <v>854</v>
      </c>
      <c r="I135" s="711" t="s">
        <v>978</v>
      </c>
      <c r="J135" s="1296" t="s">
        <v>949</v>
      </c>
    </row>
    <row r="136" spans="1:13" x14ac:dyDescent="0.25">
      <c r="A136" s="1319" t="s">
        <v>957</v>
      </c>
      <c r="B136" s="1318" t="s">
        <v>548</v>
      </c>
      <c r="C136" s="1335" t="s">
        <v>853</v>
      </c>
      <c r="D136" s="1289" t="s">
        <v>973</v>
      </c>
      <c r="E136" s="1290">
        <v>135</v>
      </c>
      <c r="F136" s="1291" t="s">
        <v>792</v>
      </c>
      <c r="G136" s="1302" t="s">
        <v>861</v>
      </c>
      <c r="H136" s="737" t="s">
        <v>854</v>
      </c>
      <c r="I136" s="711" t="s">
        <v>978</v>
      </c>
      <c r="J136" s="1296" t="s">
        <v>881</v>
      </c>
    </row>
    <row r="137" spans="1:13" x14ac:dyDescent="0.25">
      <c r="A137" s="1317" t="s">
        <v>959</v>
      </c>
      <c r="B137" s="1318" t="s">
        <v>868</v>
      </c>
      <c r="C137" s="1335" t="s">
        <v>853</v>
      </c>
      <c r="D137" s="1289" t="s">
        <v>973</v>
      </c>
      <c r="E137" s="1290">
        <v>136</v>
      </c>
      <c r="F137" s="1291" t="s">
        <v>794</v>
      </c>
      <c r="G137" s="1295" t="s">
        <v>954</v>
      </c>
      <c r="H137" s="737" t="s">
        <v>854</v>
      </c>
      <c r="I137" s="711" t="s">
        <v>978</v>
      </c>
      <c r="J137" s="1296" t="s">
        <v>881</v>
      </c>
    </row>
    <row r="138" spans="1:13" x14ac:dyDescent="0.25">
      <c r="A138" s="1319">
        <v>7.5</v>
      </c>
      <c r="B138" s="1318" t="s">
        <v>852</v>
      </c>
      <c r="C138" s="1335" t="s">
        <v>853</v>
      </c>
      <c r="D138" s="1289" t="s">
        <v>973</v>
      </c>
      <c r="E138" s="1290">
        <v>137</v>
      </c>
      <c r="F138" s="1303">
        <v>6.6</v>
      </c>
      <c r="G138" s="1302" t="s">
        <v>859</v>
      </c>
      <c r="H138" s="711" t="s">
        <v>854</v>
      </c>
      <c r="I138" s="711" t="s">
        <v>978</v>
      </c>
      <c r="J138" s="1324" t="s">
        <v>860</v>
      </c>
    </row>
    <row r="139" spans="1:13" x14ac:dyDescent="0.25">
      <c r="A139" s="1319">
        <v>7.6</v>
      </c>
      <c r="B139" s="1318" t="s">
        <v>852</v>
      </c>
      <c r="C139" s="1335" t="s">
        <v>853</v>
      </c>
      <c r="D139" s="1289" t="s">
        <v>973</v>
      </c>
      <c r="E139" s="1290">
        <v>138</v>
      </c>
      <c r="F139" s="1303">
        <v>7.1</v>
      </c>
      <c r="G139" s="1302" t="s">
        <v>852</v>
      </c>
      <c r="H139" s="711" t="s">
        <v>854</v>
      </c>
      <c r="I139" s="711" t="s">
        <v>978</v>
      </c>
      <c r="J139" s="1296" t="s">
        <v>855</v>
      </c>
    </row>
    <row r="140" spans="1:13" x14ac:dyDescent="0.25">
      <c r="A140" s="1319">
        <v>7.7</v>
      </c>
      <c r="B140" s="1318" t="s">
        <v>852</v>
      </c>
      <c r="C140" s="1335" t="s">
        <v>853</v>
      </c>
      <c r="D140" s="1289" t="s">
        <v>973</v>
      </c>
      <c r="E140" s="1290">
        <v>139</v>
      </c>
      <c r="F140" s="1291" t="s">
        <v>800</v>
      </c>
      <c r="G140" s="1295" t="s">
        <v>958</v>
      </c>
      <c r="H140" s="737" t="s">
        <v>854</v>
      </c>
      <c r="I140" s="711" t="s">
        <v>978</v>
      </c>
      <c r="J140" s="1296" t="s">
        <v>891</v>
      </c>
    </row>
    <row r="141" spans="1:13" x14ac:dyDescent="0.25">
      <c r="A141" s="1319">
        <v>7.8</v>
      </c>
      <c r="B141" s="1318" t="s">
        <v>852</v>
      </c>
      <c r="C141" s="1335" t="s">
        <v>853</v>
      </c>
      <c r="D141" s="1289" t="s">
        <v>973</v>
      </c>
      <c r="E141" s="1290">
        <v>140</v>
      </c>
      <c r="F141" s="1291" t="s">
        <v>802</v>
      </c>
      <c r="G141" s="1295" t="s">
        <v>960</v>
      </c>
      <c r="H141" s="737" t="s">
        <v>854</v>
      </c>
      <c r="I141" s="711" t="s">
        <v>978</v>
      </c>
      <c r="J141" s="1296" t="s">
        <v>961</v>
      </c>
      <c r="M141" s="367">
        <f>240/20</f>
        <v>12</v>
      </c>
    </row>
    <row r="142" spans="1:13" x14ac:dyDescent="0.25">
      <c r="A142" s="1325" t="s">
        <v>962</v>
      </c>
      <c r="B142" s="1318" t="s">
        <v>548</v>
      </c>
      <c r="C142" s="1335" t="s">
        <v>853</v>
      </c>
      <c r="D142" s="1289" t="s">
        <v>973</v>
      </c>
      <c r="E142" s="1290">
        <v>141</v>
      </c>
      <c r="F142" s="1291" t="s">
        <v>803</v>
      </c>
      <c r="G142" s="1295" t="s">
        <v>852</v>
      </c>
      <c r="H142" s="737" t="s">
        <v>854</v>
      </c>
      <c r="I142" s="711" t="s">
        <v>978</v>
      </c>
      <c r="J142" s="1296" t="s">
        <v>855</v>
      </c>
    </row>
    <row r="143" spans="1:13" x14ac:dyDescent="0.25">
      <c r="A143" s="1319" t="s">
        <v>963</v>
      </c>
      <c r="B143" s="1318" t="s">
        <v>852</v>
      </c>
      <c r="C143" s="1335" t="s">
        <v>853</v>
      </c>
      <c r="D143" s="1289" t="s">
        <v>973</v>
      </c>
      <c r="E143" s="1290">
        <v>142</v>
      </c>
      <c r="F143" s="1291" t="s">
        <v>805</v>
      </c>
      <c r="G143" s="1302" t="s">
        <v>548</v>
      </c>
      <c r="H143" s="737" t="s">
        <v>854</v>
      </c>
      <c r="I143" s="711" t="s">
        <v>978</v>
      </c>
      <c r="J143" s="1296" t="s">
        <v>548</v>
      </c>
    </row>
    <row r="144" spans="1:13" x14ac:dyDescent="0.25">
      <c r="A144" s="1319" t="s">
        <v>964</v>
      </c>
      <c r="B144" s="1318" t="s">
        <v>852</v>
      </c>
      <c r="C144" s="1335" t="s">
        <v>853</v>
      </c>
      <c r="D144" s="1289" t="s">
        <v>973</v>
      </c>
      <c r="E144" s="1290">
        <v>143</v>
      </c>
      <c r="F144" s="1291" t="s">
        <v>806</v>
      </c>
      <c r="G144" s="1302" t="s">
        <v>548</v>
      </c>
      <c r="H144" s="737" t="s">
        <v>854</v>
      </c>
      <c r="I144" s="711" t="s">
        <v>978</v>
      </c>
      <c r="J144" s="1296" t="s">
        <v>548</v>
      </c>
    </row>
    <row r="145" spans="1:10" x14ac:dyDescent="0.25">
      <c r="A145" s="1319" t="s">
        <v>814</v>
      </c>
      <c r="B145" s="1318" t="s">
        <v>852</v>
      </c>
      <c r="C145" s="1335" t="s">
        <v>853</v>
      </c>
      <c r="D145" s="1289" t="s">
        <v>973</v>
      </c>
      <c r="E145" s="1290">
        <v>144</v>
      </c>
      <c r="F145" s="1291" t="s">
        <v>808</v>
      </c>
      <c r="G145" s="1302" t="s">
        <v>868</v>
      </c>
      <c r="H145" s="737" t="s">
        <v>854</v>
      </c>
      <c r="I145" s="711" t="s">
        <v>978</v>
      </c>
      <c r="J145" s="1296" t="s">
        <v>883</v>
      </c>
    </row>
    <row r="146" spans="1:10" x14ac:dyDescent="0.25">
      <c r="A146" s="1319">
        <v>7.11</v>
      </c>
      <c r="B146" s="1318" t="s">
        <v>852</v>
      </c>
      <c r="C146" s="1335" t="s">
        <v>853</v>
      </c>
      <c r="D146" s="1289" t="s">
        <v>973</v>
      </c>
      <c r="E146" s="1290">
        <v>145</v>
      </c>
      <c r="F146" s="1303">
        <v>7.5</v>
      </c>
      <c r="G146" s="1302" t="s">
        <v>852</v>
      </c>
      <c r="H146" s="711" t="s">
        <v>854</v>
      </c>
      <c r="I146" s="711" t="s">
        <v>978</v>
      </c>
      <c r="J146" s="1296" t="s">
        <v>855</v>
      </c>
    </row>
    <row r="147" spans="1:10" x14ac:dyDescent="0.25">
      <c r="A147" s="1319">
        <v>7.12</v>
      </c>
      <c r="B147" s="1318" t="s">
        <v>852</v>
      </c>
      <c r="C147" s="1335" t="s">
        <v>853</v>
      </c>
      <c r="D147" s="1289" t="s">
        <v>973</v>
      </c>
      <c r="E147" s="1290">
        <v>146</v>
      </c>
      <c r="F147" s="1303">
        <v>7.6</v>
      </c>
      <c r="G147" s="1302" t="s">
        <v>852</v>
      </c>
      <c r="H147" s="711" t="s">
        <v>854</v>
      </c>
      <c r="I147" s="711" t="s">
        <v>978</v>
      </c>
      <c r="J147" s="1296" t="s">
        <v>855</v>
      </c>
    </row>
    <row r="148" spans="1:10" x14ac:dyDescent="0.25">
      <c r="A148" s="1319">
        <v>7.13</v>
      </c>
      <c r="B148" s="1318" t="s">
        <v>548</v>
      </c>
      <c r="C148" s="1335" t="s">
        <v>853</v>
      </c>
      <c r="D148" s="1289" t="s">
        <v>973</v>
      </c>
      <c r="E148" s="1290">
        <v>147</v>
      </c>
      <c r="F148" s="1303">
        <v>7.7</v>
      </c>
      <c r="G148" s="1302" t="s">
        <v>852</v>
      </c>
      <c r="H148" s="711" t="s">
        <v>854</v>
      </c>
      <c r="I148" s="711" t="s">
        <v>978</v>
      </c>
      <c r="J148" s="1296" t="s">
        <v>855</v>
      </c>
    </row>
    <row r="149" spans="1:10" x14ac:dyDescent="0.25">
      <c r="A149" s="1319">
        <v>7.14</v>
      </c>
      <c r="B149" s="1318" t="s">
        <v>852</v>
      </c>
      <c r="C149" s="1335" t="s">
        <v>853</v>
      </c>
      <c r="D149" s="1289" t="s">
        <v>973</v>
      </c>
      <c r="E149" s="1290">
        <v>148</v>
      </c>
      <c r="F149" s="1303">
        <v>7.8</v>
      </c>
      <c r="G149" s="1302" t="s">
        <v>852</v>
      </c>
      <c r="H149" s="711" t="s">
        <v>854</v>
      </c>
      <c r="I149" s="711" t="s">
        <v>978</v>
      </c>
      <c r="J149" s="1296" t="s">
        <v>855</v>
      </c>
    </row>
    <row r="150" spans="1:10" x14ac:dyDescent="0.25">
      <c r="A150" s="1319">
        <v>7.15</v>
      </c>
      <c r="B150" s="1318" t="s">
        <v>852</v>
      </c>
      <c r="C150" s="1335" t="s">
        <v>853</v>
      </c>
      <c r="D150" s="1289" t="s">
        <v>973</v>
      </c>
      <c r="E150" s="1290">
        <v>149</v>
      </c>
      <c r="F150" s="1303">
        <v>7.9</v>
      </c>
      <c r="G150" s="1302" t="s">
        <v>852</v>
      </c>
      <c r="H150" s="711" t="s">
        <v>854</v>
      </c>
      <c r="I150" s="711" t="s">
        <v>978</v>
      </c>
      <c r="J150" s="1296" t="s">
        <v>855</v>
      </c>
    </row>
    <row r="151" spans="1:10" x14ac:dyDescent="0.25">
      <c r="A151" s="1319">
        <v>7.16</v>
      </c>
      <c r="B151" s="1318" t="s">
        <v>852</v>
      </c>
      <c r="C151" s="1335" t="s">
        <v>853</v>
      </c>
      <c r="D151" s="1289" t="s">
        <v>973</v>
      </c>
      <c r="E151" s="1290">
        <v>150</v>
      </c>
      <c r="F151" s="1307" t="s">
        <v>814</v>
      </c>
      <c r="G151" s="1302" t="s">
        <v>998</v>
      </c>
      <c r="H151" s="711" t="s">
        <v>854</v>
      </c>
      <c r="I151" s="711" t="s">
        <v>978</v>
      </c>
      <c r="J151" s="1296" t="s">
        <v>891</v>
      </c>
    </row>
    <row r="152" spans="1:10" x14ac:dyDescent="0.25">
      <c r="A152" s="1322">
        <v>7.17</v>
      </c>
      <c r="B152" s="1323" t="s">
        <v>916</v>
      </c>
      <c r="C152" s="1335" t="s">
        <v>853</v>
      </c>
      <c r="D152" s="1289" t="s">
        <v>973</v>
      </c>
      <c r="E152" s="1290">
        <v>151</v>
      </c>
      <c r="F152" s="1303">
        <v>7.11</v>
      </c>
      <c r="G152" s="1302" t="s">
        <v>852</v>
      </c>
      <c r="H152" s="711" t="s">
        <v>854</v>
      </c>
      <c r="I152" s="711" t="s">
        <v>978</v>
      </c>
      <c r="J152" s="1296" t="s">
        <v>855</v>
      </c>
    </row>
    <row r="153" spans="1:10" x14ac:dyDescent="0.25">
      <c r="A153" s="1315" t="s">
        <v>968</v>
      </c>
      <c r="B153" s="1316" t="s">
        <v>852</v>
      </c>
      <c r="C153" s="1335" t="s">
        <v>853</v>
      </c>
      <c r="D153" s="1289" t="s">
        <v>973</v>
      </c>
      <c r="E153" s="1290">
        <v>152</v>
      </c>
      <c r="F153" s="1303">
        <v>7.12</v>
      </c>
      <c r="G153" s="1302" t="s">
        <v>852</v>
      </c>
      <c r="H153" s="711" t="s">
        <v>854</v>
      </c>
      <c r="I153" s="711" t="s">
        <v>978</v>
      </c>
      <c r="J153" s="1296" t="s">
        <v>855</v>
      </c>
    </row>
    <row r="154" spans="1:10" x14ac:dyDescent="0.25">
      <c r="A154" s="1319" t="s">
        <v>969</v>
      </c>
      <c r="B154" s="1318" t="s">
        <v>852</v>
      </c>
      <c r="C154" s="1335" t="s">
        <v>853</v>
      </c>
      <c r="D154" s="1289" t="s">
        <v>973</v>
      </c>
      <c r="E154" s="1290">
        <v>153</v>
      </c>
      <c r="F154" s="1291" t="s">
        <v>818</v>
      </c>
      <c r="G154" s="1302" t="s">
        <v>548</v>
      </c>
      <c r="H154" s="737" t="s">
        <v>854</v>
      </c>
      <c r="I154" s="711" t="s">
        <v>978</v>
      </c>
      <c r="J154" s="1296" t="s">
        <v>548</v>
      </c>
    </row>
    <row r="155" spans="1:10" x14ac:dyDescent="0.25">
      <c r="A155" s="1319" t="s">
        <v>970</v>
      </c>
      <c r="B155" s="1318" t="s">
        <v>852</v>
      </c>
      <c r="C155" s="1335" t="s">
        <v>853</v>
      </c>
      <c r="D155" s="1289" t="s">
        <v>973</v>
      </c>
      <c r="E155" s="1290">
        <v>154</v>
      </c>
      <c r="F155" s="1291" t="s">
        <v>820</v>
      </c>
      <c r="G155" s="1302" t="s">
        <v>999</v>
      </c>
      <c r="H155" s="737" t="s">
        <v>854</v>
      </c>
      <c r="I155" s="711" t="s">
        <v>978</v>
      </c>
      <c r="J155" s="1296" t="s">
        <v>1000</v>
      </c>
    </row>
    <row r="156" spans="1:10" x14ac:dyDescent="0.25">
      <c r="A156" s="1319" t="s">
        <v>971</v>
      </c>
      <c r="B156" s="1318" t="s">
        <v>916</v>
      </c>
      <c r="C156" s="1335" t="s">
        <v>853</v>
      </c>
      <c r="D156" s="1289" t="s">
        <v>973</v>
      </c>
      <c r="E156" s="1290">
        <v>155</v>
      </c>
      <c r="F156" s="1303">
        <v>7.14</v>
      </c>
      <c r="G156" s="1302" t="s">
        <v>852</v>
      </c>
      <c r="H156" s="711" t="s">
        <v>854</v>
      </c>
      <c r="I156" s="711" t="s">
        <v>978</v>
      </c>
      <c r="J156" s="1296" t="s">
        <v>855</v>
      </c>
    </row>
    <row r="157" spans="1:10" s="1098" customFormat="1" x14ac:dyDescent="0.25">
      <c r="A157" s="1341" t="s">
        <v>972</v>
      </c>
      <c r="B157" s="1308" t="s">
        <v>861</v>
      </c>
      <c r="C157" s="1308" t="s">
        <v>853</v>
      </c>
      <c r="D157" s="1308" t="s">
        <v>973</v>
      </c>
      <c r="E157" s="1290">
        <v>156</v>
      </c>
      <c r="F157" s="1313">
        <v>7.15</v>
      </c>
      <c r="G157" s="1302" t="s">
        <v>852</v>
      </c>
      <c r="H157" s="711" t="s">
        <v>854</v>
      </c>
      <c r="I157" s="711" t="s">
        <v>978</v>
      </c>
      <c r="J157" s="1328" t="s">
        <v>855</v>
      </c>
    </row>
    <row r="158" spans="1:10" s="1098" customFormat="1" x14ac:dyDescent="0.25">
      <c r="A158" s="1299">
        <v>1.1000000000000001</v>
      </c>
      <c r="B158" s="1342" t="s">
        <v>852</v>
      </c>
      <c r="C158" s="1343" t="s">
        <v>853</v>
      </c>
      <c r="D158" s="1308" t="s">
        <v>1001</v>
      </c>
      <c r="E158" s="1290">
        <v>157</v>
      </c>
      <c r="F158" s="1313">
        <v>7.16</v>
      </c>
      <c r="G158" s="1302" t="s">
        <v>852</v>
      </c>
      <c r="H158" s="711" t="s">
        <v>854</v>
      </c>
      <c r="I158" s="711" t="s">
        <v>978</v>
      </c>
      <c r="J158" s="1344" t="s">
        <v>855</v>
      </c>
    </row>
    <row r="159" spans="1:10" x14ac:dyDescent="0.25">
      <c r="A159" s="1345">
        <v>1.2</v>
      </c>
      <c r="B159" s="1346" t="s">
        <v>856</v>
      </c>
      <c r="C159" s="1333" t="s">
        <v>853</v>
      </c>
      <c r="D159" s="1289" t="s">
        <v>1001</v>
      </c>
      <c r="E159" s="1290">
        <v>158</v>
      </c>
      <c r="F159" s="1313">
        <v>7.17</v>
      </c>
      <c r="G159" s="1302" t="s">
        <v>852</v>
      </c>
      <c r="H159" s="737" t="s">
        <v>854</v>
      </c>
      <c r="I159" s="711" t="s">
        <v>978</v>
      </c>
      <c r="J159" s="1334" t="s">
        <v>855</v>
      </c>
    </row>
    <row r="160" spans="1:10" x14ac:dyDescent="0.25">
      <c r="A160" s="1299">
        <v>2.1</v>
      </c>
      <c r="B160" s="1294" t="s">
        <v>852</v>
      </c>
      <c r="C160" s="1335" t="s">
        <v>853</v>
      </c>
      <c r="D160" s="1289" t="s">
        <v>1001</v>
      </c>
      <c r="E160" s="1290">
        <v>159</v>
      </c>
      <c r="F160" s="1291" t="s">
        <v>827</v>
      </c>
      <c r="G160" s="1302" t="s">
        <v>852</v>
      </c>
      <c r="H160" s="737" t="s">
        <v>854</v>
      </c>
      <c r="I160" s="711" t="s">
        <v>978</v>
      </c>
      <c r="J160" s="1296" t="s">
        <v>855</v>
      </c>
    </row>
    <row r="161" spans="1:10" x14ac:dyDescent="0.25">
      <c r="A161" s="1300">
        <v>2.2000000000000002</v>
      </c>
      <c r="B161" s="1301" t="s">
        <v>548</v>
      </c>
      <c r="C161" s="1335" t="s">
        <v>853</v>
      </c>
      <c r="D161" s="1289" t="s">
        <v>1001</v>
      </c>
      <c r="E161" s="1290">
        <v>160</v>
      </c>
      <c r="F161" s="1291" t="s">
        <v>829</v>
      </c>
      <c r="G161" s="1295" t="s">
        <v>916</v>
      </c>
      <c r="H161" s="737" t="s">
        <v>854</v>
      </c>
      <c r="I161" s="711" t="s">
        <v>978</v>
      </c>
      <c r="J161" s="1296" t="s">
        <v>917</v>
      </c>
    </row>
    <row r="162" spans="1:10" x14ac:dyDescent="0.25">
      <c r="A162" s="1300">
        <v>2.2999999999999998</v>
      </c>
      <c r="B162" s="1301" t="s">
        <v>852</v>
      </c>
      <c r="C162" s="1335" t="s">
        <v>853</v>
      </c>
      <c r="D162" s="1289" t="s">
        <v>1001</v>
      </c>
      <c r="E162" s="1290">
        <v>161</v>
      </c>
      <c r="F162" s="1303">
        <v>8.1999999999999993</v>
      </c>
      <c r="G162" s="1302" t="s">
        <v>974</v>
      </c>
      <c r="H162" s="711" t="s">
        <v>854</v>
      </c>
      <c r="I162" s="711" t="s">
        <v>978</v>
      </c>
      <c r="J162" s="1296" t="s">
        <v>975</v>
      </c>
    </row>
    <row r="163" spans="1:10" x14ac:dyDescent="0.25">
      <c r="A163" s="1300">
        <v>2.4</v>
      </c>
      <c r="B163" s="1301" t="s">
        <v>864</v>
      </c>
      <c r="C163" s="1335" t="s">
        <v>853</v>
      </c>
      <c r="D163" s="1289" t="s">
        <v>1001</v>
      </c>
      <c r="E163" s="1290">
        <v>162</v>
      </c>
      <c r="F163" s="1303">
        <v>8.3000000000000007</v>
      </c>
      <c r="G163" s="1302" t="s">
        <v>852</v>
      </c>
      <c r="H163" s="711" t="s">
        <v>854</v>
      </c>
      <c r="I163" s="711" t="s">
        <v>978</v>
      </c>
      <c r="J163" s="1296" t="s">
        <v>855</v>
      </c>
    </row>
    <row r="164" spans="1:10" x14ac:dyDescent="0.25">
      <c r="A164" s="1300">
        <v>2.5</v>
      </c>
      <c r="B164" s="1301" t="s">
        <v>867</v>
      </c>
      <c r="C164" s="1335" t="s">
        <v>853</v>
      </c>
      <c r="D164" s="1289" t="s">
        <v>1001</v>
      </c>
      <c r="E164" s="1290">
        <v>163</v>
      </c>
      <c r="F164" s="1303">
        <v>8.4</v>
      </c>
      <c r="G164" s="1302" t="s">
        <v>976</v>
      </c>
      <c r="H164" s="711" t="s">
        <v>854</v>
      </c>
      <c r="I164" s="711" t="s">
        <v>978</v>
      </c>
      <c r="J164" s="1296" t="s">
        <v>977</v>
      </c>
    </row>
    <row r="165" spans="1:10" ht="15.75" thickBot="1" x14ac:dyDescent="0.3">
      <c r="A165" s="1300">
        <v>2.6</v>
      </c>
      <c r="B165" s="1301" t="s">
        <v>868</v>
      </c>
      <c r="C165" s="1335" t="s">
        <v>853</v>
      </c>
      <c r="D165" s="1289" t="s">
        <v>1001</v>
      </c>
      <c r="E165" s="1290">
        <v>164</v>
      </c>
      <c r="F165" s="1336">
        <v>8.5</v>
      </c>
      <c r="G165" s="1347" t="s">
        <v>852</v>
      </c>
      <c r="H165" s="1348" t="s">
        <v>854</v>
      </c>
      <c r="I165" s="711" t="s">
        <v>978</v>
      </c>
      <c r="J165" s="1339" t="s">
        <v>855</v>
      </c>
    </row>
    <row r="166" spans="1:10" ht="15.75" thickTop="1" x14ac:dyDescent="0.25">
      <c r="A166" s="1304" t="s">
        <v>869</v>
      </c>
      <c r="B166" s="1301" t="s">
        <v>548</v>
      </c>
      <c r="C166" s="1335" t="s">
        <v>853</v>
      </c>
      <c r="D166" s="1289" t="s">
        <v>1001</v>
      </c>
      <c r="E166" s="1290">
        <v>165</v>
      </c>
      <c r="F166" s="1291" t="s">
        <v>711</v>
      </c>
      <c r="G166" s="1349" t="s">
        <v>852</v>
      </c>
      <c r="H166" s="711" t="s">
        <v>854</v>
      </c>
      <c r="I166" s="711" t="s">
        <v>1002</v>
      </c>
      <c r="J166" s="1334" t="s">
        <v>855</v>
      </c>
    </row>
    <row r="167" spans="1:10" x14ac:dyDescent="0.25">
      <c r="A167" s="1300" t="s">
        <v>870</v>
      </c>
      <c r="B167" s="1301" t="s">
        <v>871</v>
      </c>
      <c r="C167" s="1335" t="s">
        <v>853</v>
      </c>
      <c r="D167" s="1289" t="s">
        <v>1001</v>
      </c>
      <c r="E167" s="1290">
        <v>166</v>
      </c>
      <c r="F167" s="1291" t="s">
        <v>713</v>
      </c>
      <c r="G167" s="1295" t="s">
        <v>857</v>
      </c>
      <c r="H167" s="711" t="s">
        <v>854</v>
      </c>
      <c r="I167" s="711" t="s">
        <v>1002</v>
      </c>
      <c r="J167" s="1296" t="s">
        <v>858</v>
      </c>
    </row>
    <row r="168" spans="1:10" x14ac:dyDescent="0.25">
      <c r="A168" s="1300">
        <v>2.8</v>
      </c>
      <c r="B168" s="1301" t="s">
        <v>873</v>
      </c>
      <c r="C168" s="1335" t="s">
        <v>853</v>
      </c>
      <c r="D168" s="1289" t="s">
        <v>1001</v>
      </c>
      <c r="E168" s="1290">
        <v>167</v>
      </c>
      <c r="F168" s="1303">
        <v>1.2</v>
      </c>
      <c r="G168" s="1302" t="s">
        <v>979</v>
      </c>
      <c r="H168" s="711" t="s">
        <v>854</v>
      </c>
      <c r="I168" s="711" t="s">
        <v>1002</v>
      </c>
      <c r="J168" s="1296" t="s">
        <v>860</v>
      </c>
    </row>
    <row r="169" spans="1:10" x14ac:dyDescent="0.25">
      <c r="A169" s="1300">
        <v>2.9</v>
      </c>
      <c r="B169" s="1301" t="s">
        <v>876</v>
      </c>
      <c r="C169" s="1335" t="s">
        <v>853</v>
      </c>
      <c r="D169" s="1289" t="s">
        <v>1001</v>
      </c>
      <c r="E169" s="1290">
        <v>168</v>
      </c>
      <c r="F169" s="1291" t="s">
        <v>716</v>
      </c>
      <c r="G169" s="1302" t="s">
        <v>852</v>
      </c>
      <c r="H169" s="711" t="s">
        <v>854</v>
      </c>
      <c r="I169" s="711" t="s">
        <v>1002</v>
      </c>
      <c r="J169" s="1296" t="s">
        <v>855</v>
      </c>
    </row>
    <row r="170" spans="1:10" x14ac:dyDescent="0.25">
      <c r="A170" s="1305" t="s">
        <v>735</v>
      </c>
      <c r="B170" s="1298" t="s">
        <v>868</v>
      </c>
      <c r="C170" s="1335" t="s">
        <v>853</v>
      </c>
      <c r="D170" s="1289" t="s">
        <v>1001</v>
      </c>
      <c r="E170" s="1290">
        <v>169</v>
      </c>
      <c r="F170" s="1291" t="s">
        <v>718</v>
      </c>
      <c r="G170" s="1302" t="s">
        <v>862</v>
      </c>
      <c r="H170" s="711" t="s">
        <v>854</v>
      </c>
      <c r="I170" s="711" t="s">
        <v>1002</v>
      </c>
      <c r="J170" s="1296" t="s">
        <v>863</v>
      </c>
    </row>
    <row r="171" spans="1:10" x14ac:dyDescent="0.25">
      <c r="A171" s="1299" t="s">
        <v>877</v>
      </c>
      <c r="B171" s="1294" t="s">
        <v>852</v>
      </c>
      <c r="C171" s="1335" t="s">
        <v>853</v>
      </c>
      <c r="D171" s="1289" t="s">
        <v>1001</v>
      </c>
      <c r="E171" s="1290">
        <v>170</v>
      </c>
      <c r="F171" s="1303">
        <v>1.4</v>
      </c>
      <c r="G171" s="1302" t="s">
        <v>865</v>
      </c>
      <c r="H171" s="711" t="s">
        <v>854</v>
      </c>
      <c r="I171" s="711" t="s">
        <v>1002</v>
      </c>
      <c r="J171" s="1296" t="s">
        <v>866</v>
      </c>
    </row>
    <row r="172" spans="1:10" x14ac:dyDescent="0.25">
      <c r="A172" s="1300" t="s">
        <v>880</v>
      </c>
      <c r="B172" s="1301" t="s">
        <v>852</v>
      </c>
      <c r="C172" s="1335" t="s">
        <v>853</v>
      </c>
      <c r="D172" s="1289" t="s">
        <v>1001</v>
      </c>
      <c r="E172" s="1290">
        <v>171</v>
      </c>
      <c r="F172" s="1303">
        <v>2.1</v>
      </c>
      <c r="G172" s="1302" t="s">
        <v>852</v>
      </c>
      <c r="H172" s="711" t="s">
        <v>854</v>
      </c>
      <c r="I172" s="711" t="s">
        <v>1002</v>
      </c>
      <c r="J172" s="1296" t="s">
        <v>855</v>
      </c>
    </row>
    <row r="173" spans="1:10" x14ac:dyDescent="0.25">
      <c r="A173" s="1300" t="s">
        <v>741</v>
      </c>
      <c r="B173" s="1306" t="s">
        <v>882</v>
      </c>
      <c r="C173" s="1335" t="s">
        <v>853</v>
      </c>
      <c r="D173" s="1289" t="s">
        <v>1001</v>
      </c>
      <c r="E173" s="1290">
        <v>172</v>
      </c>
      <c r="F173" s="1303">
        <v>2.2000000000000002</v>
      </c>
      <c r="G173" s="1302" t="s">
        <v>548</v>
      </c>
      <c r="H173" s="711" t="s">
        <v>854</v>
      </c>
      <c r="I173" s="711" t="s">
        <v>1002</v>
      </c>
      <c r="J173" s="1296" t="s">
        <v>548</v>
      </c>
    </row>
    <row r="174" spans="1:10" x14ac:dyDescent="0.25">
      <c r="A174" s="1300" t="s">
        <v>742</v>
      </c>
      <c r="B174" s="1301" t="s">
        <v>864</v>
      </c>
      <c r="C174" s="1335" t="s">
        <v>853</v>
      </c>
      <c r="D174" s="1289" t="s">
        <v>1001</v>
      </c>
      <c r="E174" s="1290">
        <v>173</v>
      </c>
      <c r="F174" s="1303">
        <v>2.2999999999999998</v>
      </c>
      <c r="G174" s="1302" t="s">
        <v>852</v>
      </c>
      <c r="H174" s="711" t="s">
        <v>854</v>
      </c>
      <c r="I174" s="711" t="s">
        <v>1002</v>
      </c>
      <c r="J174" s="1296" t="s">
        <v>855</v>
      </c>
    </row>
    <row r="175" spans="1:10" x14ac:dyDescent="0.25">
      <c r="A175" s="1300" t="s">
        <v>743</v>
      </c>
      <c r="B175" s="1301" t="s">
        <v>884</v>
      </c>
      <c r="C175" s="1335" t="s">
        <v>853</v>
      </c>
      <c r="D175" s="1289" t="s">
        <v>1001</v>
      </c>
      <c r="E175" s="1290">
        <v>174</v>
      </c>
      <c r="F175" s="1303">
        <v>2.4</v>
      </c>
      <c r="G175" s="1295" t="s">
        <v>864</v>
      </c>
      <c r="H175" s="711" t="s">
        <v>854</v>
      </c>
      <c r="I175" s="711" t="s">
        <v>1002</v>
      </c>
      <c r="J175" s="1296" t="s">
        <v>872</v>
      </c>
    </row>
    <row r="176" spans="1:10" x14ac:dyDescent="0.25">
      <c r="A176" s="1300" t="s">
        <v>885</v>
      </c>
      <c r="B176" s="1306" t="s">
        <v>886</v>
      </c>
      <c r="C176" s="1335" t="s">
        <v>853</v>
      </c>
      <c r="D176" s="1289" t="s">
        <v>1001</v>
      </c>
      <c r="E176" s="1290">
        <v>175</v>
      </c>
      <c r="F176" s="1303">
        <v>2.5</v>
      </c>
      <c r="G176" s="1295" t="s">
        <v>874</v>
      </c>
      <c r="H176" s="711" t="s">
        <v>854</v>
      </c>
      <c r="I176" s="711" t="s">
        <v>1002</v>
      </c>
      <c r="J176" s="1296" t="s">
        <v>875</v>
      </c>
    </row>
    <row r="177" spans="1:10" x14ac:dyDescent="0.25">
      <c r="A177" s="1300" t="s">
        <v>887</v>
      </c>
      <c r="B177" s="1301" t="s">
        <v>888</v>
      </c>
      <c r="C177" s="1335" t="s">
        <v>853</v>
      </c>
      <c r="D177" s="1289" t="s">
        <v>1001</v>
      </c>
      <c r="E177" s="1290">
        <v>176</v>
      </c>
      <c r="F177" s="1303">
        <v>2.6</v>
      </c>
      <c r="G177" s="1302" t="s">
        <v>852</v>
      </c>
      <c r="H177" s="711" t="s">
        <v>854</v>
      </c>
      <c r="I177" s="711" t="s">
        <v>1002</v>
      </c>
      <c r="J177" s="1296" t="s">
        <v>855</v>
      </c>
    </row>
    <row r="178" spans="1:10" x14ac:dyDescent="0.25">
      <c r="A178" s="1300" t="s">
        <v>892</v>
      </c>
      <c r="B178" s="1298" t="s">
        <v>852</v>
      </c>
      <c r="C178" s="1335" t="s">
        <v>853</v>
      </c>
      <c r="D178" s="1289" t="s">
        <v>1001</v>
      </c>
      <c r="E178" s="1290">
        <v>177</v>
      </c>
      <c r="F178" s="1291" t="s">
        <v>729</v>
      </c>
      <c r="G178" s="1295" t="s">
        <v>852</v>
      </c>
      <c r="H178" s="737" t="s">
        <v>854</v>
      </c>
      <c r="I178" s="711" t="s">
        <v>1002</v>
      </c>
      <c r="J178" s="1296" t="s">
        <v>855</v>
      </c>
    </row>
    <row r="179" spans="1:10" x14ac:dyDescent="0.25">
      <c r="A179" s="1309" t="s">
        <v>894</v>
      </c>
      <c r="B179" s="1310" t="s">
        <v>852</v>
      </c>
      <c r="C179" s="1335" t="s">
        <v>853</v>
      </c>
      <c r="D179" s="1289" t="s">
        <v>1001</v>
      </c>
      <c r="E179" s="1290">
        <v>178</v>
      </c>
      <c r="F179" s="1291" t="s">
        <v>731</v>
      </c>
      <c r="G179" s="1295" t="s">
        <v>878</v>
      </c>
      <c r="H179" s="737" t="s">
        <v>854</v>
      </c>
      <c r="I179" s="711" t="s">
        <v>1002</v>
      </c>
      <c r="J179" s="1296" t="s">
        <v>879</v>
      </c>
    </row>
    <row r="180" spans="1:10" x14ac:dyDescent="0.25">
      <c r="A180" s="1311" t="s">
        <v>898</v>
      </c>
      <c r="B180" s="1312" t="s">
        <v>888</v>
      </c>
      <c r="C180" s="1335" t="s">
        <v>853</v>
      </c>
      <c r="D180" s="1289" t="s">
        <v>1001</v>
      </c>
      <c r="E180" s="1290">
        <v>179</v>
      </c>
      <c r="F180" s="1303">
        <v>2.8</v>
      </c>
      <c r="G180" s="1302" t="s">
        <v>981</v>
      </c>
      <c r="H180" s="711" t="s">
        <v>854</v>
      </c>
      <c r="I180" s="711" t="s">
        <v>1002</v>
      </c>
      <c r="J180" s="1296" t="s">
        <v>982</v>
      </c>
    </row>
    <row r="181" spans="1:10" x14ac:dyDescent="0.25">
      <c r="A181" s="1311" t="s">
        <v>900</v>
      </c>
      <c r="B181" s="1314" t="s">
        <v>901</v>
      </c>
      <c r="C181" s="1335" t="s">
        <v>853</v>
      </c>
      <c r="D181" s="1289" t="s">
        <v>1001</v>
      </c>
      <c r="E181" s="1290">
        <v>180</v>
      </c>
      <c r="F181" s="1303">
        <v>2.9</v>
      </c>
      <c r="G181" s="1302" t="s">
        <v>864</v>
      </c>
      <c r="H181" s="711" t="s">
        <v>854</v>
      </c>
      <c r="I181" s="711" t="s">
        <v>1002</v>
      </c>
      <c r="J181" s="1296" t="s">
        <v>872</v>
      </c>
    </row>
    <row r="182" spans="1:10" x14ac:dyDescent="0.25">
      <c r="A182" s="1315" t="s">
        <v>904</v>
      </c>
      <c r="B182" s="1316" t="s">
        <v>548</v>
      </c>
      <c r="C182" s="1335" t="s">
        <v>853</v>
      </c>
      <c r="D182" s="1289" t="s">
        <v>1001</v>
      </c>
      <c r="E182" s="1290">
        <v>181</v>
      </c>
      <c r="F182" s="1307" t="s">
        <v>735</v>
      </c>
      <c r="G182" s="1295" t="s">
        <v>868</v>
      </c>
      <c r="H182" s="711" t="s">
        <v>854</v>
      </c>
      <c r="I182" s="711" t="s">
        <v>1002</v>
      </c>
      <c r="J182" s="1296" t="s">
        <v>883</v>
      </c>
    </row>
    <row r="183" spans="1:10" x14ac:dyDescent="0.25">
      <c r="A183" s="1317" t="s">
        <v>905</v>
      </c>
      <c r="B183" s="1318" t="s">
        <v>852</v>
      </c>
      <c r="C183" s="1335" t="s">
        <v>853</v>
      </c>
      <c r="D183" s="1289" t="s">
        <v>1001</v>
      </c>
      <c r="E183" s="1290">
        <v>182</v>
      </c>
      <c r="F183" s="1303">
        <v>3.1</v>
      </c>
      <c r="G183" s="1302" t="s">
        <v>852</v>
      </c>
      <c r="H183" s="711" t="s">
        <v>854</v>
      </c>
      <c r="I183" s="711" t="s">
        <v>1002</v>
      </c>
      <c r="J183" s="1296" t="s">
        <v>855</v>
      </c>
    </row>
    <row r="184" spans="1:10" x14ac:dyDescent="0.25">
      <c r="A184" s="1319" t="s">
        <v>906</v>
      </c>
      <c r="B184" s="1318" t="s">
        <v>548</v>
      </c>
      <c r="C184" s="1335" t="s">
        <v>853</v>
      </c>
      <c r="D184" s="1289" t="s">
        <v>1001</v>
      </c>
      <c r="E184" s="1290">
        <v>183</v>
      </c>
      <c r="F184" s="1303">
        <v>3.2</v>
      </c>
      <c r="G184" s="1302" t="s">
        <v>852</v>
      </c>
      <c r="H184" s="711" t="s">
        <v>854</v>
      </c>
      <c r="I184" s="711" t="s">
        <v>1002</v>
      </c>
      <c r="J184" s="1296" t="s">
        <v>855</v>
      </c>
    </row>
    <row r="185" spans="1:10" x14ac:dyDescent="0.25">
      <c r="A185" s="1317" t="s">
        <v>910</v>
      </c>
      <c r="B185" s="1318" t="s">
        <v>864</v>
      </c>
      <c r="C185" s="1335" t="s">
        <v>853</v>
      </c>
      <c r="D185" s="1289" t="s">
        <v>1001</v>
      </c>
      <c r="E185" s="1290">
        <v>184</v>
      </c>
      <c r="F185" s="1291" t="s">
        <v>889</v>
      </c>
      <c r="G185" s="1295" t="s">
        <v>890</v>
      </c>
      <c r="H185" s="737" t="s">
        <v>854</v>
      </c>
      <c r="I185" s="711" t="s">
        <v>1002</v>
      </c>
      <c r="J185" s="1296" t="s">
        <v>891</v>
      </c>
    </row>
    <row r="186" spans="1:10" x14ac:dyDescent="0.25">
      <c r="A186" s="1319" t="s">
        <v>911</v>
      </c>
      <c r="B186" s="1318" t="s">
        <v>852</v>
      </c>
      <c r="C186" s="1335" t="s">
        <v>853</v>
      </c>
      <c r="D186" s="1289" t="s">
        <v>1001</v>
      </c>
      <c r="E186" s="1290">
        <v>185</v>
      </c>
      <c r="F186" s="1291" t="s">
        <v>893</v>
      </c>
      <c r="G186" s="1295" t="s">
        <v>864</v>
      </c>
      <c r="H186" s="737" t="s">
        <v>854</v>
      </c>
      <c r="I186" s="711" t="s">
        <v>1002</v>
      </c>
      <c r="J186" s="1296" t="s">
        <v>872</v>
      </c>
    </row>
    <row r="187" spans="1:10" x14ac:dyDescent="0.25">
      <c r="A187" s="1319" t="s">
        <v>914</v>
      </c>
      <c r="B187" s="1320" t="s">
        <v>915</v>
      </c>
      <c r="C187" s="1335" t="s">
        <v>853</v>
      </c>
      <c r="D187" s="1289" t="s">
        <v>1001</v>
      </c>
      <c r="E187" s="1290">
        <v>186</v>
      </c>
      <c r="F187" s="1291" t="s">
        <v>895</v>
      </c>
      <c r="G187" s="1302" t="s">
        <v>896</v>
      </c>
      <c r="H187" s="737" t="s">
        <v>854</v>
      </c>
      <c r="I187" s="711" t="s">
        <v>1002</v>
      </c>
      <c r="J187" s="1296" t="s">
        <v>897</v>
      </c>
    </row>
    <row r="188" spans="1:10" x14ac:dyDescent="0.25">
      <c r="A188" s="1319" t="s">
        <v>918</v>
      </c>
      <c r="B188" s="1318" t="s">
        <v>868</v>
      </c>
      <c r="C188" s="1335" t="s">
        <v>853</v>
      </c>
      <c r="D188" s="1289" t="s">
        <v>1001</v>
      </c>
      <c r="E188" s="1290">
        <v>187</v>
      </c>
      <c r="F188" s="1303">
        <v>3.4</v>
      </c>
      <c r="G188" s="1302" t="s">
        <v>899</v>
      </c>
      <c r="H188" s="711" t="s">
        <v>854</v>
      </c>
      <c r="I188" s="711" t="s">
        <v>1002</v>
      </c>
      <c r="J188" s="1296" t="s">
        <v>891</v>
      </c>
    </row>
    <row r="189" spans="1:10" x14ac:dyDescent="0.25">
      <c r="A189" s="1319" t="s">
        <v>919</v>
      </c>
      <c r="B189" s="1318" t="s">
        <v>852</v>
      </c>
      <c r="C189" s="1335" t="s">
        <v>853</v>
      </c>
      <c r="D189" s="1289" t="s">
        <v>1001</v>
      </c>
      <c r="E189" s="1290">
        <v>188</v>
      </c>
      <c r="F189" s="1303">
        <v>3.5</v>
      </c>
      <c r="G189" s="1295" t="s">
        <v>902</v>
      </c>
      <c r="H189" s="711" t="s">
        <v>854</v>
      </c>
      <c r="I189" s="711" t="s">
        <v>1002</v>
      </c>
      <c r="J189" s="1296" t="s">
        <v>903</v>
      </c>
    </row>
    <row r="190" spans="1:10" x14ac:dyDescent="0.25">
      <c r="A190" s="1319" t="s">
        <v>920</v>
      </c>
      <c r="B190" s="1318" t="s">
        <v>548</v>
      </c>
      <c r="C190" s="1335" t="s">
        <v>853</v>
      </c>
      <c r="D190" s="1289" t="s">
        <v>1001</v>
      </c>
      <c r="E190" s="1290">
        <v>189</v>
      </c>
      <c r="F190" s="1303">
        <v>3.6</v>
      </c>
      <c r="G190" s="1302" t="s">
        <v>852</v>
      </c>
      <c r="H190" s="711" t="s">
        <v>854</v>
      </c>
      <c r="I190" s="711" t="s">
        <v>1002</v>
      </c>
      <c r="J190" s="1296" t="s">
        <v>855</v>
      </c>
    </row>
    <row r="191" spans="1:10" x14ac:dyDescent="0.25">
      <c r="A191" s="1317" t="s">
        <v>923</v>
      </c>
      <c r="B191" s="1318" t="s">
        <v>861</v>
      </c>
      <c r="C191" s="1335" t="s">
        <v>853</v>
      </c>
      <c r="D191" s="1289" t="s">
        <v>1001</v>
      </c>
      <c r="E191" s="1290">
        <v>190</v>
      </c>
      <c r="F191" s="1291" t="s">
        <v>750</v>
      </c>
      <c r="G191" s="1302" t="s">
        <v>852</v>
      </c>
      <c r="H191" s="737" t="s">
        <v>854</v>
      </c>
      <c r="I191" s="711" t="s">
        <v>1002</v>
      </c>
      <c r="J191" s="1296" t="s">
        <v>855</v>
      </c>
    </row>
    <row r="192" spans="1:10" x14ac:dyDescent="0.25">
      <c r="A192" s="1319" t="s">
        <v>924</v>
      </c>
      <c r="B192" s="1318" t="s">
        <v>925</v>
      </c>
      <c r="C192" s="1335" t="s">
        <v>853</v>
      </c>
      <c r="D192" s="1289" t="s">
        <v>1001</v>
      </c>
      <c r="E192" s="1290">
        <v>191</v>
      </c>
      <c r="F192" s="1291" t="s">
        <v>752</v>
      </c>
      <c r="G192" s="1302" t="s">
        <v>984</v>
      </c>
      <c r="H192" s="737" t="s">
        <v>854</v>
      </c>
      <c r="I192" s="711" t="s">
        <v>1002</v>
      </c>
      <c r="J192" s="1296" t="s">
        <v>909</v>
      </c>
    </row>
    <row r="193" spans="1:10" x14ac:dyDescent="0.25">
      <c r="A193" s="1319" t="s">
        <v>928</v>
      </c>
      <c r="B193" s="1318" t="s">
        <v>929</v>
      </c>
      <c r="C193" s="1335" t="s">
        <v>853</v>
      </c>
      <c r="D193" s="1289" t="s">
        <v>1001</v>
      </c>
      <c r="E193" s="1290">
        <v>192</v>
      </c>
      <c r="F193" s="1303">
        <v>4.2</v>
      </c>
      <c r="G193" s="1302" t="s">
        <v>953</v>
      </c>
      <c r="H193" s="711" t="s">
        <v>854</v>
      </c>
      <c r="I193" s="711" t="s">
        <v>1002</v>
      </c>
      <c r="J193" s="1296" t="s">
        <v>927</v>
      </c>
    </row>
    <row r="194" spans="1:10" x14ac:dyDescent="0.25">
      <c r="A194" s="1319" t="s">
        <v>931</v>
      </c>
      <c r="B194" s="1318" t="s">
        <v>932</v>
      </c>
      <c r="C194" s="1335" t="s">
        <v>853</v>
      </c>
      <c r="D194" s="1289" t="s">
        <v>1001</v>
      </c>
      <c r="E194" s="1290">
        <v>193</v>
      </c>
      <c r="F194" s="1303">
        <v>4.3</v>
      </c>
      <c r="G194" s="1295" t="s">
        <v>912</v>
      </c>
      <c r="H194" s="711" t="s">
        <v>854</v>
      </c>
      <c r="I194" s="711" t="s">
        <v>1002</v>
      </c>
      <c r="J194" s="1296" t="s">
        <v>913</v>
      </c>
    </row>
    <row r="195" spans="1:10" x14ac:dyDescent="0.25">
      <c r="A195" s="1319" t="s">
        <v>933</v>
      </c>
      <c r="B195" s="1318" t="s">
        <v>852</v>
      </c>
      <c r="C195" s="1335" t="s">
        <v>853</v>
      </c>
      <c r="D195" s="1289" t="s">
        <v>1001</v>
      </c>
      <c r="E195" s="1290">
        <v>194</v>
      </c>
      <c r="F195" s="1303">
        <v>4.4000000000000004</v>
      </c>
      <c r="G195" s="1295" t="s">
        <v>916</v>
      </c>
      <c r="H195" s="711" t="s">
        <v>854</v>
      </c>
      <c r="I195" s="711" t="s">
        <v>1002</v>
      </c>
      <c r="J195" s="1296" t="s">
        <v>917</v>
      </c>
    </row>
    <row r="196" spans="1:10" x14ac:dyDescent="0.25">
      <c r="A196" s="1319" t="s">
        <v>782</v>
      </c>
      <c r="B196" s="1318" t="s">
        <v>934</v>
      </c>
      <c r="C196" s="1335" t="s">
        <v>853</v>
      </c>
      <c r="D196" s="1289" t="s">
        <v>1001</v>
      </c>
      <c r="E196" s="1290">
        <v>195</v>
      </c>
      <c r="F196" s="1291" t="s">
        <v>759</v>
      </c>
      <c r="G196" s="1302" t="s">
        <v>548</v>
      </c>
      <c r="H196" s="737" t="s">
        <v>854</v>
      </c>
      <c r="I196" s="711" t="s">
        <v>1002</v>
      </c>
      <c r="J196" s="1296" t="s">
        <v>548</v>
      </c>
    </row>
    <row r="197" spans="1:10" x14ac:dyDescent="0.25">
      <c r="A197" s="1319">
        <v>5.1100000000000003</v>
      </c>
      <c r="B197" s="1318" t="s">
        <v>985</v>
      </c>
      <c r="C197" s="1335" t="s">
        <v>853</v>
      </c>
      <c r="D197" s="1289" t="s">
        <v>1001</v>
      </c>
      <c r="E197" s="1290">
        <v>196</v>
      </c>
      <c r="F197" s="1291" t="s">
        <v>761</v>
      </c>
      <c r="G197" s="1302" t="s">
        <v>852</v>
      </c>
      <c r="H197" s="737" t="s">
        <v>854</v>
      </c>
      <c r="I197" s="711" t="s">
        <v>1002</v>
      </c>
      <c r="J197" s="1296" t="s">
        <v>855</v>
      </c>
    </row>
    <row r="198" spans="1:10" x14ac:dyDescent="0.25">
      <c r="A198" s="1319">
        <v>5.12</v>
      </c>
      <c r="B198" s="1318" t="s">
        <v>876</v>
      </c>
      <c r="C198" s="1335" t="s">
        <v>853</v>
      </c>
      <c r="D198" s="1289" t="s">
        <v>1001</v>
      </c>
      <c r="E198" s="1290">
        <v>197</v>
      </c>
      <c r="F198" s="1291" t="s">
        <v>763</v>
      </c>
      <c r="G198" s="1321" t="s">
        <v>548</v>
      </c>
      <c r="H198" s="737" t="s">
        <v>854</v>
      </c>
      <c r="I198" s="711" t="s">
        <v>1002</v>
      </c>
      <c r="J198" s="1296" t="s">
        <v>548</v>
      </c>
    </row>
    <row r="199" spans="1:10" x14ac:dyDescent="0.25">
      <c r="A199" s="1322">
        <v>5.13</v>
      </c>
      <c r="B199" s="1323" t="s">
        <v>986</v>
      </c>
      <c r="C199" s="1335" t="s">
        <v>853</v>
      </c>
      <c r="D199" s="1289" t="s">
        <v>1001</v>
      </c>
      <c r="E199" s="1290">
        <v>198</v>
      </c>
      <c r="F199" s="1291" t="s">
        <v>765</v>
      </c>
      <c r="G199" s="1302" t="s">
        <v>864</v>
      </c>
      <c r="H199" s="737" t="s">
        <v>854</v>
      </c>
      <c r="I199" s="711" t="s">
        <v>1002</v>
      </c>
      <c r="J199" s="1296" t="s">
        <v>872</v>
      </c>
    </row>
    <row r="200" spans="1:10" x14ac:dyDescent="0.25">
      <c r="A200" s="1315" t="s">
        <v>936</v>
      </c>
      <c r="B200" s="1316" t="s">
        <v>852</v>
      </c>
      <c r="C200" s="1335" t="s">
        <v>853</v>
      </c>
      <c r="D200" s="1289" t="s">
        <v>1001</v>
      </c>
      <c r="E200" s="1290">
        <v>199</v>
      </c>
      <c r="F200" s="1303">
        <v>5.3</v>
      </c>
      <c r="G200" s="1295" t="s">
        <v>926</v>
      </c>
      <c r="H200" s="711" t="s">
        <v>854</v>
      </c>
      <c r="I200" s="711" t="s">
        <v>1002</v>
      </c>
      <c r="J200" s="1296" t="s">
        <v>927</v>
      </c>
    </row>
    <row r="201" spans="1:10" x14ac:dyDescent="0.25">
      <c r="A201" s="1319" t="s">
        <v>937</v>
      </c>
      <c r="B201" s="1318" t="s">
        <v>852</v>
      </c>
      <c r="C201" s="1335" t="s">
        <v>853</v>
      </c>
      <c r="D201" s="1289" t="s">
        <v>1001</v>
      </c>
      <c r="E201" s="1290">
        <v>200</v>
      </c>
      <c r="F201" s="1303">
        <v>5.4</v>
      </c>
      <c r="G201" s="1302" t="s">
        <v>930</v>
      </c>
      <c r="H201" s="711" t="s">
        <v>854</v>
      </c>
      <c r="I201" s="711" t="s">
        <v>1002</v>
      </c>
      <c r="J201" s="1296" t="s">
        <v>891</v>
      </c>
    </row>
    <row r="202" spans="1:10" x14ac:dyDescent="0.25">
      <c r="A202" s="1319" t="s">
        <v>938</v>
      </c>
      <c r="B202" s="1318" t="s">
        <v>884</v>
      </c>
      <c r="C202" s="1335" t="s">
        <v>853</v>
      </c>
      <c r="D202" s="1289" t="s">
        <v>1001</v>
      </c>
      <c r="E202" s="1290">
        <v>201</v>
      </c>
      <c r="F202" s="1303">
        <v>5.5</v>
      </c>
      <c r="G202" s="1295" t="s">
        <v>868</v>
      </c>
      <c r="H202" s="711" t="s">
        <v>854</v>
      </c>
      <c r="I202" s="711" t="s">
        <v>1002</v>
      </c>
      <c r="J202" s="1296" t="s">
        <v>883</v>
      </c>
    </row>
    <row r="203" spans="1:10" x14ac:dyDescent="0.25">
      <c r="A203" s="1319" t="s">
        <v>939</v>
      </c>
      <c r="B203" s="1318" t="s">
        <v>940</v>
      </c>
      <c r="C203" s="1335" t="s">
        <v>853</v>
      </c>
      <c r="D203" s="1289" t="s">
        <v>1001</v>
      </c>
      <c r="E203" s="1290">
        <v>202</v>
      </c>
      <c r="F203" s="1303">
        <v>5.6</v>
      </c>
      <c r="G203" s="1302" t="s">
        <v>852</v>
      </c>
      <c r="H203" s="711" t="s">
        <v>854</v>
      </c>
      <c r="I203" s="711" t="s">
        <v>1002</v>
      </c>
      <c r="J203" s="1296" t="s">
        <v>855</v>
      </c>
    </row>
    <row r="204" spans="1:10" x14ac:dyDescent="0.25">
      <c r="A204" s="1319" t="s">
        <v>941</v>
      </c>
      <c r="B204" s="1318" t="s">
        <v>884</v>
      </c>
      <c r="C204" s="1335" t="s">
        <v>853</v>
      </c>
      <c r="D204" s="1289" t="s">
        <v>1001</v>
      </c>
      <c r="E204" s="1290">
        <v>203</v>
      </c>
      <c r="F204" s="1291" t="s">
        <v>771</v>
      </c>
      <c r="G204" s="1302" t="s">
        <v>548</v>
      </c>
      <c r="H204" s="737" t="s">
        <v>854</v>
      </c>
      <c r="I204" s="711" t="s">
        <v>1002</v>
      </c>
      <c r="J204" s="1296" t="s">
        <v>548</v>
      </c>
    </row>
    <row r="205" spans="1:10" x14ac:dyDescent="0.25">
      <c r="A205" s="1319" t="s">
        <v>942</v>
      </c>
      <c r="B205" s="1318" t="s">
        <v>884</v>
      </c>
      <c r="C205" s="1335" t="s">
        <v>853</v>
      </c>
      <c r="D205" s="1289" t="s">
        <v>1001</v>
      </c>
      <c r="E205" s="1290">
        <v>204</v>
      </c>
      <c r="F205" s="1291" t="s">
        <v>773</v>
      </c>
      <c r="G205" s="1302" t="s">
        <v>861</v>
      </c>
      <c r="H205" s="737" t="s">
        <v>854</v>
      </c>
      <c r="I205" s="711" t="s">
        <v>1002</v>
      </c>
      <c r="J205" s="1296" t="s">
        <v>881</v>
      </c>
    </row>
    <row r="206" spans="1:10" x14ac:dyDescent="0.25">
      <c r="A206" s="1319" t="s">
        <v>943</v>
      </c>
      <c r="B206" s="1318" t="s">
        <v>864</v>
      </c>
      <c r="C206" s="1335" t="s">
        <v>853</v>
      </c>
      <c r="D206" s="1289" t="s">
        <v>1001</v>
      </c>
      <c r="E206" s="1290">
        <v>205</v>
      </c>
      <c r="F206" s="1291" t="s">
        <v>775</v>
      </c>
      <c r="G206" s="1302" t="s">
        <v>988</v>
      </c>
      <c r="H206" s="737" t="s">
        <v>854</v>
      </c>
      <c r="I206" s="711" t="s">
        <v>1002</v>
      </c>
      <c r="J206" s="1340" t="s">
        <v>989</v>
      </c>
    </row>
    <row r="207" spans="1:10" x14ac:dyDescent="0.25">
      <c r="A207" s="1319" t="s">
        <v>944</v>
      </c>
      <c r="B207" s="1318" t="s">
        <v>864</v>
      </c>
      <c r="C207" s="1335" t="s">
        <v>853</v>
      </c>
      <c r="D207" s="1289" t="s">
        <v>1001</v>
      </c>
      <c r="E207" s="1290">
        <v>206</v>
      </c>
      <c r="F207" s="1291" t="s">
        <v>777</v>
      </c>
      <c r="G207" s="1295" t="s">
        <v>929</v>
      </c>
      <c r="H207" s="737" t="s">
        <v>854</v>
      </c>
      <c r="I207" s="711" t="s">
        <v>1002</v>
      </c>
      <c r="J207" s="1296" t="s">
        <v>935</v>
      </c>
    </row>
    <row r="208" spans="1:10" x14ac:dyDescent="0.25">
      <c r="A208" s="1322" t="s">
        <v>945</v>
      </c>
      <c r="B208" s="1323" t="s">
        <v>946</v>
      </c>
      <c r="C208" s="1335" t="s">
        <v>853</v>
      </c>
      <c r="D208" s="1289" t="s">
        <v>1001</v>
      </c>
      <c r="E208" s="1290">
        <v>207</v>
      </c>
      <c r="F208" s="1291" t="s">
        <v>779</v>
      </c>
      <c r="G208" s="1302" t="s">
        <v>990</v>
      </c>
      <c r="H208" s="737" t="s">
        <v>854</v>
      </c>
      <c r="I208" s="711" t="s">
        <v>1002</v>
      </c>
      <c r="J208" s="1324" t="s">
        <v>991</v>
      </c>
    </row>
    <row r="209" spans="1:10" x14ac:dyDescent="0.25">
      <c r="A209" s="1315" t="s">
        <v>947</v>
      </c>
      <c r="B209" s="1316" t="s">
        <v>852</v>
      </c>
      <c r="C209" s="1335" t="s">
        <v>853</v>
      </c>
      <c r="D209" s="1289" t="s">
        <v>1001</v>
      </c>
      <c r="E209" s="1290">
        <v>208</v>
      </c>
      <c r="F209" s="1303">
        <v>5.9</v>
      </c>
      <c r="G209" s="1302" t="s">
        <v>852</v>
      </c>
      <c r="H209" s="711" t="s">
        <v>854</v>
      </c>
      <c r="I209" s="711" t="s">
        <v>1002</v>
      </c>
      <c r="J209" s="1296" t="s">
        <v>855</v>
      </c>
    </row>
    <row r="210" spans="1:10" x14ac:dyDescent="0.25">
      <c r="A210" s="1319" t="s">
        <v>950</v>
      </c>
      <c r="B210" s="1320" t="s">
        <v>951</v>
      </c>
      <c r="C210" s="1335" t="s">
        <v>853</v>
      </c>
      <c r="D210" s="1289" t="s">
        <v>1001</v>
      </c>
      <c r="E210" s="1290">
        <v>209</v>
      </c>
      <c r="F210" s="1307" t="s">
        <v>782</v>
      </c>
      <c r="G210" s="1302" t="s">
        <v>1003</v>
      </c>
      <c r="H210" s="711" t="s">
        <v>854</v>
      </c>
      <c r="I210" s="711" t="s">
        <v>1002</v>
      </c>
      <c r="J210" s="1296" t="s">
        <v>993</v>
      </c>
    </row>
    <row r="211" spans="1:10" x14ac:dyDescent="0.25">
      <c r="A211" s="1319" t="s">
        <v>952</v>
      </c>
      <c r="B211" s="1318" t="s">
        <v>953</v>
      </c>
      <c r="C211" s="1335" t="s">
        <v>853</v>
      </c>
      <c r="D211" s="1289" t="s">
        <v>1001</v>
      </c>
      <c r="E211" s="1290">
        <v>210</v>
      </c>
      <c r="F211" s="1303">
        <v>5.1100000000000003</v>
      </c>
      <c r="G211" s="1302" t="s">
        <v>985</v>
      </c>
      <c r="H211" s="711" t="s">
        <v>854</v>
      </c>
      <c r="I211" s="711" t="s">
        <v>1002</v>
      </c>
      <c r="J211" s="1296" t="s">
        <v>995</v>
      </c>
    </row>
    <row r="212" spans="1:10" x14ac:dyDescent="0.25">
      <c r="A212" s="1319" t="s">
        <v>955</v>
      </c>
      <c r="B212" s="1318" t="s">
        <v>852</v>
      </c>
      <c r="C212" s="1335" t="s">
        <v>853</v>
      </c>
      <c r="D212" s="1289" t="s">
        <v>1001</v>
      </c>
      <c r="E212" s="1290">
        <v>211</v>
      </c>
      <c r="F212" s="1303">
        <v>5.12</v>
      </c>
      <c r="G212" s="1302" t="s">
        <v>876</v>
      </c>
      <c r="H212" s="711" t="s">
        <v>854</v>
      </c>
      <c r="I212" s="711" t="s">
        <v>1002</v>
      </c>
      <c r="J212" s="1296">
        <v>10</v>
      </c>
    </row>
    <row r="213" spans="1:10" x14ac:dyDescent="0.25">
      <c r="A213" s="1317" t="s">
        <v>956</v>
      </c>
      <c r="B213" s="1318" t="s">
        <v>548</v>
      </c>
      <c r="C213" s="1335" t="s">
        <v>853</v>
      </c>
      <c r="D213" s="1289" t="s">
        <v>1001</v>
      </c>
      <c r="E213" s="1290">
        <v>212</v>
      </c>
      <c r="F213" s="1303">
        <v>5.13</v>
      </c>
      <c r="G213" s="1302" t="s">
        <v>1004</v>
      </c>
      <c r="H213" s="711" t="s">
        <v>854</v>
      </c>
      <c r="I213" s="711" t="s">
        <v>1002</v>
      </c>
      <c r="J213" s="1296" t="s">
        <v>997</v>
      </c>
    </row>
    <row r="214" spans="1:10" x14ac:dyDescent="0.25">
      <c r="A214" s="1319" t="s">
        <v>957</v>
      </c>
      <c r="B214" s="1318" t="s">
        <v>548</v>
      </c>
      <c r="C214" s="1335" t="s">
        <v>853</v>
      </c>
      <c r="D214" s="1289" t="s">
        <v>1001</v>
      </c>
      <c r="E214" s="1290">
        <v>213</v>
      </c>
      <c r="F214" s="1303">
        <v>6.1</v>
      </c>
      <c r="G214" s="1302" t="s">
        <v>852</v>
      </c>
      <c r="H214" s="711" t="s">
        <v>854</v>
      </c>
      <c r="I214" s="711" t="s">
        <v>1002</v>
      </c>
      <c r="J214" s="1296" t="s">
        <v>855</v>
      </c>
    </row>
    <row r="215" spans="1:10" x14ac:dyDescent="0.25">
      <c r="A215" s="1317" t="s">
        <v>959</v>
      </c>
      <c r="B215" s="1318" t="s">
        <v>868</v>
      </c>
      <c r="C215" s="1335" t="s">
        <v>853</v>
      </c>
      <c r="D215" s="1289" t="s">
        <v>1001</v>
      </c>
      <c r="E215" s="1290">
        <v>214</v>
      </c>
      <c r="F215" s="1303">
        <v>6.2</v>
      </c>
      <c r="G215" s="1302" t="s">
        <v>852</v>
      </c>
      <c r="H215" s="711" t="s">
        <v>854</v>
      </c>
      <c r="I215" s="711" t="s">
        <v>1002</v>
      </c>
      <c r="J215" s="1296" t="s">
        <v>855</v>
      </c>
    </row>
    <row r="216" spans="1:10" x14ac:dyDescent="0.25">
      <c r="A216" s="1319">
        <v>7.5</v>
      </c>
      <c r="B216" s="1318" t="s">
        <v>852</v>
      </c>
      <c r="C216" s="1335" t="s">
        <v>853</v>
      </c>
      <c r="D216" s="1289" t="s">
        <v>1001</v>
      </c>
      <c r="E216" s="1290">
        <v>215</v>
      </c>
      <c r="F216" s="1303">
        <v>6.3</v>
      </c>
      <c r="G216" s="1302" t="s">
        <v>896</v>
      </c>
      <c r="H216" s="711" t="s">
        <v>854</v>
      </c>
      <c r="I216" s="711" t="s">
        <v>1002</v>
      </c>
      <c r="J216" s="1324" t="s">
        <v>897</v>
      </c>
    </row>
    <row r="217" spans="1:10" x14ac:dyDescent="0.25">
      <c r="A217" s="1319">
        <v>7.6</v>
      </c>
      <c r="B217" s="1318" t="s">
        <v>852</v>
      </c>
      <c r="C217" s="1335" t="s">
        <v>853</v>
      </c>
      <c r="D217" s="1289" t="s">
        <v>1001</v>
      </c>
      <c r="E217" s="1290">
        <v>216</v>
      </c>
      <c r="F217" s="1303">
        <v>6.4</v>
      </c>
      <c r="G217" s="1302" t="s">
        <v>948</v>
      </c>
      <c r="H217" s="711" t="s">
        <v>854</v>
      </c>
      <c r="I217" s="711" t="s">
        <v>1002</v>
      </c>
      <c r="J217" s="1296" t="s">
        <v>949</v>
      </c>
    </row>
    <row r="218" spans="1:10" x14ac:dyDescent="0.25">
      <c r="A218" s="1319">
        <v>7.7</v>
      </c>
      <c r="B218" s="1318" t="s">
        <v>852</v>
      </c>
      <c r="C218" s="1335" t="s">
        <v>853</v>
      </c>
      <c r="D218" s="1289" t="s">
        <v>1001</v>
      </c>
      <c r="E218" s="1290">
        <v>217</v>
      </c>
      <c r="F218" s="1291" t="s">
        <v>792</v>
      </c>
      <c r="G218" s="1295" t="s">
        <v>861</v>
      </c>
      <c r="H218" s="737" t="s">
        <v>854</v>
      </c>
      <c r="I218" s="711" t="s">
        <v>1002</v>
      </c>
      <c r="J218" s="1296" t="s">
        <v>881</v>
      </c>
    </row>
    <row r="219" spans="1:10" x14ac:dyDescent="0.25">
      <c r="A219" s="1319">
        <v>7.8</v>
      </c>
      <c r="B219" s="1318" t="s">
        <v>852</v>
      </c>
      <c r="C219" s="1335" t="s">
        <v>853</v>
      </c>
      <c r="D219" s="1289" t="s">
        <v>1001</v>
      </c>
      <c r="E219" s="1290">
        <v>218</v>
      </c>
      <c r="F219" s="1291" t="s">
        <v>794</v>
      </c>
      <c r="G219" s="1295" t="s">
        <v>954</v>
      </c>
      <c r="H219" s="737" t="s">
        <v>854</v>
      </c>
      <c r="I219" s="711" t="s">
        <v>1002</v>
      </c>
      <c r="J219" s="1296" t="s">
        <v>881</v>
      </c>
    </row>
    <row r="220" spans="1:10" x14ac:dyDescent="0.25">
      <c r="A220" s="1325" t="s">
        <v>962</v>
      </c>
      <c r="B220" s="1318" t="s">
        <v>548</v>
      </c>
      <c r="C220" s="1335" t="s">
        <v>853</v>
      </c>
      <c r="D220" s="1289" t="s">
        <v>1001</v>
      </c>
      <c r="E220" s="1290">
        <v>219</v>
      </c>
      <c r="F220" s="1303">
        <v>6.6</v>
      </c>
      <c r="G220" s="1302" t="s">
        <v>859</v>
      </c>
      <c r="H220" s="711" t="s">
        <v>854</v>
      </c>
      <c r="I220" s="711" t="s">
        <v>1002</v>
      </c>
      <c r="J220" s="1324" t="s">
        <v>860</v>
      </c>
    </row>
    <row r="221" spans="1:10" x14ac:dyDescent="0.25">
      <c r="A221" s="1319" t="s">
        <v>963</v>
      </c>
      <c r="B221" s="1318" t="s">
        <v>852</v>
      </c>
      <c r="C221" s="1335" t="s">
        <v>853</v>
      </c>
      <c r="D221" s="1289" t="s">
        <v>1001</v>
      </c>
      <c r="E221" s="1290">
        <v>220</v>
      </c>
      <c r="F221" s="1303">
        <v>7.1</v>
      </c>
      <c r="G221" s="1302" t="s">
        <v>852</v>
      </c>
      <c r="H221" s="711" t="s">
        <v>854</v>
      </c>
      <c r="I221" s="711" t="s">
        <v>1002</v>
      </c>
      <c r="J221" s="1296" t="s">
        <v>855</v>
      </c>
    </row>
    <row r="222" spans="1:10" x14ac:dyDescent="0.25">
      <c r="A222" s="1319" t="s">
        <v>964</v>
      </c>
      <c r="B222" s="1318" t="s">
        <v>852</v>
      </c>
      <c r="C222" s="1335" t="s">
        <v>853</v>
      </c>
      <c r="D222" s="1289" t="s">
        <v>1001</v>
      </c>
      <c r="E222" s="1290">
        <v>221</v>
      </c>
      <c r="F222" s="1291" t="s">
        <v>800</v>
      </c>
      <c r="G222" s="1295" t="s">
        <v>958</v>
      </c>
      <c r="H222" s="737" t="s">
        <v>854</v>
      </c>
      <c r="I222" s="711" t="s">
        <v>1002</v>
      </c>
      <c r="J222" s="1296" t="s">
        <v>891</v>
      </c>
    </row>
    <row r="223" spans="1:10" x14ac:dyDescent="0.25">
      <c r="A223" s="1319" t="s">
        <v>814</v>
      </c>
      <c r="B223" s="1318" t="s">
        <v>852</v>
      </c>
      <c r="C223" s="1335" t="s">
        <v>853</v>
      </c>
      <c r="D223" s="1289" t="s">
        <v>1001</v>
      </c>
      <c r="E223" s="1290">
        <v>222</v>
      </c>
      <c r="F223" s="1291" t="s">
        <v>802</v>
      </c>
      <c r="G223" s="1295" t="s">
        <v>960</v>
      </c>
      <c r="H223" s="737" t="s">
        <v>854</v>
      </c>
      <c r="I223" s="711" t="s">
        <v>1002</v>
      </c>
      <c r="J223" s="1296" t="s">
        <v>961</v>
      </c>
    </row>
    <row r="224" spans="1:10" x14ac:dyDescent="0.25">
      <c r="A224" s="1319">
        <v>7.11</v>
      </c>
      <c r="B224" s="1318" t="s">
        <v>852</v>
      </c>
      <c r="C224" s="1335" t="s">
        <v>853</v>
      </c>
      <c r="D224" s="1289" t="s">
        <v>1001</v>
      </c>
      <c r="E224" s="1290">
        <v>223</v>
      </c>
      <c r="F224" s="1291" t="s">
        <v>803</v>
      </c>
      <c r="G224" s="1302" t="s">
        <v>548</v>
      </c>
      <c r="H224" s="737" t="s">
        <v>854</v>
      </c>
      <c r="I224" s="711" t="s">
        <v>1002</v>
      </c>
      <c r="J224" s="1296" t="s">
        <v>548</v>
      </c>
    </row>
    <row r="225" spans="1:10" x14ac:dyDescent="0.25">
      <c r="A225" s="1319">
        <v>7.12</v>
      </c>
      <c r="B225" s="1318" t="s">
        <v>852</v>
      </c>
      <c r="C225" s="1335" t="s">
        <v>853</v>
      </c>
      <c r="D225" s="1289" t="s">
        <v>1001</v>
      </c>
      <c r="E225" s="1290">
        <v>224</v>
      </c>
      <c r="F225" s="1291" t="s">
        <v>805</v>
      </c>
      <c r="G225" s="1302" t="s">
        <v>868</v>
      </c>
      <c r="H225" s="737" t="s">
        <v>854</v>
      </c>
      <c r="I225" s="711" t="s">
        <v>1002</v>
      </c>
      <c r="J225" s="1296" t="s">
        <v>883</v>
      </c>
    </row>
    <row r="226" spans="1:10" x14ac:dyDescent="0.25">
      <c r="A226" s="1319">
        <v>7.13</v>
      </c>
      <c r="B226" s="1318" t="s">
        <v>965</v>
      </c>
      <c r="C226" s="1335" t="s">
        <v>853</v>
      </c>
      <c r="D226" s="1289" t="s">
        <v>1001</v>
      </c>
      <c r="E226" s="1290">
        <v>225</v>
      </c>
      <c r="F226" s="1291" t="s">
        <v>806</v>
      </c>
      <c r="G226" s="1302" t="s">
        <v>548</v>
      </c>
      <c r="H226" s="737" t="s">
        <v>854</v>
      </c>
      <c r="I226" s="711" t="s">
        <v>1002</v>
      </c>
      <c r="J226" s="1296" t="s">
        <v>548</v>
      </c>
    </row>
    <row r="227" spans="1:10" x14ac:dyDescent="0.25">
      <c r="A227" s="1319">
        <v>7.14</v>
      </c>
      <c r="B227" s="1318" t="s">
        <v>852</v>
      </c>
      <c r="C227" s="1335" t="s">
        <v>853</v>
      </c>
      <c r="D227" s="1289" t="s">
        <v>1001</v>
      </c>
      <c r="E227" s="1290">
        <v>226</v>
      </c>
      <c r="F227" s="1291" t="s">
        <v>808</v>
      </c>
      <c r="G227" s="1302" t="s">
        <v>868</v>
      </c>
      <c r="H227" s="737" t="s">
        <v>854</v>
      </c>
      <c r="I227" s="711" t="s">
        <v>1002</v>
      </c>
      <c r="J227" s="1296" t="s">
        <v>883</v>
      </c>
    </row>
    <row r="228" spans="1:10" x14ac:dyDescent="0.25">
      <c r="A228" s="1319">
        <v>7.15</v>
      </c>
      <c r="B228" s="1318" t="s">
        <v>852</v>
      </c>
      <c r="C228" s="1335" t="s">
        <v>853</v>
      </c>
      <c r="D228" s="1289" t="s">
        <v>1001</v>
      </c>
      <c r="E228" s="1290">
        <v>227</v>
      </c>
      <c r="F228" s="1303">
        <v>7.5</v>
      </c>
      <c r="G228" s="1302" t="s">
        <v>852</v>
      </c>
      <c r="H228" s="711" t="s">
        <v>854</v>
      </c>
      <c r="I228" s="711" t="s">
        <v>1002</v>
      </c>
      <c r="J228" s="1296" t="s">
        <v>855</v>
      </c>
    </row>
    <row r="229" spans="1:10" x14ac:dyDescent="0.25">
      <c r="A229" s="1319">
        <v>7.16</v>
      </c>
      <c r="B229" s="1318" t="s">
        <v>852</v>
      </c>
      <c r="C229" s="1335" t="s">
        <v>853</v>
      </c>
      <c r="D229" s="1289" t="s">
        <v>1001</v>
      </c>
      <c r="E229" s="1290">
        <v>228</v>
      </c>
      <c r="F229" s="1303">
        <v>7.6</v>
      </c>
      <c r="G229" s="1302" t="s">
        <v>852</v>
      </c>
      <c r="H229" s="711" t="s">
        <v>854</v>
      </c>
      <c r="I229" s="711" t="s">
        <v>1002</v>
      </c>
      <c r="J229" s="1296" t="s">
        <v>855</v>
      </c>
    </row>
    <row r="230" spans="1:10" x14ac:dyDescent="0.25">
      <c r="A230" s="1322">
        <v>7.17</v>
      </c>
      <c r="B230" s="1323" t="s">
        <v>916</v>
      </c>
      <c r="C230" s="1335" t="s">
        <v>853</v>
      </c>
      <c r="D230" s="1289" t="s">
        <v>1001</v>
      </c>
      <c r="E230" s="1290">
        <v>229</v>
      </c>
      <c r="F230" s="1303">
        <v>7.7</v>
      </c>
      <c r="G230" s="1302" t="s">
        <v>852</v>
      </c>
      <c r="H230" s="711" t="s">
        <v>854</v>
      </c>
      <c r="I230" s="711" t="s">
        <v>1002</v>
      </c>
      <c r="J230" s="1296" t="s">
        <v>855</v>
      </c>
    </row>
    <row r="231" spans="1:10" x14ac:dyDescent="0.25">
      <c r="A231" s="1315" t="s">
        <v>968</v>
      </c>
      <c r="B231" s="1316" t="s">
        <v>852</v>
      </c>
      <c r="C231" s="1335" t="s">
        <v>853</v>
      </c>
      <c r="D231" s="1289" t="s">
        <v>1001</v>
      </c>
      <c r="E231" s="1290">
        <v>230</v>
      </c>
      <c r="F231" s="1303">
        <v>7.8</v>
      </c>
      <c r="G231" s="1302" t="s">
        <v>852</v>
      </c>
      <c r="H231" s="711" t="s">
        <v>854</v>
      </c>
      <c r="I231" s="711" t="s">
        <v>1002</v>
      </c>
      <c r="J231" s="1296" t="s">
        <v>855</v>
      </c>
    </row>
    <row r="232" spans="1:10" x14ac:dyDescent="0.25">
      <c r="A232" s="1319" t="s">
        <v>969</v>
      </c>
      <c r="B232" s="1318" t="s">
        <v>852</v>
      </c>
      <c r="C232" s="1335" t="s">
        <v>853</v>
      </c>
      <c r="D232" s="1289" t="s">
        <v>1001</v>
      </c>
      <c r="E232" s="1290">
        <v>231</v>
      </c>
      <c r="F232" s="1303">
        <v>7.9</v>
      </c>
      <c r="G232" s="1302" t="s">
        <v>852</v>
      </c>
      <c r="H232" s="711" t="s">
        <v>854</v>
      </c>
      <c r="I232" s="711" t="s">
        <v>1002</v>
      </c>
      <c r="J232" s="1296" t="s">
        <v>855</v>
      </c>
    </row>
    <row r="233" spans="1:10" x14ac:dyDescent="0.25">
      <c r="A233" s="1319" t="s">
        <v>970</v>
      </c>
      <c r="B233" s="1318" t="s">
        <v>852</v>
      </c>
      <c r="C233" s="1335" t="s">
        <v>853</v>
      </c>
      <c r="D233" s="1289" t="s">
        <v>1001</v>
      </c>
      <c r="E233" s="1290">
        <v>232</v>
      </c>
      <c r="F233" s="1307" t="s">
        <v>814</v>
      </c>
      <c r="G233" s="1302" t="s">
        <v>998</v>
      </c>
      <c r="H233" s="711" t="s">
        <v>854</v>
      </c>
      <c r="I233" s="711" t="s">
        <v>1002</v>
      </c>
      <c r="J233" s="1296" t="s">
        <v>891</v>
      </c>
    </row>
    <row r="234" spans="1:10" x14ac:dyDescent="0.25">
      <c r="A234" s="1319" t="s">
        <v>971</v>
      </c>
      <c r="B234" s="1318" t="s">
        <v>916</v>
      </c>
      <c r="C234" s="1335" t="s">
        <v>853</v>
      </c>
      <c r="D234" s="1289" t="s">
        <v>1001</v>
      </c>
      <c r="E234" s="1290">
        <v>233</v>
      </c>
      <c r="F234" s="1303">
        <v>7.11</v>
      </c>
      <c r="G234" s="1302" t="s">
        <v>852</v>
      </c>
      <c r="H234" s="711" t="s">
        <v>854</v>
      </c>
      <c r="I234" s="711" t="s">
        <v>1002</v>
      </c>
      <c r="J234" s="1296" t="s">
        <v>855</v>
      </c>
    </row>
    <row r="235" spans="1:10" s="1098" customFormat="1" x14ac:dyDescent="0.25">
      <c r="A235" s="1326" t="s">
        <v>972</v>
      </c>
      <c r="B235" s="1327" t="s">
        <v>861</v>
      </c>
      <c r="C235" s="1350" t="s">
        <v>853</v>
      </c>
      <c r="D235" s="1308" t="s">
        <v>1001</v>
      </c>
      <c r="E235" s="1290">
        <v>234</v>
      </c>
      <c r="F235" s="1313">
        <v>7.12</v>
      </c>
      <c r="G235" s="1351" t="s">
        <v>852</v>
      </c>
      <c r="H235" s="711" t="s">
        <v>854</v>
      </c>
      <c r="I235" s="711" t="s">
        <v>1002</v>
      </c>
      <c r="J235" s="1328" t="s">
        <v>855</v>
      </c>
    </row>
    <row r="236" spans="1:10" x14ac:dyDescent="0.25">
      <c r="A236" s="1331">
        <v>1.1000000000000001</v>
      </c>
      <c r="B236" s="1332" t="s">
        <v>852</v>
      </c>
      <c r="C236" s="1352" t="s">
        <v>854</v>
      </c>
      <c r="D236" s="1289" t="s">
        <v>28</v>
      </c>
      <c r="E236" s="1290">
        <v>235</v>
      </c>
      <c r="F236" s="1291" t="s">
        <v>818</v>
      </c>
      <c r="G236" s="1349" t="s">
        <v>548</v>
      </c>
      <c r="H236" s="737" t="s">
        <v>854</v>
      </c>
      <c r="I236" s="711" t="s">
        <v>1002</v>
      </c>
      <c r="J236" s="1334" t="s">
        <v>548</v>
      </c>
    </row>
    <row r="237" spans="1:10" x14ac:dyDescent="0.25">
      <c r="A237" s="1297">
        <v>1.2</v>
      </c>
      <c r="B237" s="1298" t="s">
        <v>856</v>
      </c>
      <c r="C237" s="1352" t="s">
        <v>854</v>
      </c>
      <c r="D237" s="1289" t="s">
        <v>28</v>
      </c>
      <c r="E237" s="1290">
        <v>236</v>
      </c>
      <c r="F237" s="1291" t="s">
        <v>820</v>
      </c>
      <c r="G237" s="1302" t="s">
        <v>999</v>
      </c>
      <c r="H237" s="737" t="s">
        <v>854</v>
      </c>
      <c r="I237" s="711" t="s">
        <v>1002</v>
      </c>
      <c r="J237" s="1296" t="s">
        <v>548</v>
      </c>
    </row>
    <row r="238" spans="1:10" x14ac:dyDescent="0.25">
      <c r="A238" s="1299">
        <v>2.1</v>
      </c>
      <c r="B238" s="1294" t="s">
        <v>852</v>
      </c>
      <c r="C238" s="1352" t="s">
        <v>854</v>
      </c>
      <c r="D238" s="1289" t="s">
        <v>28</v>
      </c>
      <c r="E238" s="1290">
        <v>237</v>
      </c>
      <c r="F238" s="1303">
        <v>7.14</v>
      </c>
      <c r="G238" s="1302" t="s">
        <v>852</v>
      </c>
      <c r="H238" s="711" t="s">
        <v>854</v>
      </c>
      <c r="I238" s="711" t="s">
        <v>1002</v>
      </c>
      <c r="J238" s="1296" t="s">
        <v>855</v>
      </c>
    </row>
    <row r="239" spans="1:10" x14ac:dyDescent="0.25">
      <c r="A239" s="1300">
        <v>2.2000000000000002</v>
      </c>
      <c r="B239" s="1301" t="s">
        <v>852</v>
      </c>
      <c r="C239" s="1352" t="s">
        <v>854</v>
      </c>
      <c r="D239" s="1289" t="s">
        <v>28</v>
      </c>
      <c r="E239" s="1290">
        <v>238</v>
      </c>
      <c r="F239" s="1303">
        <v>7.15</v>
      </c>
      <c r="G239" s="1302" t="s">
        <v>852</v>
      </c>
      <c r="H239" s="711" t="s">
        <v>854</v>
      </c>
      <c r="I239" s="711" t="s">
        <v>1002</v>
      </c>
      <c r="J239" s="1296" t="s">
        <v>855</v>
      </c>
    </row>
    <row r="240" spans="1:10" x14ac:dyDescent="0.25">
      <c r="A240" s="1300">
        <v>2.2999999999999998</v>
      </c>
      <c r="B240" s="1301" t="s">
        <v>852</v>
      </c>
      <c r="C240" s="1352" t="s">
        <v>854</v>
      </c>
      <c r="D240" s="1289" t="s">
        <v>28</v>
      </c>
      <c r="E240" s="1290">
        <v>239</v>
      </c>
      <c r="F240" s="1303">
        <v>7.16</v>
      </c>
      <c r="G240" s="1302" t="s">
        <v>852</v>
      </c>
      <c r="H240" s="711" t="s">
        <v>854</v>
      </c>
      <c r="I240" s="711" t="s">
        <v>1002</v>
      </c>
      <c r="J240" s="1296" t="s">
        <v>855</v>
      </c>
    </row>
    <row r="241" spans="1:10" x14ac:dyDescent="0.25">
      <c r="A241" s="1300">
        <v>2.4</v>
      </c>
      <c r="B241" s="1301" t="s">
        <v>864</v>
      </c>
      <c r="C241" s="1352" t="s">
        <v>854</v>
      </c>
      <c r="D241" s="1289" t="s">
        <v>28</v>
      </c>
      <c r="E241" s="1290">
        <v>240</v>
      </c>
      <c r="F241" s="1303">
        <v>7.17</v>
      </c>
      <c r="G241" s="1302" t="s">
        <v>852</v>
      </c>
      <c r="H241" s="711" t="s">
        <v>854</v>
      </c>
      <c r="I241" s="711" t="s">
        <v>1002</v>
      </c>
      <c r="J241" s="1296" t="s">
        <v>855</v>
      </c>
    </row>
    <row r="242" spans="1:10" x14ac:dyDescent="0.25">
      <c r="A242" s="1300">
        <v>2.5</v>
      </c>
      <c r="B242" s="1301" t="s">
        <v>867</v>
      </c>
      <c r="C242" s="1352" t="s">
        <v>854</v>
      </c>
      <c r="D242" s="1289" t="s">
        <v>28</v>
      </c>
      <c r="E242" s="1290">
        <v>241</v>
      </c>
      <c r="F242" s="1291" t="s">
        <v>827</v>
      </c>
      <c r="G242" s="1302" t="s">
        <v>852</v>
      </c>
      <c r="H242" s="737" t="s">
        <v>854</v>
      </c>
      <c r="I242" s="711" t="s">
        <v>1002</v>
      </c>
      <c r="J242" s="1296" t="s">
        <v>855</v>
      </c>
    </row>
    <row r="243" spans="1:10" x14ac:dyDescent="0.25">
      <c r="A243" s="1300">
        <v>2.6</v>
      </c>
      <c r="B243" s="1301" t="s">
        <v>868</v>
      </c>
      <c r="C243" s="1352" t="s">
        <v>854</v>
      </c>
      <c r="D243" s="1289" t="s">
        <v>28</v>
      </c>
      <c r="E243" s="1290">
        <v>242</v>
      </c>
      <c r="F243" s="1291" t="s">
        <v>829</v>
      </c>
      <c r="G243" s="1295" t="s">
        <v>916</v>
      </c>
      <c r="H243" s="737" t="s">
        <v>854</v>
      </c>
      <c r="I243" s="711" t="s">
        <v>1002</v>
      </c>
      <c r="J243" s="1296" t="s">
        <v>917</v>
      </c>
    </row>
    <row r="244" spans="1:10" x14ac:dyDescent="0.25">
      <c r="A244" s="1304" t="s">
        <v>869</v>
      </c>
      <c r="B244" s="1301" t="s">
        <v>852</v>
      </c>
      <c r="C244" s="1352" t="s">
        <v>854</v>
      </c>
      <c r="D244" s="1289" t="s">
        <v>28</v>
      </c>
      <c r="E244" s="1290">
        <v>243</v>
      </c>
      <c r="F244" s="1303">
        <v>8.1999999999999993</v>
      </c>
      <c r="G244" s="1302" t="s">
        <v>974</v>
      </c>
      <c r="H244" s="711" t="s">
        <v>854</v>
      </c>
      <c r="I244" s="711" t="s">
        <v>1002</v>
      </c>
      <c r="J244" s="1296" t="s">
        <v>975</v>
      </c>
    </row>
    <row r="245" spans="1:10" x14ac:dyDescent="0.25">
      <c r="A245" s="1300" t="s">
        <v>870</v>
      </c>
      <c r="B245" s="1301" t="s">
        <v>1005</v>
      </c>
      <c r="C245" s="1352" t="s">
        <v>854</v>
      </c>
      <c r="D245" s="1289" t="s">
        <v>28</v>
      </c>
      <c r="E245" s="1290">
        <v>244</v>
      </c>
      <c r="F245" s="1303">
        <v>8.3000000000000007</v>
      </c>
      <c r="G245" s="1302" t="s">
        <v>852</v>
      </c>
      <c r="H245" s="711" t="s">
        <v>854</v>
      </c>
      <c r="I245" s="711" t="s">
        <v>1002</v>
      </c>
      <c r="J245" s="1296" t="s">
        <v>855</v>
      </c>
    </row>
    <row r="246" spans="1:10" x14ac:dyDescent="0.25">
      <c r="A246" s="1300">
        <v>2.8</v>
      </c>
      <c r="B246" s="1301" t="s">
        <v>873</v>
      </c>
      <c r="C246" s="1352" t="s">
        <v>854</v>
      </c>
      <c r="D246" s="1289" t="s">
        <v>28</v>
      </c>
      <c r="E246" s="1290">
        <v>245</v>
      </c>
      <c r="F246" s="1303">
        <v>8.4</v>
      </c>
      <c r="G246" s="1302" t="s">
        <v>976</v>
      </c>
      <c r="H246" s="711" t="s">
        <v>854</v>
      </c>
      <c r="I246" s="711" t="s">
        <v>1002</v>
      </c>
      <c r="J246" s="1296" t="s">
        <v>977</v>
      </c>
    </row>
    <row r="247" spans="1:10" ht="15.75" thickBot="1" x14ac:dyDescent="0.3">
      <c r="A247" s="1300">
        <v>2.9</v>
      </c>
      <c r="B247" s="1301" t="s">
        <v>876</v>
      </c>
      <c r="C247" s="1352" t="s">
        <v>854</v>
      </c>
      <c r="D247" s="1289" t="s">
        <v>28</v>
      </c>
      <c r="E247" s="1290">
        <v>246</v>
      </c>
      <c r="F247" s="1336">
        <v>8.5</v>
      </c>
      <c r="G247" s="1347" t="s">
        <v>852</v>
      </c>
      <c r="H247" s="1348" t="s">
        <v>854</v>
      </c>
      <c r="I247" s="711" t="s">
        <v>1002</v>
      </c>
      <c r="J247" s="1339" t="s">
        <v>855</v>
      </c>
    </row>
    <row r="248" spans="1:10" ht="15.75" thickTop="1" x14ac:dyDescent="0.25">
      <c r="A248" s="1305" t="s">
        <v>735</v>
      </c>
      <c r="B248" s="1298" t="s">
        <v>868</v>
      </c>
      <c r="C248" s="1352" t="s">
        <v>854</v>
      </c>
      <c r="D248" s="1289" t="s">
        <v>28</v>
      </c>
      <c r="E248" s="1290">
        <v>247</v>
      </c>
      <c r="F248" s="1291" t="s">
        <v>711</v>
      </c>
      <c r="G248" s="1302" t="s">
        <v>852</v>
      </c>
      <c r="H248" s="367" t="s">
        <v>853</v>
      </c>
      <c r="I248" s="711" t="s">
        <v>28</v>
      </c>
      <c r="J248" s="1296" t="s">
        <v>855</v>
      </c>
    </row>
    <row r="249" spans="1:10" x14ac:dyDescent="0.25">
      <c r="A249" s="1299" t="s">
        <v>877</v>
      </c>
      <c r="B249" s="1294" t="s">
        <v>852</v>
      </c>
      <c r="C249" s="1352" t="s">
        <v>854</v>
      </c>
      <c r="D249" s="1289" t="s">
        <v>28</v>
      </c>
      <c r="E249" s="1290">
        <v>248</v>
      </c>
      <c r="F249" s="1291" t="s">
        <v>713</v>
      </c>
      <c r="G249" s="1295" t="s">
        <v>857</v>
      </c>
      <c r="H249" s="367" t="s">
        <v>853</v>
      </c>
      <c r="I249" s="711" t="s">
        <v>28</v>
      </c>
      <c r="J249" s="1296" t="s">
        <v>858</v>
      </c>
    </row>
    <row r="250" spans="1:10" x14ac:dyDescent="0.25">
      <c r="A250" s="1300" t="s">
        <v>880</v>
      </c>
      <c r="B250" s="1301" t="s">
        <v>852</v>
      </c>
      <c r="C250" s="1352" t="s">
        <v>854</v>
      </c>
      <c r="D250" s="1289" t="s">
        <v>28</v>
      </c>
      <c r="E250" s="1290">
        <v>249</v>
      </c>
      <c r="F250" s="1303">
        <v>1.2</v>
      </c>
      <c r="G250" s="1302" t="s">
        <v>979</v>
      </c>
      <c r="H250" s="367" t="s">
        <v>853</v>
      </c>
      <c r="I250" s="711" t="s">
        <v>28</v>
      </c>
      <c r="J250" s="1296" t="s">
        <v>860</v>
      </c>
    </row>
    <row r="251" spans="1:10" x14ac:dyDescent="0.25">
      <c r="A251" s="1300" t="s">
        <v>741</v>
      </c>
      <c r="B251" s="1306" t="s">
        <v>882</v>
      </c>
      <c r="C251" s="1352" t="s">
        <v>854</v>
      </c>
      <c r="D251" s="1289" t="s">
        <v>28</v>
      </c>
      <c r="E251" s="1290">
        <v>250</v>
      </c>
      <c r="F251" s="1291" t="s">
        <v>716</v>
      </c>
      <c r="G251" s="1302" t="s">
        <v>852</v>
      </c>
      <c r="H251" s="367" t="s">
        <v>853</v>
      </c>
      <c r="I251" s="711" t="s">
        <v>28</v>
      </c>
      <c r="J251" s="1296" t="s">
        <v>855</v>
      </c>
    </row>
    <row r="252" spans="1:10" x14ac:dyDescent="0.25">
      <c r="A252" s="1300" t="s">
        <v>742</v>
      </c>
      <c r="B252" s="1301" t="s">
        <v>864</v>
      </c>
      <c r="C252" s="1352" t="s">
        <v>854</v>
      </c>
      <c r="D252" s="1289" t="s">
        <v>28</v>
      </c>
      <c r="E252" s="1290">
        <v>251</v>
      </c>
      <c r="F252" s="1291" t="s">
        <v>718</v>
      </c>
      <c r="G252" s="1302" t="s">
        <v>862</v>
      </c>
      <c r="H252" s="367" t="s">
        <v>853</v>
      </c>
      <c r="I252" s="711" t="s">
        <v>28</v>
      </c>
      <c r="J252" s="1296" t="s">
        <v>863</v>
      </c>
    </row>
    <row r="253" spans="1:10" x14ac:dyDescent="0.25">
      <c r="A253" s="1300" t="s">
        <v>743</v>
      </c>
      <c r="B253" s="1301" t="s">
        <v>884</v>
      </c>
      <c r="C253" s="1352" t="s">
        <v>854</v>
      </c>
      <c r="D253" s="1289" t="s">
        <v>28</v>
      </c>
      <c r="E253" s="1290">
        <v>252</v>
      </c>
      <c r="F253" s="1303">
        <v>1.4</v>
      </c>
      <c r="G253" s="1302" t="s">
        <v>865</v>
      </c>
      <c r="H253" s="367" t="s">
        <v>853</v>
      </c>
      <c r="I253" s="711" t="s">
        <v>28</v>
      </c>
      <c r="J253" s="1296" t="s">
        <v>866</v>
      </c>
    </row>
    <row r="254" spans="1:10" x14ac:dyDescent="0.25">
      <c r="A254" s="1300" t="s">
        <v>885</v>
      </c>
      <c r="B254" s="1306" t="s">
        <v>886</v>
      </c>
      <c r="C254" s="1352" t="s">
        <v>854</v>
      </c>
      <c r="D254" s="1289" t="s">
        <v>28</v>
      </c>
      <c r="E254" s="1290">
        <v>253</v>
      </c>
      <c r="F254" s="1303">
        <v>2.1</v>
      </c>
      <c r="G254" s="1302" t="s">
        <v>852</v>
      </c>
      <c r="H254" s="367" t="s">
        <v>853</v>
      </c>
      <c r="I254" s="711" t="s">
        <v>28</v>
      </c>
      <c r="J254" s="1296" t="s">
        <v>855</v>
      </c>
    </row>
    <row r="255" spans="1:10" x14ac:dyDescent="0.25">
      <c r="A255" s="1300" t="s">
        <v>887</v>
      </c>
      <c r="B255" s="1301" t="s">
        <v>888</v>
      </c>
      <c r="C255" s="1352" t="s">
        <v>854</v>
      </c>
      <c r="D255" s="1289" t="s">
        <v>28</v>
      </c>
      <c r="E255" s="1290">
        <v>254</v>
      </c>
      <c r="F255" s="1303">
        <v>2.2000000000000002</v>
      </c>
      <c r="G255" s="1302" t="s">
        <v>861</v>
      </c>
      <c r="H255" s="367" t="s">
        <v>853</v>
      </c>
      <c r="I255" s="711" t="s">
        <v>28</v>
      </c>
      <c r="J255" s="1296">
        <v>2</v>
      </c>
    </row>
    <row r="256" spans="1:10" x14ac:dyDescent="0.25">
      <c r="A256" s="1300" t="s">
        <v>892</v>
      </c>
      <c r="B256" s="1298" t="s">
        <v>852</v>
      </c>
      <c r="C256" s="1352" t="s">
        <v>854</v>
      </c>
      <c r="D256" s="1289" t="s">
        <v>28</v>
      </c>
      <c r="E256" s="1290">
        <v>255</v>
      </c>
      <c r="F256" s="1303">
        <v>2.2999999999999998</v>
      </c>
      <c r="G256" s="1302" t="s">
        <v>852</v>
      </c>
      <c r="H256" s="367" t="s">
        <v>853</v>
      </c>
      <c r="I256" s="711" t="s">
        <v>28</v>
      </c>
      <c r="J256" s="1296" t="s">
        <v>855</v>
      </c>
    </row>
    <row r="257" spans="1:10" x14ac:dyDescent="0.25">
      <c r="A257" s="1309" t="s">
        <v>894</v>
      </c>
      <c r="B257" s="1310" t="s">
        <v>852</v>
      </c>
      <c r="C257" s="1352" t="s">
        <v>854</v>
      </c>
      <c r="D257" s="1289" t="s">
        <v>28</v>
      </c>
      <c r="E257" s="1290">
        <v>256</v>
      </c>
      <c r="F257" s="1303">
        <v>2.4</v>
      </c>
      <c r="G257" s="1295" t="s">
        <v>864</v>
      </c>
      <c r="H257" s="367" t="s">
        <v>853</v>
      </c>
      <c r="I257" s="711" t="s">
        <v>28</v>
      </c>
      <c r="J257" s="1296" t="s">
        <v>872</v>
      </c>
    </row>
    <row r="258" spans="1:10" x14ac:dyDescent="0.25">
      <c r="A258" s="1311" t="s">
        <v>898</v>
      </c>
      <c r="B258" s="1312" t="s">
        <v>888</v>
      </c>
      <c r="C258" s="1352" t="s">
        <v>854</v>
      </c>
      <c r="D258" s="1289" t="s">
        <v>28</v>
      </c>
      <c r="E258" s="1290">
        <v>257</v>
      </c>
      <c r="F258" s="1303">
        <v>2.5</v>
      </c>
      <c r="G258" s="1295" t="s">
        <v>874</v>
      </c>
      <c r="H258" s="367" t="s">
        <v>853</v>
      </c>
      <c r="I258" s="711" t="s">
        <v>28</v>
      </c>
      <c r="J258" s="1296" t="s">
        <v>875</v>
      </c>
    </row>
    <row r="259" spans="1:10" x14ac:dyDescent="0.25">
      <c r="A259" s="1311" t="s">
        <v>900</v>
      </c>
      <c r="B259" s="1314" t="s">
        <v>901</v>
      </c>
      <c r="C259" s="1352" t="s">
        <v>854</v>
      </c>
      <c r="D259" s="1289" t="s">
        <v>28</v>
      </c>
      <c r="E259" s="1290">
        <v>258</v>
      </c>
      <c r="F259" s="1303">
        <v>2.6</v>
      </c>
      <c r="G259" s="1302" t="s">
        <v>852</v>
      </c>
      <c r="H259" s="367" t="s">
        <v>853</v>
      </c>
      <c r="I259" s="711" t="s">
        <v>28</v>
      </c>
      <c r="J259" s="1296" t="s">
        <v>855</v>
      </c>
    </row>
    <row r="260" spans="1:10" x14ac:dyDescent="0.25">
      <c r="A260" s="1315" t="s">
        <v>904</v>
      </c>
      <c r="B260" s="1316" t="s">
        <v>852</v>
      </c>
      <c r="C260" s="1352" t="s">
        <v>854</v>
      </c>
      <c r="D260" s="1289" t="s">
        <v>28</v>
      </c>
      <c r="E260" s="1290">
        <v>259</v>
      </c>
      <c r="F260" s="1291" t="s">
        <v>729</v>
      </c>
      <c r="G260" s="1302" t="s">
        <v>548</v>
      </c>
      <c r="H260" s="367" t="s">
        <v>853</v>
      </c>
      <c r="I260" s="711" t="s">
        <v>28</v>
      </c>
      <c r="J260" s="1296" t="s">
        <v>548</v>
      </c>
    </row>
    <row r="261" spans="1:10" x14ac:dyDescent="0.25">
      <c r="A261" s="1317" t="s">
        <v>905</v>
      </c>
      <c r="B261" s="1318" t="s">
        <v>548</v>
      </c>
      <c r="C261" s="1352" t="s">
        <v>854</v>
      </c>
      <c r="D261" s="1289" t="s">
        <v>28</v>
      </c>
      <c r="E261" s="1290">
        <v>260</v>
      </c>
      <c r="F261" s="1291" t="s">
        <v>731</v>
      </c>
      <c r="G261" s="1302" t="s">
        <v>1006</v>
      </c>
      <c r="H261" s="1098" t="s">
        <v>853</v>
      </c>
      <c r="I261" s="711" t="s">
        <v>28</v>
      </c>
      <c r="J261" s="1296" t="s">
        <v>1007</v>
      </c>
    </row>
    <row r="262" spans="1:10" x14ac:dyDescent="0.25">
      <c r="A262" s="1319" t="s">
        <v>906</v>
      </c>
      <c r="B262" s="1318" t="s">
        <v>907</v>
      </c>
      <c r="C262" s="1352" t="s">
        <v>854</v>
      </c>
      <c r="D262" s="1289" t="s">
        <v>28</v>
      </c>
      <c r="E262" s="1290">
        <v>261</v>
      </c>
      <c r="F262" s="1303">
        <v>2.8</v>
      </c>
      <c r="G262" s="1302" t="s">
        <v>981</v>
      </c>
      <c r="H262" s="367" t="s">
        <v>853</v>
      </c>
      <c r="I262" s="711" t="s">
        <v>28</v>
      </c>
      <c r="J262" s="1296" t="s">
        <v>982</v>
      </c>
    </row>
    <row r="263" spans="1:10" x14ac:dyDescent="0.25">
      <c r="A263" s="1317" t="s">
        <v>910</v>
      </c>
      <c r="B263" s="1318" t="s">
        <v>548</v>
      </c>
      <c r="C263" s="1352" t="s">
        <v>854</v>
      </c>
      <c r="D263" s="1289" t="s">
        <v>28</v>
      </c>
      <c r="E263" s="1290">
        <v>262</v>
      </c>
      <c r="F263" s="1303">
        <v>2.9</v>
      </c>
      <c r="G263" s="1302" t="s">
        <v>864</v>
      </c>
      <c r="H263" s="367" t="s">
        <v>853</v>
      </c>
      <c r="I263" s="711" t="s">
        <v>28</v>
      </c>
      <c r="J263" s="1296" t="s">
        <v>872</v>
      </c>
    </row>
    <row r="264" spans="1:10" x14ac:dyDescent="0.25">
      <c r="A264" s="1319" t="s">
        <v>911</v>
      </c>
      <c r="B264" s="1318" t="s">
        <v>852</v>
      </c>
      <c r="C264" s="1352" t="s">
        <v>854</v>
      </c>
      <c r="D264" s="1289" t="s">
        <v>28</v>
      </c>
      <c r="E264" s="1290">
        <v>263</v>
      </c>
      <c r="F264" s="1307" t="s">
        <v>735</v>
      </c>
      <c r="G264" s="1302" t="s">
        <v>868</v>
      </c>
      <c r="H264" s="367" t="s">
        <v>853</v>
      </c>
      <c r="I264" s="711" t="s">
        <v>28</v>
      </c>
      <c r="J264" s="1296" t="s">
        <v>883</v>
      </c>
    </row>
    <row r="265" spans="1:10" x14ac:dyDescent="0.25">
      <c r="A265" s="1319" t="s">
        <v>914</v>
      </c>
      <c r="B265" s="1320" t="s">
        <v>915</v>
      </c>
      <c r="C265" s="1352" t="s">
        <v>854</v>
      </c>
      <c r="D265" s="1289" t="s">
        <v>28</v>
      </c>
      <c r="E265" s="1290">
        <v>264</v>
      </c>
      <c r="F265" s="1303">
        <v>3.1</v>
      </c>
      <c r="G265" s="1302" t="s">
        <v>852</v>
      </c>
      <c r="H265" s="367" t="s">
        <v>853</v>
      </c>
      <c r="I265" s="711" t="s">
        <v>28</v>
      </c>
      <c r="J265" s="1296" t="s">
        <v>855</v>
      </c>
    </row>
    <row r="266" spans="1:10" x14ac:dyDescent="0.25">
      <c r="A266" s="1319" t="s">
        <v>918</v>
      </c>
      <c r="B266" s="1318" t="s">
        <v>868</v>
      </c>
      <c r="C266" s="1352" t="s">
        <v>854</v>
      </c>
      <c r="D266" s="1289" t="s">
        <v>28</v>
      </c>
      <c r="E266" s="1290">
        <v>265</v>
      </c>
      <c r="F266" s="1303">
        <v>3.2</v>
      </c>
      <c r="G266" s="1302" t="s">
        <v>852</v>
      </c>
      <c r="H266" s="367" t="s">
        <v>853</v>
      </c>
      <c r="I266" s="711" t="s">
        <v>28</v>
      </c>
      <c r="J266" s="1296" t="s">
        <v>855</v>
      </c>
    </row>
    <row r="267" spans="1:10" x14ac:dyDescent="0.25">
      <c r="A267" s="1319" t="s">
        <v>919</v>
      </c>
      <c r="B267" s="1318" t="s">
        <v>852</v>
      </c>
      <c r="C267" s="1352" t="s">
        <v>854</v>
      </c>
      <c r="D267" s="1289" t="s">
        <v>28</v>
      </c>
      <c r="E267" s="1290">
        <v>266</v>
      </c>
      <c r="F267" s="1291" t="s">
        <v>889</v>
      </c>
      <c r="G267" s="1295" t="s">
        <v>890</v>
      </c>
      <c r="H267" s="1098" t="s">
        <v>853</v>
      </c>
      <c r="I267" s="711" t="s">
        <v>28</v>
      </c>
      <c r="J267" s="1296" t="s">
        <v>891</v>
      </c>
    </row>
    <row r="268" spans="1:10" x14ac:dyDescent="0.25">
      <c r="A268" s="1319" t="s">
        <v>920</v>
      </c>
      <c r="B268" s="1318" t="s">
        <v>852</v>
      </c>
      <c r="C268" s="1352" t="s">
        <v>854</v>
      </c>
      <c r="D268" s="1289" t="s">
        <v>28</v>
      </c>
      <c r="E268" s="1290">
        <v>267</v>
      </c>
      <c r="F268" s="1291" t="s">
        <v>893</v>
      </c>
      <c r="G268" s="1295" t="s">
        <v>864</v>
      </c>
      <c r="H268" s="1098" t="s">
        <v>853</v>
      </c>
      <c r="I268" s="711" t="s">
        <v>28</v>
      </c>
      <c r="J268" s="1296" t="s">
        <v>872</v>
      </c>
    </row>
    <row r="269" spans="1:10" x14ac:dyDescent="0.25">
      <c r="A269" s="1317" t="s">
        <v>923</v>
      </c>
      <c r="B269" s="1318" t="s">
        <v>548</v>
      </c>
      <c r="C269" s="1352" t="s">
        <v>854</v>
      </c>
      <c r="D269" s="1289" t="s">
        <v>28</v>
      </c>
      <c r="E269" s="1290">
        <v>268</v>
      </c>
      <c r="F269" s="1291" t="s">
        <v>895</v>
      </c>
      <c r="G269" s="1302" t="s">
        <v>896</v>
      </c>
      <c r="H269" s="1098" t="s">
        <v>853</v>
      </c>
      <c r="I269" s="711" t="s">
        <v>28</v>
      </c>
      <c r="J269" s="1296" t="s">
        <v>897</v>
      </c>
    </row>
    <row r="270" spans="1:10" x14ac:dyDescent="0.25">
      <c r="A270" s="1319" t="s">
        <v>924</v>
      </c>
      <c r="B270" s="1318" t="s">
        <v>925</v>
      </c>
      <c r="C270" s="1352" t="s">
        <v>854</v>
      </c>
      <c r="D270" s="1289" t="s">
        <v>28</v>
      </c>
      <c r="E270" s="1290">
        <v>269</v>
      </c>
      <c r="F270" s="1303">
        <v>3.4</v>
      </c>
      <c r="G270" s="1302" t="s">
        <v>899</v>
      </c>
      <c r="H270" s="367" t="s">
        <v>853</v>
      </c>
      <c r="I270" s="711" t="s">
        <v>28</v>
      </c>
      <c r="J270" s="1296" t="s">
        <v>891</v>
      </c>
    </row>
    <row r="271" spans="1:10" x14ac:dyDescent="0.25">
      <c r="A271" s="1319" t="s">
        <v>928</v>
      </c>
      <c r="B271" s="1318" t="s">
        <v>929</v>
      </c>
      <c r="C271" s="1352" t="s">
        <v>854</v>
      </c>
      <c r="D271" s="1289" t="s">
        <v>28</v>
      </c>
      <c r="E271" s="1290">
        <v>270</v>
      </c>
      <c r="F271" s="1303">
        <v>3.5</v>
      </c>
      <c r="G271" s="1295" t="s">
        <v>902</v>
      </c>
      <c r="H271" s="367" t="s">
        <v>853</v>
      </c>
      <c r="I271" s="711" t="s">
        <v>28</v>
      </c>
      <c r="J271" s="1296" t="s">
        <v>903</v>
      </c>
    </row>
    <row r="272" spans="1:10" x14ac:dyDescent="0.25">
      <c r="A272" s="1319" t="s">
        <v>931</v>
      </c>
      <c r="B272" s="1318" t="s">
        <v>932</v>
      </c>
      <c r="C272" s="1352" t="s">
        <v>854</v>
      </c>
      <c r="D272" s="1289" t="s">
        <v>28</v>
      </c>
      <c r="E272" s="1290">
        <v>271</v>
      </c>
      <c r="F272" s="1303">
        <v>3.6</v>
      </c>
      <c r="G272" s="1302" t="s">
        <v>852</v>
      </c>
      <c r="H272" s="367" t="s">
        <v>853</v>
      </c>
      <c r="I272" s="711" t="s">
        <v>28</v>
      </c>
      <c r="J272" s="1296" t="s">
        <v>855</v>
      </c>
    </row>
    <row r="273" spans="1:10" x14ac:dyDescent="0.25">
      <c r="A273" s="1319" t="s">
        <v>933</v>
      </c>
      <c r="B273" s="1318" t="s">
        <v>852</v>
      </c>
      <c r="C273" s="1352" t="s">
        <v>854</v>
      </c>
      <c r="D273" s="1289" t="s">
        <v>28</v>
      </c>
      <c r="E273" s="1290">
        <v>272</v>
      </c>
      <c r="F273" s="1291" t="s">
        <v>750</v>
      </c>
      <c r="G273" s="1302" t="s">
        <v>852</v>
      </c>
      <c r="H273" s="1098" t="s">
        <v>853</v>
      </c>
      <c r="I273" s="711" t="s">
        <v>28</v>
      </c>
      <c r="J273" s="1296" t="s">
        <v>855</v>
      </c>
    </row>
    <row r="274" spans="1:10" x14ac:dyDescent="0.25">
      <c r="A274" s="1319" t="s">
        <v>782</v>
      </c>
      <c r="B274" s="1318" t="s">
        <v>934</v>
      </c>
      <c r="C274" s="1352" t="s">
        <v>854</v>
      </c>
      <c r="D274" s="1289" t="s">
        <v>28</v>
      </c>
      <c r="E274" s="1290">
        <v>273</v>
      </c>
      <c r="F274" s="1291" t="s">
        <v>752</v>
      </c>
      <c r="G274" s="1302" t="s">
        <v>908</v>
      </c>
      <c r="H274" s="1098" t="s">
        <v>853</v>
      </c>
      <c r="I274" s="711" t="s">
        <v>28</v>
      </c>
      <c r="J274" s="1296" t="s">
        <v>909</v>
      </c>
    </row>
    <row r="275" spans="1:10" x14ac:dyDescent="0.25">
      <c r="A275" s="1319">
        <v>5.1100000000000003</v>
      </c>
      <c r="B275" s="1318" t="s">
        <v>548</v>
      </c>
      <c r="C275" s="1352" t="s">
        <v>854</v>
      </c>
      <c r="D275" s="1289" t="s">
        <v>28</v>
      </c>
      <c r="E275" s="1290">
        <v>274</v>
      </c>
      <c r="F275" s="1303">
        <v>4.2</v>
      </c>
      <c r="G275" s="1302" t="s">
        <v>861</v>
      </c>
      <c r="H275" s="367" t="s">
        <v>853</v>
      </c>
      <c r="I275" s="711" t="s">
        <v>28</v>
      </c>
      <c r="J275" s="1296" t="s">
        <v>881</v>
      </c>
    </row>
    <row r="276" spans="1:10" x14ac:dyDescent="0.25">
      <c r="A276" s="1319">
        <v>5.12</v>
      </c>
      <c r="B276" s="1318" t="s">
        <v>548</v>
      </c>
      <c r="C276" s="1352" t="s">
        <v>854</v>
      </c>
      <c r="D276" s="1289" t="s">
        <v>28</v>
      </c>
      <c r="E276" s="1290">
        <v>275</v>
      </c>
      <c r="F276" s="1303">
        <v>4.3</v>
      </c>
      <c r="G276" s="1295" t="s">
        <v>912</v>
      </c>
      <c r="H276" s="367" t="s">
        <v>853</v>
      </c>
      <c r="I276" s="711" t="s">
        <v>28</v>
      </c>
      <c r="J276" s="1296" t="s">
        <v>913</v>
      </c>
    </row>
    <row r="277" spans="1:10" x14ac:dyDescent="0.25">
      <c r="A277" s="1322">
        <v>5.13</v>
      </c>
      <c r="B277" s="1323" t="s">
        <v>548</v>
      </c>
      <c r="C277" s="1352" t="s">
        <v>854</v>
      </c>
      <c r="D277" s="1289" t="s">
        <v>28</v>
      </c>
      <c r="E277" s="1290">
        <v>276</v>
      </c>
      <c r="F277" s="1303">
        <v>4.4000000000000004</v>
      </c>
      <c r="G277" s="1295" t="s">
        <v>916</v>
      </c>
      <c r="H277" s="367" t="s">
        <v>853</v>
      </c>
      <c r="I277" s="711" t="s">
        <v>28</v>
      </c>
      <c r="J277" s="1296" t="s">
        <v>917</v>
      </c>
    </row>
    <row r="278" spans="1:10" x14ac:dyDescent="0.25">
      <c r="A278" s="1315" t="s">
        <v>936</v>
      </c>
      <c r="B278" s="1316" t="s">
        <v>852</v>
      </c>
      <c r="C278" s="1352" t="s">
        <v>854</v>
      </c>
      <c r="D278" s="1289" t="s">
        <v>28</v>
      </c>
      <c r="E278" s="1290">
        <v>277</v>
      </c>
      <c r="F278" s="1291" t="s">
        <v>759</v>
      </c>
      <c r="G278" s="1302" t="s">
        <v>852</v>
      </c>
      <c r="H278" s="1098" t="s">
        <v>853</v>
      </c>
      <c r="I278" s="711" t="s">
        <v>28</v>
      </c>
      <c r="J278" s="1296" t="s">
        <v>855</v>
      </c>
    </row>
    <row r="279" spans="1:10" x14ac:dyDescent="0.25">
      <c r="A279" s="1319" t="s">
        <v>937</v>
      </c>
      <c r="B279" s="1318" t="s">
        <v>852</v>
      </c>
      <c r="C279" s="1352" t="s">
        <v>854</v>
      </c>
      <c r="D279" s="1289" t="s">
        <v>28</v>
      </c>
      <c r="E279" s="1290">
        <v>278</v>
      </c>
      <c r="F279" s="1291" t="s">
        <v>761</v>
      </c>
      <c r="G279" s="1302" t="s">
        <v>548</v>
      </c>
      <c r="H279" s="1098" t="s">
        <v>853</v>
      </c>
      <c r="I279" s="711" t="s">
        <v>28</v>
      </c>
      <c r="J279" s="1296" t="s">
        <v>548</v>
      </c>
    </row>
    <row r="280" spans="1:10" x14ac:dyDescent="0.25">
      <c r="A280" s="1319" t="s">
        <v>938</v>
      </c>
      <c r="B280" s="1318" t="s">
        <v>884</v>
      </c>
      <c r="C280" s="1352" t="s">
        <v>854</v>
      </c>
      <c r="D280" s="1289" t="s">
        <v>28</v>
      </c>
      <c r="E280" s="1290">
        <v>279</v>
      </c>
      <c r="F280" s="1291" t="s">
        <v>763</v>
      </c>
      <c r="G280" s="1321" t="s">
        <v>921</v>
      </c>
      <c r="H280" s="1098" t="s">
        <v>853</v>
      </c>
      <c r="I280" s="711" t="s">
        <v>28</v>
      </c>
      <c r="J280" s="1296" t="s">
        <v>922</v>
      </c>
    </row>
    <row r="281" spans="1:10" x14ac:dyDescent="0.25">
      <c r="A281" s="1319" t="s">
        <v>939</v>
      </c>
      <c r="B281" s="1318" t="s">
        <v>940</v>
      </c>
      <c r="C281" s="1352" t="s">
        <v>854</v>
      </c>
      <c r="D281" s="1289" t="s">
        <v>28</v>
      </c>
      <c r="E281" s="1290">
        <v>280</v>
      </c>
      <c r="F281" s="1291" t="s">
        <v>765</v>
      </c>
      <c r="G281" s="1302" t="s">
        <v>548</v>
      </c>
      <c r="H281" s="1098" t="s">
        <v>853</v>
      </c>
      <c r="I281" s="711" t="s">
        <v>28</v>
      </c>
      <c r="J281" s="1296" t="s">
        <v>548</v>
      </c>
    </row>
    <row r="282" spans="1:10" x14ac:dyDescent="0.25">
      <c r="A282" s="1319" t="s">
        <v>941</v>
      </c>
      <c r="B282" s="1318" t="s">
        <v>884</v>
      </c>
      <c r="C282" s="1352" t="s">
        <v>854</v>
      </c>
      <c r="D282" s="1289" t="s">
        <v>28</v>
      </c>
      <c r="E282" s="1290">
        <v>281</v>
      </c>
      <c r="F282" s="1303">
        <v>5.3</v>
      </c>
      <c r="G282" s="1295" t="s">
        <v>926</v>
      </c>
      <c r="H282" s="367" t="s">
        <v>853</v>
      </c>
      <c r="I282" s="711" t="s">
        <v>28</v>
      </c>
      <c r="J282" s="1296" t="s">
        <v>927</v>
      </c>
    </row>
    <row r="283" spans="1:10" x14ac:dyDescent="0.25">
      <c r="A283" s="1319" t="s">
        <v>942</v>
      </c>
      <c r="B283" s="1318" t="s">
        <v>884</v>
      </c>
      <c r="C283" s="1352" t="s">
        <v>854</v>
      </c>
      <c r="D283" s="1289" t="s">
        <v>28</v>
      </c>
      <c r="E283" s="1290">
        <v>282</v>
      </c>
      <c r="F283" s="1303">
        <v>5.4</v>
      </c>
      <c r="G283" s="1302" t="s">
        <v>930</v>
      </c>
      <c r="H283" s="367" t="s">
        <v>853</v>
      </c>
      <c r="I283" s="711" t="s">
        <v>28</v>
      </c>
      <c r="J283" s="1296" t="s">
        <v>891</v>
      </c>
    </row>
    <row r="284" spans="1:10" x14ac:dyDescent="0.25">
      <c r="A284" s="1319" t="s">
        <v>943</v>
      </c>
      <c r="B284" s="1318" t="s">
        <v>864</v>
      </c>
      <c r="C284" s="1352" t="s">
        <v>854</v>
      </c>
      <c r="D284" s="1289" t="s">
        <v>28</v>
      </c>
      <c r="E284" s="1290">
        <v>283</v>
      </c>
      <c r="F284" s="1303">
        <v>5.5</v>
      </c>
      <c r="G284" s="1295" t="s">
        <v>868</v>
      </c>
      <c r="H284" s="367" t="s">
        <v>853</v>
      </c>
      <c r="I284" s="711" t="s">
        <v>28</v>
      </c>
      <c r="J284" s="1296" t="s">
        <v>883</v>
      </c>
    </row>
    <row r="285" spans="1:10" x14ac:dyDescent="0.25">
      <c r="A285" s="1319" t="s">
        <v>944</v>
      </c>
      <c r="B285" s="1318" t="s">
        <v>864</v>
      </c>
      <c r="C285" s="1352" t="s">
        <v>854</v>
      </c>
      <c r="D285" s="1289" t="s">
        <v>28</v>
      </c>
      <c r="E285" s="1290">
        <v>284</v>
      </c>
      <c r="F285" s="1303">
        <v>5.6</v>
      </c>
      <c r="G285" s="1295" t="s">
        <v>852</v>
      </c>
      <c r="H285" s="367" t="s">
        <v>853</v>
      </c>
      <c r="I285" s="711" t="s">
        <v>28</v>
      </c>
      <c r="J285" s="1296" t="s">
        <v>855</v>
      </c>
    </row>
    <row r="286" spans="1:10" x14ac:dyDescent="0.25">
      <c r="A286" s="1322" t="s">
        <v>945</v>
      </c>
      <c r="B286" s="1323" t="s">
        <v>946</v>
      </c>
      <c r="C286" s="1352" t="s">
        <v>854</v>
      </c>
      <c r="D286" s="1289" t="s">
        <v>28</v>
      </c>
      <c r="E286" s="1290">
        <v>285</v>
      </c>
      <c r="F286" s="1291" t="s">
        <v>771</v>
      </c>
      <c r="G286" s="1302" t="s">
        <v>852</v>
      </c>
      <c r="H286" s="1098" t="s">
        <v>853</v>
      </c>
      <c r="I286" s="711" t="s">
        <v>28</v>
      </c>
      <c r="J286" s="1296" t="s">
        <v>855</v>
      </c>
    </row>
    <row r="287" spans="1:10" x14ac:dyDescent="0.25">
      <c r="A287" s="1315" t="s">
        <v>947</v>
      </c>
      <c r="B287" s="1316" t="s">
        <v>852</v>
      </c>
      <c r="C287" s="1352" t="s">
        <v>854</v>
      </c>
      <c r="D287" s="1289" t="s">
        <v>28</v>
      </c>
      <c r="E287" s="1290">
        <v>286</v>
      </c>
      <c r="F287" s="1291" t="s">
        <v>773</v>
      </c>
      <c r="G287" s="1302" t="s">
        <v>548</v>
      </c>
      <c r="H287" s="1098" t="s">
        <v>853</v>
      </c>
      <c r="I287" s="711" t="s">
        <v>28</v>
      </c>
      <c r="J287" s="1296" t="s">
        <v>548</v>
      </c>
    </row>
    <row r="288" spans="1:10" x14ac:dyDescent="0.25">
      <c r="A288" s="1319" t="s">
        <v>950</v>
      </c>
      <c r="B288" s="1320" t="s">
        <v>951</v>
      </c>
      <c r="C288" s="1352" t="s">
        <v>854</v>
      </c>
      <c r="D288" s="1289" t="s">
        <v>28</v>
      </c>
      <c r="E288" s="1290">
        <v>287</v>
      </c>
      <c r="F288" s="1291" t="s">
        <v>775</v>
      </c>
      <c r="G288" s="1302" t="s">
        <v>548</v>
      </c>
      <c r="H288" s="1098" t="s">
        <v>853</v>
      </c>
      <c r="I288" s="711" t="s">
        <v>28</v>
      </c>
      <c r="J288" s="1296" t="s">
        <v>548</v>
      </c>
    </row>
    <row r="289" spans="1:10" x14ac:dyDescent="0.25">
      <c r="A289" s="1319" t="s">
        <v>952</v>
      </c>
      <c r="B289" s="1318" t="s">
        <v>953</v>
      </c>
      <c r="C289" s="1352" t="s">
        <v>854</v>
      </c>
      <c r="D289" s="1289" t="s">
        <v>28</v>
      </c>
      <c r="E289" s="1290">
        <v>288</v>
      </c>
      <c r="F289" s="1291" t="s">
        <v>777</v>
      </c>
      <c r="G289" s="1295" t="s">
        <v>929</v>
      </c>
      <c r="H289" s="1098" t="s">
        <v>853</v>
      </c>
      <c r="I289" s="711" t="s">
        <v>28</v>
      </c>
      <c r="J289" s="1296" t="s">
        <v>935</v>
      </c>
    </row>
    <row r="290" spans="1:10" x14ac:dyDescent="0.25">
      <c r="A290" s="1319" t="s">
        <v>955</v>
      </c>
      <c r="B290" s="1318" t="s">
        <v>852</v>
      </c>
      <c r="C290" s="1352" t="s">
        <v>854</v>
      </c>
      <c r="D290" s="1289" t="s">
        <v>28</v>
      </c>
      <c r="E290" s="1290">
        <v>289</v>
      </c>
      <c r="F290" s="1291" t="s">
        <v>779</v>
      </c>
      <c r="G290" s="1302" t="s">
        <v>548</v>
      </c>
      <c r="H290" s="1098" t="s">
        <v>853</v>
      </c>
      <c r="I290" s="711" t="s">
        <v>28</v>
      </c>
      <c r="J290" s="1296" t="s">
        <v>548</v>
      </c>
    </row>
    <row r="291" spans="1:10" x14ac:dyDescent="0.25">
      <c r="A291" s="1317" t="s">
        <v>956</v>
      </c>
      <c r="B291" s="1318" t="s">
        <v>548</v>
      </c>
      <c r="C291" s="1352" t="s">
        <v>854</v>
      </c>
      <c r="D291" s="1289" t="s">
        <v>28</v>
      </c>
      <c r="E291" s="1290">
        <v>290</v>
      </c>
      <c r="F291" s="1303">
        <v>5.9</v>
      </c>
      <c r="G291" s="1302" t="s">
        <v>852</v>
      </c>
      <c r="H291" s="367" t="s">
        <v>853</v>
      </c>
      <c r="I291" s="711" t="s">
        <v>28</v>
      </c>
      <c r="J291" s="1296" t="s">
        <v>855</v>
      </c>
    </row>
    <row r="292" spans="1:10" x14ac:dyDescent="0.25">
      <c r="A292" s="1319" t="s">
        <v>957</v>
      </c>
      <c r="B292" s="1318" t="s">
        <v>852</v>
      </c>
      <c r="C292" s="1352" t="s">
        <v>854</v>
      </c>
      <c r="D292" s="1289" t="s">
        <v>28</v>
      </c>
      <c r="E292" s="1290">
        <v>291</v>
      </c>
      <c r="F292" s="1307" t="s">
        <v>782</v>
      </c>
      <c r="G292" s="1302" t="s">
        <v>548</v>
      </c>
      <c r="H292" s="367" t="s">
        <v>853</v>
      </c>
      <c r="I292" s="711" t="s">
        <v>28</v>
      </c>
      <c r="J292" s="1296" t="s">
        <v>548</v>
      </c>
    </row>
    <row r="293" spans="1:10" x14ac:dyDescent="0.25">
      <c r="A293" s="1317" t="s">
        <v>959</v>
      </c>
      <c r="B293" s="1318" t="s">
        <v>548</v>
      </c>
      <c r="C293" s="1352" t="s">
        <v>854</v>
      </c>
      <c r="D293" s="1289" t="s">
        <v>28</v>
      </c>
      <c r="E293" s="1290">
        <v>292</v>
      </c>
      <c r="F293" s="1303">
        <v>5.1100000000000003</v>
      </c>
      <c r="G293" s="1302" t="s">
        <v>548</v>
      </c>
      <c r="H293" s="367" t="s">
        <v>853</v>
      </c>
      <c r="I293" s="711" t="s">
        <v>28</v>
      </c>
      <c r="J293" s="1296" t="s">
        <v>548</v>
      </c>
    </row>
    <row r="294" spans="1:10" x14ac:dyDescent="0.25">
      <c r="A294" s="1319">
        <v>7.5</v>
      </c>
      <c r="B294" s="1318" t="s">
        <v>852</v>
      </c>
      <c r="C294" s="1352" t="s">
        <v>854</v>
      </c>
      <c r="D294" s="1289" t="s">
        <v>28</v>
      </c>
      <c r="E294" s="1290">
        <v>293</v>
      </c>
      <c r="F294" s="1303">
        <v>5.12</v>
      </c>
      <c r="G294" s="1302" t="s">
        <v>548</v>
      </c>
      <c r="H294" s="367" t="s">
        <v>853</v>
      </c>
      <c r="I294" s="711" t="s">
        <v>28</v>
      </c>
      <c r="J294" s="1296" t="s">
        <v>548</v>
      </c>
    </row>
    <row r="295" spans="1:10" x14ac:dyDescent="0.25">
      <c r="A295" s="1319">
        <v>7.6</v>
      </c>
      <c r="B295" s="1318" t="s">
        <v>852</v>
      </c>
      <c r="C295" s="1352" t="s">
        <v>854</v>
      </c>
      <c r="D295" s="1289" t="s">
        <v>28</v>
      </c>
      <c r="E295" s="1290">
        <v>294</v>
      </c>
      <c r="F295" s="1303">
        <v>5.13</v>
      </c>
      <c r="G295" s="1302" t="s">
        <v>548</v>
      </c>
      <c r="H295" s="367" t="s">
        <v>853</v>
      </c>
      <c r="I295" s="711" t="s">
        <v>28</v>
      </c>
      <c r="J295" s="1296" t="s">
        <v>548</v>
      </c>
    </row>
    <row r="296" spans="1:10" x14ac:dyDescent="0.25">
      <c r="A296" s="1319">
        <v>7.7</v>
      </c>
      <c r="B296" s="1318" t="s">
        <v>852</v>
      </c>
      <c r="C296" s="1352" t="s">
        <v>854</v>
      </c>
      <c r="D296" s="1289" t="s">
        <v>28</v>
      </c>
      <c r="E296" s="1290">
        <v>295</v>
      </c>
      <c r="F296" s="1303">
        <v>6.1</v>
      </c>
      <c r="G296" s="1302" t="s">
        <v>852</v>
      </c>
      <c r="H296" s="367" t="s">
        <v>853</v>
      </c>
      <c r="I296" s="711" t="s">
        <v>28</v>
      </c>
      <c r="J296" s="1296" t="s">
        <v>855</v>
      </c>
    </row>
    <row r="297" spans="1:10" x14ac:dyDescent="0.25">
      <c r="A297" s="1319">
        <v>7.8</v>
      </c>
      <c r="B297" s="1318" t="s">
        <v>852</v>
      </c>
      <c r="C297" s="1352" t="s">
        <v>854</v>
      </c>
      <c r="D297" s="1289" t="s">
        <v>28</v>
      </c>
      <c r="E297" s="1290">
        <v>296</v>
      </c>
      <c r="F297" s="1303">
        <v>6.2</v>
      </c>
      <c r="G297" s="1302" t="s">
        <v>852</v>
      </c>
      <c r="H297" s="367" t="s">
        <v>853</v>
      </c>
      <c r="I297" s="711" t="s">
        <v>28</v>
      </c>
      <c r="J297" s="1296" t="s">
        <v>855</v>
      </c>
    </row>
    <row r="298" spans="1:10" x14ac:dyDescent="0.25">
      <c r="A298" s="1325" t="s">
        <v>962</v>
      </c>
      <c r="B298" s="1318" t="s">
        <v>852</v>
      </c>
      <c r="C298" s="1352" t="s">
        <v>854</v>
      </c>
      <c r="D298" s="1289" t="s">
        <v>28</v>
      </c>
      <c r="E298" s="1290">
        <v>297</v>
      </c>
      <c r="F298" s="1303">
        <v>6.3</v>
      </c>
      <c r="G298" s="1302" t="s">
        <v>896</v>
      </c>
      <c r="H298" s="367" t="s">
        <v>853</v>
      </c>
      <c r="I298" s="711" t="s">
        <v>28</v>
      </c>
      <c r="J298" s="1324" t="s">
        <v>897</v>
      </c>
    </row>
    <row r="299" spans="1:10" x14ac:dyDescent="0.25">
      <c r="A299" s="1319" t="s">
        <v>963</v>
      </c>
      <c r="B299" s="1318" t="s">
        <v>852</v>
      </c>
      <c r="C299" s="1352" t="s">
        <v>854</v>
      </c>
      <c r="D299" s="1289" t="s">
        <v>28</v>
      </c>
      <c r="E299" s="1290">
        <v>298</v>
      </c>
      <c r="F299" s="1303">
        <v>6.4</v>
      </c>
      <c r="G299" s="1302" t="s">
        <v>948</v>
      </c>
      <c r="H299" s="367" t="s">
        <v>853</v>
      </c>
      <c r="I299" s="711" t="s">
        <v>28</v>
      </c>
      <c r="J299" s="1296" t="s">
        <v>949</v>
      </c>
    </row>
    <row r="300" spans="1:10" x14ac:dyDescent="0.25">
      <c r="A300" s="1319" t="s">
        <v>964</v>
      </c>
      <c r="B300" s="1318" t="s">
        <v>852</v>
      </c>
      <c r="C300" s="1352" t="s">
        <v>854</v>
      </c>
      <c r="D300" s="1289" t="s">
        <v>28</v>
      </c>
      <c r="E300" s="1290">
        <v>299</v>
      </c>
      <c r="F300" s="1291" t="s">
        <v>792</v>
      </c>
      <c r="G300" s="1295" t="s">
        <v>861</v>
      </c>
      <c r="H300" s="1098" t="s">
        <v>853</v>
      </c>
      <c r="I300" s="711" t="s">
        <v>28</v>
      </c>
      <c r="J300" s="1296" t="s">
        <v>881</v>
      </c>
    </row>
    <row r="301" spans="1:10" x14ac:dyDescent="0.25">
      <c r="A301" s="1319" t="s">
        <v>814</v>
      </c>
      <c r="B301" s="1318" t="s">
        <v>852</v>
      </c>
      <c r="C301" s="1352" t="s">
        <v>854</v>
      </c>
      <c r="D301" s="1289" t="s">
        <v>28</v>
      </c>
      <c r="E301" s="1290">
        <v>300</v>
      </c>
      <c r="F301" s="1291" t="s">
        <v>794</v>
      </c>
      <c r="G301" s="1295" t="s">
        <v>954</v>
      </c>
      <c r="H301" s="1098" t="s">
        <v>853</v>
      </c>
      <c r="I301" s="711" t="s">
        <v>28</v>
      </c>
      <c r="J301" s="1296" t="s">
        <v>881</v>
      </c>
    </row>
    <row r="302" spans="1:10" x14ac:dyDescent="0.25">
      <c r="A302" s="1319">
        <v>7.11</v>
      </c>
      <c r="B302" s="1318" t="s">
        <v>852</v>
      </c>
      <c r="C302" s="1352" t="s">
        <v>854</v>
      </c>
      <c r="D302" s="1289" t="s">
        <v>28</v>
      </c>
      <c r="E302" s="1290">
        <v>301</v>
      </c>
      <c r="F302" s="1303">
        <v>6.6</v>
      </c>
      <c r="G302" s="1302" t="s">
        <v>859</v>
      </c>
      <c r="H302" s="367" t="s">
        <v>853</v>
      </c>
      <c r="I302" s="711" t="s">
        <v>28</v>
      </c>
      <c r="J302" s="1324" t="s">
        <v>860</v>
      </c>
    </row>
    <row r="303" spans="1:10" x14ac:dyDescent="0.25">
      <c r="A303" s="1319">
        <v>7.12</v>
      </c>
      <c r="B303" s="1318" t="s">
        <v>852</v>
      </c>
      <c r="C303" s="1352" t="s">
        <v>854</v>
      </c>
      <c r="D303" s="1289" t="s">
        <v>28</v>
      </c>
      <c r="E303" s="1290">
        <v>302</v>
      </c>
      <c r="F303" s="1303">
        <v>7.1</v>
      </c>
      <c r="G303" s="1302" t="s">
        <v>852</v>
      </c>
      <c r="H303" s="367" t="s">
        <v>853</v>
      </c>
      <c r="I303" s="711" t="s">
        <v>28</v>
      </c>
      <c r="J303" s="1296" t="s">
        <v>855</v>
      </c>
    </row>
    <row r="304" spans="1:10" x14ac:dyDescent="0.25">
      <c r="A304" s="1319">
        <v>7.13</v>
      </c>
      <c r="B304" s="1318" t="s">
        <v>965</v>
      </c>
      <c r="C304" s="1352" t="s">
        <v>854</v>
      </c>
      <c r="D304" s="1289" t="s">
        <v>28</v>
      </c>
      <c r="E304" s="1290">
        <v>303</v>
      </c>
      <c r="F304" s="1291" t="s">
        <v>800</v>
      </c>
      <c r="G304" s="1295" t="s">
        <v>958</v>
      </c>
      <c r="H304" s="1098" t="s">
        <v>853</v>
      </c>
      <c r="I304" s="711" t="s">
        <v>28</v>
      </c>
      <c r="J304" s="1296" t="s">
        <v>891</v>
      </c>
    </row>
    <row r="305" spans="1:10" x14ac:dyDescent="0.25">
      <c r="A305" s="1319">
        <v>7.14</v>
      </c>
      <c r="B305" s="1318" t="s">
        <v>852</v>
      </c>
      <c r="C305" s="1352" t="s">
        <v>854</v>
      </c>
      <c r="D305" s="1289" t="s">
        <v>28</v>
      </c>
      <c r="E305" s="1290">
        <v>304</v>
      </c>
      <c r="F305" s="1291" t="s">
        <v>802</v>
      </c>
      <c r="G305" s="1295" t="s">
        <v>960</v>
      </c>
      <c r="H305" s="1098" t="s">
        <v>853</v>
      </c>
      <c r="I305" s="711" t="s">
        <v>28</v>
      </c>
      <c r="J305" s="1296" t="s">
        <v>961</v>
      </c>
    </row>
    <row r="306" spans="1:10" x14ac:dyDescent="0.25">
      <c r="A306" s="1319">
        <v>7.15</v>
      </c>
      <c r="B306" s="1318" t="s">
        <v>852</v>
      </c>
      <c r="C306" s="1352" t="s">
        <v>854</v>
      </c>
      <c r="D306" s="1289" t="s">
        <v>28</v>
      </c>
      <c r="E306" s="1290">
        <v>305</v>
      </c>
      <c r="F306" s="1291" t="s">
        <v>803</v>
      </c>
      <c r="G306" s="1295" t="s">
        <v>852</v>
      </c>
      <c r="H306" s="1098" t="s">
        <v>853</v>
      </c>
      <c r="I306" s="711" t="s">
        <v>28</v>
      </c>
      <c r="J306" s="1296" t="s">
        <v>855</v>
      </c>
    </row>
    <row r="307" spans="1:10" x14ac:dyDescent="0.25">
      <c r="A307" s="1319">
        <v>7.16</v>
      </c>
      <c r="B307" s="1318" t="s">
        <v>852</v>
      </c>
      <c r="C307" s="1352" t="s">
        <v>854</v>
      </c>
      <c r="D307" s="1289" t="s">
        <v>28</v>
      </c>
      <c r="E307" s="1290">
        <v>306</v>
      </c>
      <c r="F307" s="1291" t="s">
        <v>805</v>
      </c>
      <c r="G307" s="1302" t="s">
        <v>548</v>
      </c>
      <c r="H307" s="1098" t="s">
        <v>853</v>
      </c>
      <c r="I307" s="711" t="s">
        <v>28</v>
      </c>
      <c r="J307" s="1296" t="s">
        <v>548</v>
      </c>
    </row>
    <row r="308" spans="1:10" x14ac:dyDescent="0.25">
      <c r="A308" s="1322">
        <v>7.17</v>
      </c>
      <c r="B308" s="1323" t="s">
        <v>916</v>
      </c>
      <c r="C308" s="1352" t="s">
        <v>854</v>
      </c>
      <c r="D308" s="1289" t="s">
        <v>28</v>
      </c>
      <c r="E308" s="1290">
        <v>307</v>
      </c>
      <c r="F308" s="1291" t="s">
        <v>806</v>
      </c>
      <c r="G308" s="1302" t="s">
        <v>852</v>
      </c>
      <c r="H308" s="1098" t="s">
        <v>853</v>
      </c>
      <c r="I308" s="711" t="s">
        <v>28</v>
      </c>
      <c r="J308" s="1296" t="s">
        <v>855</v>
      </c>
    </row>
    <row r="309" spans="1:10" x14ac:dyDescent="0.25">
      <c r="A309" s="1315" t="s">
        <v>968</v>
      </c>
      <c r="B309" s="1316" t="s">
        <v>852</v>
      </c>
      <c r="C309" s="1352" t="s">
        <v>854</v>
      </c>
      <c r="D309" s="1289" t="s">
        <v>28</v>
      </c>
      <c r="E309" s="1290">
        <v>308</v>
      </c>
      <c r="F309" s="1291" t="s">
        <v>808</v>
      </c>
      <c r="G309" s="1302" t="s">
        <v>548</v>
      </c>
      <c r="H309" s="1098" t="s">
        <v>853</v>
      </c>
      <c r="I309" s="711" t="s">
        <v>28</v>
      </c>
      <c r="J309" s="1296" t="s">
        <v>548</v>
      </c>
    </row>
    <row r="310" spans="1:10" x14ac:dyDescent="0.25">
      <c r="A310" s="1319" t="s">
        <v>969</v>
      </c>
      <c r="B310" s="1318" t="s">
        <v>852</v>
      </c>
      <c r="C310" s="1352" t="s">
        <v>854</v>
      </c>
      <c r="D310" s="1289" t="s">
        <v>28</v>
      </c>
      <c r="E310" s="1290">
        <v>309</v>
      </c>
      <c r="F310" s="1303">
        <v>7.5</v>
      </c>
      <c r="G310" s="1302" t="s">
        <v>852</v>
      </c>
      <c r="H310" s="367" t="s">
        <v>853</v>
      </c>
      <c r="I310" s="711" t="s">
        <v>28</v>
      </c>
      <c r="J310" s="1296" t="s">
        <v>855</v>
      </c>
    </row>
    <row r="311" spans="1:10" x14ac:dyDescent="0.25">
      <c r="A311" s="1319" t="s">
        <v>970</v>
      </c>
      <c r="B311" s="1318" t="s">
        <v>852</v>
      </c>
      <c r="C311" s="1352" t="s">
        <v>854</v>
      </c>
      <c r="D311" s="1289" t="s">
        <v>28</v>
      </c>
      <c r="E311" s="1290">
        <v>310</v>
      </c>
      <c r="F311" s="1303">
        <v>7.6</v>
      </c>
      <c r="G311" s="1302" t="s">
        <v>852</v>
      </c>
      <c r="H311" s="367" t="s">
        <v>853</v>
      </c>
      <c r="I311" s="711" t="s">
        <v>28</v>
      </c>
      <c r="J311" s="1296" t="s">
        <v>855</v>
      </c>
    </row>
    <row r="312" spans="1:10" x14ac:dyDescent="0.25">
      <c r="A312" s="1319" t="s">
        <v>971</v>
      </c>
      <c r="B312" s="1318" t="s">
        <v>916</v>
      </c>
      <c r="C312" s="1352" t="s">
        <v>854</v>
      </c>
      <c r="D312" s="1289" t="s">
        <v>28</v>
      </c>
      <c r="E312" s="1290">
        <v>311</v>
      </c>
      <c r="F312" s="1303">
        <v>7.7</v>
      </c>
      <c r="G312" s="1302" t="s">
        <v>852</v>
      </c>
      <c r="H312" s="367" t="s">
        <v>853</v>
      </c>
      <c r="I312" s="711" t="s">
        <v>28</v>
      </c>
      <c r="J312" s="1296" t="s">
        <v>855</v>
      </c>
    </row>
    <row r="313" spans="1:10" x14ac:dyDescent="0.25">
      <c r="A313" s="1319" t="s">
        <v>972</v>
      </c>
      <c r="B313" s="1318" t="s">
        <v>861</v>
      </c>
      <c r="C313" s="1352" t="s">
        <v>854</v>
      </c>
      <c r="D313" s="1289" t="s">
        <v>28</v>
      </c>
      <c r="E313" s="1290">
        <v>312</v>
      </c>
      <c r="F313" s="1303">
        <v>7.8</v>
      </c>
      <c r="G313" s="1302" t="s">
        <v>852</v>
      </c>
      <c r="H313" s="367" t="s">
        <v>853</v>
      </c>
      <c r="I313" s="711" t="s">
        <v>28</v>
      </c>
      <c r="J313" s="1296" t="s">
        <v>855</v>
      </c>
    </row>
    <row r="314" spans="1:10" x14ac:dyDescent="0.25">
      <c r="A314" s="1331">
        <v>1.1000000000000001</v>
      </c>
      <c r="B314" s="1332" t="s">
        <v>852</v>
      </c>
      <c r="C314" s="1352" t="s">
        <v>854</v>
      </c>
      <c r="D314" s="1289" t="s">
        <v>973</v>
      </c>
      <c r="E314" s="1290">
        <v>313</v>
      </c>
      <c r="F314" s="1303">
        <v>7.9</v>
      </c>
      <c r="G314" s="1302" t="s">
        <v>852</v>
      </c>
      <c r="H314" s="367" t="s">
        <v>853</v>
      </c>
      <c r="I314" s="711" t="s">
        <v>28</v>
      </c>
      <c r="J314" s="1296" t="s">
        <v>855</v>
      </c>
    </row>
    <row r="315" spans="1:10" x14ac:dyDescent="0.25">
      <c r="A315" s="1297">
        <v>1.2</v>
      </c>
      <c r="B315" s="1298" t="s">
        <v>856</v>
      </c>
      <c r="C315" s="1352" t="s">
        <v>854</v>
      </c>
      <c r="D315" s="1289" t="s">
        <v>973</v>
      </c>
      <c r="E315" s="1290">
        <v>314</v>
      </c>
      <c r="F315" s="1307" t="s">
        <v>814</v>
      </c>
      <c r="G315" s="1295" t="s">
        <v>852</v>
      </c>
      <c r="H315" s="367" t="s">
        <v>853</v>
      </c>
      <c r="I315" s="711" t="s">
        <v>28</v>
      </c>
      <c r="J315" s="1296" t="s">
        <v>855</v>
      </c>
    </row>
    <row r="316" spans="1:10" x14ac:dyDescent="0.25">
      <c r="A316" s="1299">
        <v>2.1</v>
      </c>
      <c r="B316" s="1294" t="s">
        <v>852</v>
      </c>
      <c r="C316" s="1352" t="s">
        <v>854</v>
      </c>
      <c r="D316" s="1289" t="s">
        <v>973</v>
      </c>
      <c r="E316" s="1290">
        <v>315</v>
      </c>
      <c r="F316" s="1303">
        <v>7.11</v>
      </c>
      <c r="G316" s="1302" t="s">
        <v>852</v>
      </c>
      <c r="H316" s="367" t="s">
        <v>853</v>
      </c>
      <c r="I316" s="711" t="s">
        <v>28</v>
      </c>
      <c r="J316" s="1296" t="s">
        <v>855</v>
      </c>
    </row>
    <row r="317" spans="1:10" x14ac:dyDescent="0.25">
      <c r="A317" s="1300">
        <v>2.2000000000000002</v>
      </c>
      <c r="B317" s="1301" t="s">
        <v>548</v>
      </c>
      <c r="C317" s="1352" t="s">
        <v>854</v>
      </c>
      <c r="D317" s="1289" t="s">
        <v>973</v>
      </c>
      <c r="E317" s="1290">
        <v>316</v>
      </c>
      <c r="F317" s="1303">
        <v>7.12</v>
      </c>
      <c r="G317" s="1302" t="s">
        <v>852</v>
      </c>
      <c r="H317" s="367" t="s">
        <v>853</v>
      </c>
      <c r="I317" s="711" t="s">
        <v>28</v>
      </c>
      <c r="J317" s="1296" t="s">
        <v>855</v>
      </c>
    </row>
    <row r="318" spans="1:10" x14ac:dyDescent="0.25">
      <c r="A318" s="1300">
        <v>2.2999999999999998</v>
      </c>
      <c r="B318" s="1301" t="s">
        <v>852</v>
      </c>
      <c r="C318" s="1352" t="s">
        <v>854</v>
      </c>
      <c r="D318" s="1289" t="s">
        <v>973</v>
      </c>
      <c r="E318" s="1290">
        <v>317</v>
      </c>
      <c r="F318" s="1291" t="s">
        <v>818</v>
      </c>
      <c r="G318" s="1302" t="s">
        <v>852</v>
      </c>
      <c r="H318" s="1098" t="s">
        <v>853</v>
      </c>
      <c r="I318" s="711" t="s">
        <v>28</v>
      </c>
      <c r="J318" s="1296" t="s">
        <v>855</v>
      </c>
    </row>
    <row r="319" spans="1:10" x14ac:dyDescent="0.25">
      <c r="A319" s="1300">
        <v>2.4</v>
      </c>
      <c r="B319" s="1301" t="s">
        <v>864</v>
      </c>
      <c r="C319" s="1352" t="s">
        <v>854</v>
      </c>
      <c r="D319" s="1289" t="s">
        <v>973</v>
      </c>
      <c r="E319" s="1290">
        <v>318</v>
      </c>
      <c r="F319" s="1291" t="s">
        <v>820</v>
      </c>
      <c r="G319" s="1302" t="s">
        <v>966</v>
      </c>
      <c r="H319" s="1098" t="s">
        <v>853</v>
      </c>
      <c r="I319" s="711" t="s">
        <v>28</v>
      </c>
      <c r="J319" s="1296" t="s">
        <v>967</v>
      </c>
    </row>
    <row r="320" spans="1:10" x14ac:dyDescent="0.25">
      <c r="A320" s="1300">
        <v>2.5</v>
      </c>
      <c r="B320" s="1301" t="s">
        <v>916</v>
      </c>
      <c r="C320" s="1352" t="s">
        <v>854</v>
      </c>
      <c r="D320" s="1289" t="s">
        <v>973</v>
      </c>
      <c r="E320" s="1290">
        <v>319</v>
      </c>
      <c r="F320" s="1303">
        <v>7.14</v>
      </c>
      <c r="G320" s="1302" t="s">
        <v>852</v>
      </c>
      <c r="H320" s="367" t="s">
        <v>853</v>
      </c>
      <c r="I320" s="711" t="s">
        <v>28</v>
      </c>
      <c r="J320" s="1296" t="s">
        <v>855</v>
      </c>
    </row>
    <row r="321" spans="1:10" x14ac:dyDescent="0.25">
      <c r="A321" s="1300">
        <v>2.6</v>
      </c>
      <c r="B321" s="1301" t="s">
        <v>868</v>
      </c>
      <c r="C321" s="1352" t="s">
        <v>854</v>
      </c>
      <c r="D321" s="1289" t="s">
        <v>973</v>
      </c>
      <c r="E321" s="1290">
        <v>320</v>
      </c>
      <c r="F321" s="1303">
        <v>7.15</v>
      </c>
      <c r="G321" s="1302" t="s">
        <v>852</v>
      </c>
      <c r="H321" s="367" t="s">
        <v>853</v>
      </c>
      <c r="I321" s="711" t="s">
        <v>28</v>
      </c>
      <c r="J321" s="1296" t="s">
        <v>855</v>
      </c>
    </row>
    <row r="322" spans="1:10" x14ac:dyDescent="0.25">
      <c r="A322" s="1304" t="s">
        <v>869</v>
      </c>
      <c r="B322" s="1301" t="s">
        <v>852</v>
      </c>
      <c r="C322" s="1352" t="s">
        <v>854</v>
      </c>
      <c r="D322" s="1289" t="s">
        <v>973</v>
      </c>
      <c r="E322" s="1290">
        <v>321</v>
      </c>
      <c r="F322" s="1303">
        <v>7.16</v>
      </c>
      <c r="G322" s="1302" t="s">
        <v>852</v>
      </c>
      <c r="H322" s="367" t="s">
        <v>853</v>
      </c>
      <c r="I322" s="711" t="s">
        <v>28</v>
      </c>
      <c r="J322" s="1296" t="s">
        <v>855</v>
      </c>
    </row>
    <row r="323" spans="1:10" x14ac:dyDescent="0.25">
      <c r="A323" s="1300" t="s">
        <v>870</v>
      </c>
      <c r="B323" s="1301" t="s">
        <v>1005</v>
      </c>
      <c r="C323" s="1352" t="s">
        <v>854</v>
      </c>
      <c r="D323" s="1289" t="s">
        <v>973</v>
      </c>
      <c r="E323" s="1290">
        <v>322</v>
      </c>
      <c r="F323" s="1303">
        <v>7.17</v>
      </c>
      <c r="G323" s="1302" t="s">
        <v>852</v>
      </c>
      <c r="H323" s="367" t="s">
        <v>853</v>
      </c>
      <c r="I323" s="711" t="s">
        <v>28</v>
      </c>
      <c r="J323" s="1296" t="s">
        <v>855</v>
      </c>
    </row>
    <row r="324" spans="1:10" x14ac:dyDescent="0.25">
      <c r="A324" s="1300">
        <v>2.8</v>
      </c>
      <c r="B324" s="1301" t="s">
        <v>873</v>
      </c>
      <c r="C324" s="1352" t="s">
        <v>854</v>
      </c>
      <c r="D324" s="1289" t="s">
        <v>973</v>
      </c>
      <c r="E324" s="1290">
        <v>323</v>
      </c>
      <c r="F324" s="1291" t="s">
        <v>827</v>
      </c>
      <c r="G324" s="1302" t="s">
        <v>852</v>
      </c>
      <c r="H324" s="1098" t="s">
        <v>853</v>
      </c>
      <c r="I324" s="711" t="s">
        <v>28</v>
      </c>
      <c r="J324" s="1296" t="s">
        <v>855</v>
      </c>
    </row>
    <row r="325" spans="1:10" x14ac:dyDescent="0.25">
      <c r="A325" s="1300">
        <v>2.9</v>
      </c>
      <c r="B325" s="1301" t="s">
        <v>876</v>
      </c>
      <c r="C325" s="1352" t="s">
        <v>854</v>
      </c>
      <c r="D325" s="1289" t="s">
        <v>973</v>
      </c>
      <c r="E325" s="1290">
        <v>324</v>
      </c>
      <c r="F325" s="1291" t="s">
        <v>829</v>
      </c>
      <c r="G325" s="1295" t="s">
        <v>916</v>
      </c>
      <c r="H325" s="1098" t="s">
        <v>853</v>
      </c>
      <c r="I325" s="711" t="s">
        <v>28</v>
      </c>
      <c r="J325" s="1296" t="s">
        <v>917</v>
      </c>
    </row>
    <row r="326" spans="1:10" x14ac:dyDescent="0.25">
      <c r="A326" s="1305" t="s">
        <v>735</v>
      </c>
      <c r="B326" s="1298" t="s">
        <v>868</v>
      </c>
      <c r="C326" s="1352" t="s">
        <v>854</v>
      </c>
      <c r="D326" s="1289" t="s">
        <v>973</v>
      </c>
      <c r="E326" s="1290">
        <v>325</v>
      </c>
      <c r="F326" s="1303">
        <v>8.1999999999999993</v>
      </c>
      <c r="G326" s="1302" t="s">
        <v>974</v>
      </c>
      <c r="H326" s="367" t="s">
        <v>853</v>
      </c>
      <c r="I326" s="711" t="s">
        <v>28</v>
      </c>
      <c r="J326" s="1296" t="s">
        <v>975</v>
      </c>
    </row>
    <row r="327" spans="1:10" x14ac:dyDescent="0.25">
      <c r="A327" s="1299" t="s">
        <v>877</v>
      </c>
      <c r="B327" s="1294" t="s">
        <v>852</v>
      </c>
      <c r="C327" s="1352" t="s">
        <v>854</v>
      </c>
      <c r="D327" s="1289" t="s">
        <v>973</v>
      </c>
      <c r="E327" s="1290">
        <v>326</v>
      </c>
      <c r="F327" s="1303">
        <v>8.3000000000000007</v>
      </c>
      <c r="G327" s="1302" t="s">
        <v>852</v>
      </c>
      <c r="H327" s="367" t="s">
        <v>853</v>
      </c>
      <c r="I327" s="711" t="s">
        <v>28</v>
      </c>
      <c r="J327" s="1296" t="s">
        <v>855</v>
      </c>
    </row>
    <row r="328" spans="1:10" x14ac:dyDescent="0.25">
      <c r="A328" s="1300" t="s">
        <v>880</v>
      </c>
      <c r="B328" s="1301" t="s">
        <v>852</v>
      </c>
      <c r="C328" s="1352" t="s">
        <v>854</v>
      </c>
      <c r="D328" s="1289" t="s">
        <v>973</v>
      </c>
      <c r="E328" s="1290">
        <v>327</v>
      </c>
      <c r="F328" s="1303">
        <v>8.4</v>
      </c>
      <c r="G328" s="1302" t="s">
        <v>976</v>
      </c>
      <c r="H328" s="367" t="s">
        <v>853</v>
      </c>
      <c r="I328" s="711" t="s">
        <v>28</v>
      </c>
      <c r="J328" s="1296" t="s">
        <v>977</v>
      </c>
    </row>
    <row r="329" spans="1:10" ht="15.75" thickBot="1" x14ac:dyDescent="0.3">
      <c r="A329" s="1300" t="s">
        <v>741</v>
      </c>
      <c r="B329" s="1306" t="s">
        <v>882</v>
      </c>
      <c r="C329" s="1352" t="s">
        <v>854</v>
      </c>
      <c r="D329" s="1289" t="s">
        <v>973</v>
      </c>
      <c r="E329" s="1290">
        <v>328</v>
      </c>
      <c r="F329" s="1336">
        <v>8.5</v>
      </c>
      <c r="G329" s="1347" t="s">
        <v>852</v>
      </c>
      <c r="H329" s="1353" t="s">
        <v>853</v>
      </c>
      <c r="I329" s="1354" t="s">
        <v>28</v>
      </c>
      <c r="J329" s="1339" t="s">
        <v>855</v>
      </c>
    </row>
    <row r="330" spans="1:10" ht="16.5" thickTop="1" thickBot="1" x14ac:dyDescent="0.3">
      <c r="A330" s="1300" t="s">
        <v>742</v>
      </c>
      <c r="B330" s="1301" t="s">
        <v>864</v>
      </c>
      <c r="C330" s="1352" t="s">
        <v>854</v>
      </c>
      <c r="D330" s="1289" t="s">
        <v>973</v>
      </c>
      <c r="E330" s="1290">
        <v>329</v>
      </c>
      <c r="F330" s="1291" t="s">
        <v>711</v>
      </c>
      <c r="G330" s="1347" t="s">
        <v>852</v>
      </c>
      <c r="H330" s="1355" t="s">
        <v>853</v>
      </c>
      <c r="I330" s="711" t="s">
        <v>978</v>
      </c>
      <c r="J330" s="1296" t="s">
        <v>855</v>
      </c>
    </row>
    <row r="331" spans="1:10" ht="15.75" thickTop="1" x14ac:dyDescent="0.25">
      <c r="A331" s="1300" t="s">
        <v>743</v>
      </c>
      <c r="B331" s="1301" t="s">
        <v>884</v>
      </c>
      <c r="C331" s="1352" t="s">
        <v>854</v>
      </c>
      <c r="D331" s="1289" t="s">
        <v>973</v>
      </c>
      <c r="E331" s="1290">
        <v>330</v>
      </c>
      <c r="F331" s="1291" t="s">
        <v>713</v>
      </c>
      <c r="G331" s="1295" t="s">
        <v>857</v>
      </c>
      <c r="H331" s="1355" t="s">
        <v>853</v>
      </c>
      <c r="I331" s="711" t="s">
        <v>978</v>
      </c>
      <c r="J331" s="1296" t="s">
        <v>858</v>
      </c>
    </row>
    <row r="332" spans="1:10" x14ac:dyDescent="0.25">
      <c r="A332" s="1300" t="s">
        <v>885</v>
      </c>
      <c r="B332" s="1306" t="s">
        <v>886</v>
      </c>
      <c r="C332" s="1352" t="s">
        <v>854</v>
      </c>
      <c r="D332" s="1289" t="s">
        <v>973</v>
      </c>
      <c r="E332" s="1290">
        <v>331</v>
      </c>
      <c r="F332" s="1303">
        <v>1.2</v>
      </c>
      <c r="G332" s="1302" t="s">
        <v>979</v>
      </c>
      <c r="H332" s="1355" t="s">
        <v>853</v>
      </c>
      <c r="I332" s="711" t="s">
        <v>978</v>
      </c>
      <c r="J332" s="1296" t="s">
        <v>860</v>
      </c>
    </row>
    <row r="333" spans="1:10" x14ac:dyDescent="0.25">
      <c r="A333" s="1300" t="s">
        <v>887</v>
      </c>
      <c r="B333" s="1301" t="s">
        <v>888</v>
      </c>
      <c r="C333" s="1352" t="s">
        <v>854</v>
      </c>
      <c r="D333" s="1289" t="s">
        <v>973</v>
      </c>
      <c r="E333" s="1290">
        <v>332</v>
      </c>
      <c r="F333" s="1291" t="s">
        <v>716</v>
      </c>
      <c r="G333" s="1302" t="s">
        <v>852</v>
      </c>
      <c r="H333" s="1355" t="s">
        <v>853</v>
      </c>
      <c r="I333" s="711" t="s">
        <v>978</v>
      </c>
      <c r="J333" s="1296" t="s">
        <v>855</v>
      </c>
    </row>
    <row r="334" spans="1:10" x14ac:dyDescent="0.25">
      <c r="A334" s="1300" t="s">
        <v>892</v>
      </c>
      <c r="B334" s="1298" t="s">
        <v>852</v>
      </c>
      <c r="C334" s="1352" t="s">
        <v>854</v>
      </c>
      <c r="D334" s="1289" t="s">
        <v>973</v>
      </c>
      <c r="E334" s="1290">
        <v>333</v>
      </c>
      <c r="F334" s="1291" t="s">
        <v>718</v>
      </c>
      <c r="G334" s="1302" t="s">
        <v>862</v>
      </c>
      <c r="H334" s="1355" t="s">
        <v>853</v>
      </c>
      <c r="I334" s="711" t="s">
        <v>978</v>
      </c>
      <c r="J334" s="1296" t="s">
        <v>863</v>
      </c>
    </row>
    <row r="335" spans="1:10" x14ac:dyDescent="0.25">
      <c r="A335" s="1309" t="s">
        <v>894</v>
      </c>
      <c r="B335" s="1310" t="s">
        <v>852</v>
      </c>
      <c r="C335" s="1352" t="s">
        <v>854</v>
      </c>
      <c r="D335" s="1289" t="s">
        <v>973</v>
      </c>
      <c r="E335" s="1290">
        <v>334</v>
      </c>
      <c r="F335" s="1303">
        <v>1.4</v>
      </c>
      <c r="G335" s="1302" t="s">
        <v>865</v>
      </c>
      <c r="H335" s="1355" t="s">
        <v>853</v>
      </c>
      <c r="I335" s="711" t="s">
        <v>978</v>
      </c>
      <c r="J335" s="1296" t="s">
        <v>866</v>
      </c>
    </row>
    <row r="336" spans="1:10" x14ac:dyDescent="0.25">
      <c r="A336" s="1311" t="s">
        <v>898</v>
      </c>
      <c r="B336" s="1312" t="s">
        <v>888</v>
      </c>
      <c r="C336" s="1352" t="s">
        <v>854</v>
      </c>
      <c r="D336" s="1289" t="s">
        <v>973</v>
      </c>
      <c r="E336" s="1290">
        <v>335</v>
      </c>
      <c r="F336" s="1303">
        <v>2.1</v>
      </c>
      <c r="G336" s="1302" t="s">
        <v>852</v>
      </c>
      <c r="H336" s="1355" t="s">
        <v>853</v>
      </c>
      <c r="I336" s="711" t="s">
        <v>978</v>
      </c>
      <c r="J336" s="1296" t="s">
        <v>855</v>
      </c>
    </row>
    <row r="337" spans="1:10" x14ac:dyDescent="0.25">
      <c r="A337" s="1311" t="s">
        <v>900</v>
      </c>
      <c r="B337" s="1314" t="s">
        <v>901</v>
      </c>
      <c r="C337" s="1352" t="s">
        <v>854</v>
      </c>
      <c r="D337" s="1289" t="s">
        <v>973</v>
      </c>
      <c r="E337" s="1290">
        <v>336</v>
      </c>
      <c r="F337" s="1303">
        <v>2.2000000000000002</v>
      </c>
      <c r="G337" s="1302" t="s">
        <v>548</v>
      </c>
      <c r="H337" s="1355" t="s">
        <v>853</v>
      </c>
      <c r="I337" s="711" t="s">
        <v>978</v>
      </c>
      <c r="J337" s="1296" t="s">
        <v>548</v>
      </c>
    </row>
    <row r="338" spans="1:10" x14ac:dyDescent="0.25">
      <c r="A338" s="1315" t="s">
        <v>904</v>
      </c>
      <c r="B338" s="1316" t="s">
        <v>548</v>
      </c>
      <c r="C338" s="1352" t="s">
        <v>854</v>
      </c>
      <c r="D338" s="1289" t="s">
        <v>973</v>
      </c>
      <c r="E338" s="1290">
        <v>337</v>
      </c>
      <c r="F338" s="1303">
        <v>2.2999999999999998</v>
      </c>
      <c r="G338" s="1302" t="s">
        <v>852</v>
      </c>
      <c r="H338" s="1355" t="s">
        <v>853</v>
      </c>
      <c r="I338" s="711" t="s">
        <v>978</v>
      </c>
      <c r="J338" s="1296" t="s">
        <v>855</v>
      </c>
    </row>
    <row r="339" spans="1:10" x14ac:dyDescent="0.25">
      <c r="A339" s="1317" t="s">
        <v>905</v>
      </c>
      <c r="B339" s="1318" t="s">
        <v>852</v>
      </c>
      <c r="C339" s="1352" t="s">
        <v>854</v>
      </c>
      <c r="D339" s="1289" t="s">
        <v>973</v>
      </c>
      <c r="E339" s="1290">
        <v>338</v>
      </c>
      <c r="F339" s="1303">
        <v>2.4</v>
      </c>
      <c r="G339" s="1295" t="s">
        <v>864</v>
      </c>
      <c r="H339" s="1355" t="s">
        <v>853</v>
      </c>
      <c r="I339" s="711" t="s">
        <v>978</v>
      </c>
      <c r="J339" s="1296" t="s">
        <v>872</v>
      </c>
    </row>
    <row r="340" spans="1:10" x14ac:dyDescent="0.25">
      <c r="A340" s="1319" t="s">
        <v>906</v>
      </c>
      <c r="B340" s="1318" t="s">
        <v>548</v>
      </c>
      <c r="C340" s="1352" t="s">
        <v>854</v>
      </c>
      <c r="D340" s="1289" t="s">
        <v>973</v>
      </c>
      <c r="E340" s="1290">
        <v>339</v>
      </c>
      <c r="F340" s="1303">
        <v>2.5</v>
      </c>
      <c r="G340" s="1295" t="s">
        <v>874</v>
      </c>
      <c r="H340" s="1355" t="s">
        <v>853</v>
      </c>
      <c r="I340" s="711" t="s">
        <v>978</v>
      </c>
      <c r="J340" s="1296" t="s">
        <v>875</v>
      </c>
    </row>
    <row r="341" spans="1:10" x14ac:dyDescent="0.25">
      <c r="A341" s="1317" t="s">
        <v>910</v>
      </c>
      <c r="B341" s="1318" t="s">
        <v>864</v>
      </c>
      <c r="C341" s="1352" t="s">
        <v>854</v>
      </c>
      <c r="D341" s="1289" t="s">
        <v>973</v>
      </c>
      <c r="E341" s="1290">
        <v>340</v>
      </c>
      <c r="F341" s="1303">
        <v>2.6</v>
      </c>
      <c r="G341" s="1302" t="s">
        <v>852</v>
      </c>
      <c r="H341" s="1355" t="s">
        <v>853</v>
      </c>
      <c r="I341" s="711" t="s">
        <v>978</v>
      </c>
      <c r="J341" s="1296" t="s">
        <v>855</v>
      </c>
    </row>
    <row r="342" spans="1:10" x14ac:dyDescent="0.25">
      <c r="A342" s="1319" t="s">
        <v>911</v>
      </c>
      <c r="B342" s="1318" t="s">
        <v>852</v>
      </c>
      <c r="C342" s="1352" t="s">
        <v>854</v>
      </c>
      <c r="D342" s="1289" t="s">
        <v>973</v>
      </c>
      <c r="E342" s="1290">
        <v>341</v>
      </c>
      <c r="F342" s="1291" t="s">
        <v>729</v>
      </c>
      <c r="G342" s="1302" t="s">
        <v>548</v>
      </c>
      <c r="H342" s="1355" t="s">
        <v>853</v>
      </c>
      <c r="I342" s="711" t="s">
        <v>978</v>
      </c>
      <c r="J342" s="1296" t="s">
        <v>548</v>
      </c>
    </row>
    <row r="343" spans="1:10" x14ac:dyDescent="0.25">
      <c r="A343" s="1319" t="s">
        <v>914</v>
      </c>
      <c r="B343" s="1320" t="s">
        <v>915</v>
      </c>
      <c r="C343" s="1352" t="s">
        <v>854</v>
      </c>
      <c r="D343" s="1289" t="s">
        <v>973</v>
      </c>
      <c r="E343" s="1290">
        <v>342</v>
      </c>
      <c r="F343" s="1291" t="s">
        <v>731</v>
      </c>
      <c r="G343" s="1302" t="s">
        <v>1006</v>
      </c>
      <c r="H343" s="1355" t="s">
        <v>853</v>
      </c>
      <c r="I343" s="711" t="s">
        <v>978</v>
      </c>
      <c r="J343" s="1296" t="s">
        <v>1007</v>
      </c>
    </row>
    <row r="344" spans="1:10" x14ac:dyDescent="0.25">
      <c r="A344" s="1319" t="s">
        <v>918</v>
      </c>
      <c r="B344" s="1318" t="s">
        <v>868</v>
      </c>
      <c r="C344" s="1352" t="s">
        <v>854</v>
      </c>
      <c r="D344" s="1289" t="s">
        <v>973</v>
      </c>
      <c r="E344" s="1290">
        <v>343</v>
      </c>
      <c r="F344" s="1303">
        <v>2.8</v>
      </c>
      <c r="G344" s="1302" t="s">
        <v>981</v>
      </c>
      <c r="H344" s="1355" t="s">
        <v>853</v>
      </c>
      <c r="I344" s="711" t="s">
        <v>978</v>
      </c>
      <c r="J344" s="1296" t="s">
        <v>982</v>
      </c>
    </row>
    <row r="345" spans="1:10" x14ac:dyDescent="0.25">
      <c r="A345" s="1319" t="s">
        <v>919</v>
      </c>
      <c r="B345" s="1318" t="s">
        <v>852</v>
      </c>
      <c r="C345" s="1352" t="s">
        <v>854</v>
      </c>
      <c r="D345" s="1289" t="s">
        <v>973</v>
      </c>
      <c r="E345" s="1290">
        <v>344</v>
      </c>
      <c r="F345" s="1303">
        <v>2.9</v>
      </c>
      <c r="G345" s="1302" t="s">
        <v>864</v>
      </c>
      <c r="H345" s="1355" t="s">
        <v>853</v>
      </c>
      <c r="I345" s="711" t="s">
        <v>978</v>
      </c>
      <c r="J345" s="1296" t="s">
        <v>872</v>
      </c>
    </row>
    <row r="346" spans="1:10" x14ac:dyDescent="0.25">
      <c r="A346" s="1319" t="s">
        <v>920</v>
      </c>
      <c r="B346" s="1318" t="s">
        <v>548</v>
      </c>
      <c r="C346" s="1352" t="s">
        <v>854</v>
      </c>
      <c r="D346" s="1289" t="s">
        <v>973</v>
      </c>
      <c r="E346" s="1290">
        <v>345</v>
      </c>
      <c r="F346" s="1307" t="s">
        <v>735</v>
      </c>
      <c r="G346" s="1302" t="s">
        <v>868</v>
      </c>
      <c r="H346" s="1355" t="s">
        <v>853</v>
      </c>
      <c r="I346" s="711" t="s">
        <v>978</v>
      </c>
      <c r="J346" s="1296" t="s">
        <v>883</v>
      </c>
    </row>
    <row r="347" spans="1:10" x14ac:dyDescent="0.25">
      <c r="A347" s="1317" t="s">
        <v>923</v>
      </c>
      <c r="B347" s="1318" t="s">
        <v>861</v>
      </c>
      <c r="C347" s="1352" t="s">
        <v>854</v>
      </c>
      <c r="D347" s="1289" t="s">
        <v>973</v>
      </c>
      <c r="E347" s="1290">
        <v>346</v>
      </c>
      <c r="F347" s="1303">
        <v>3.1</v>
      </c>
      <c r="G347" s="1302" t="s">
        <v>852</v>
      </c>
      <c r="H347" s="1355" t="s">
        <v>853</v>
      </c>
      <c r="I347" s="711" t="s">
        <v>978</v>
      </c>
      <c r="J347" s="1296" t="s">
        <v>855</v>
      </c>
    </row>
    <row r="348" spans="1:10" x14ac:dyDescent="0.25">
      <c r="A348" s="1319" t="s">
        <v>924</v>
      </c>
      <c r="B348" s="1318" t="s">
        <v>925</v>
      </c>
      <c r="C348" s="1352" t="s">
        <v>854</v>
      </c>
      <c r="D348" s="1289" t="s">
        <v>973</v>
      </c>
      <c r="E348" s="1290">
        <v>347</v>
      </c>
      <c r="F348" s="1303">
        <v>3.2</v>
      </c>
      <c r="G348" s="1302" t="s">
        <v>852</v>
      </c>
      <c r="H348" s="1355" t="s">
        <v>853</v>
      </c>
      <c r="I348" s="711" t="s">
        <v>978</v>
      </c>
      <c r="J348" s="1296" t="s">
        <v>855</v>
      </c>
    </row>
    <row r="349" spans="1:10" x14ac:dyDescent="0.25">
      <c r="A349" s="1319" t="s">
        <v>928</v>
      </c>
      <c r="B349" s="1318" t="s">
        <v>929</v>
      </c>
      <c r="C349" s="1352" t="s">
        <v>854</v>
      </c>
      <c r="D349" s="1289" t="s">
        <v>973</v>
      </c>
      <c r="E349" s="1290">
        <v>348</v>
      </c>
      <c r="F349" s="1291" t="s">
        <v>889</v>
      </c>
      <c r="G349" s="1295" t="s">
        <v>890</v>
      </c>
      <c r="H349" s="1355" t="s">
        <v>853</v>
      </c>
      <c r="I349" s="711" t="s">
        <v>978</v>
      </c>
      <c r="J349" s="1296" t="s">
        <v>891</v>
      </c>
    </row>
    <row r="350" spans="1:10" x14ac:dyDescent="0.25">
      <c r="A350" s="1319" t="s">
        <v>931</v>
      </c>
      <c r="B350" s="1318" t="s">
        <v>932</v>
      </c>
      <c r="C350" s="1352" t="s">
        <v>854</v>
      </c>
      <c r="D350" s="1289" t="s">
        <v>973</v>
      </c>
      <c r="E350" s="1290">
        <v>349</v>
      </c>
      <c r="F350" s="1291" t="s">
        <v>893</v>
      </c>
      <c r="G350" s="1295" t="s">
        <v>864</v>
      </c>
      <c r="H350" s="1355" t="s">
        <v>853</v>
      </c>
      <c r="I350" s="711" t="s">
        <v>978</v>
      </c>
      <c r="J350" s="1296" t="s">
        <v>872</v>
      </c>
    </row>
    <row r="351" spans="1:10" x14ac:dyDescent="0.25">
      <c r="A351" s="1319" t="s">
        <v>933</v>
      </c>
      <c r="B351" s="1318" t="s">
        <v>852</v>
      </c>
      <c r="C351" s="1352" t="s">
        <v>854</v>
      </c>
      <c r="D351" s="1289" t="s">
        <v>973</v>
      </c>
      <c r="E351" s="1290">
        <v>350</v>
      </c>
      <c r="F351" s="1291" t="s">
        <v>895</v>
      </c>
      <c r="G351" s="1302" t="s">
        <v>896</v>
      </c>
      <c r="H351" s="1355" t="s">
        <v>853</v>
      </c>
      <c r="I351" s="711" t="s">
        <v>978</v>
      </c>
      <c r="J351" s="1296" t="s">
        <v>897</v>
      </c>
    </row>
    <row r="352" spans="1:10" x14ac:dyDescent="0.25">
      <c r="A352" s="1319" t="s">
        <v>782</v>
      </c>
      <c r="B352" s="1318" t="s">
        <v>934</v>
      </c>
      <c r="C352" s="1352" t="s">
        <v>854</v>
      </c>
      <c r="D352" s="1289" t="s">
        <v>973</v>
      </c>
      <c r="E352" s="1290">
        <v>351</v>
      </c>
      <c r="F352" s="1303">
        <v>3.4</v>
      </c>
      <c r="G352" s="1302" t="s">
        <v>899</v>
      </c>
      <c r="H352" s="1355" t="s">
        <v>853</v>
      </c>
      <c r="I352" s="711" t="s">
        <v>978</v>
      </c>
      <c r="J352" s="1296" t="s">
        <v>891</v>
      </c>
    </row>
    <row r="353" spans="1:10" x14ac:dyDescent="0.25">
      <c r="A353" s="1319">
        <v>5.1100000000000003</v>
      </c>
      <c r="B353" s="1318" t="s">
        <v>985</v>
      </c>
      <c r="C353" s="1352" t="s">
        <v>854</v>
      </c>
      <c r="D353" s="1289" t="s">
        <v>973</v>
      </c>
      <c r="E353" s="1290">
        <v>352</v>
      </c>
      <c r="F353" s="1303">
        <v>3.5</v>
      </c>
      <c r="G353" s="1295" t="s">
        <v>902</v>
      </c>
      <c r="H353" s="1355" t="s">
        <v>853</v>
      </c>
      <c r="I353" s="711" t="s">
        <v>978</v>
      </c>
      <c r="J353" s="1296" t="s">
        <v>903</v>
      </c>
    </row>
    <row r="354" spans="1:10" x14ac:dyDescent="0.25">
      <c r="A354" s="1319">
        <v>5.12</v>
      </c>
      <c r="B354" s="1318" t="s">
        <v>876</v>
      </c>
      <c r="C354" s="1352" t="s">
        <v>854</v>
      </c>
      <c r="D354" s="1289" t="s">
        <v>973</v>
      </c>
      <c r="E354" s="1290">
        <v>353</v>
      </c>
      <c r="F354" s="1303">
        <v>3.6</v>
      </c>
      <c r="G354" s="1302" t="s">
        <v>852</v>
      </c>
      <c r="H354" s="1355" t="s">
        <v>853</v>
      </c>
      <c r="I354" s="711" t="s">
        <v>978</v>
      </c>
      <c r="J354" s="1296" t="s">
        <v>855</v>
      </c>
    </row>
    <row r="355" spans="1:10" x14ac:dyDescent="0.25">
      <c r="A355" s="1322">
        <v>5.13</v>
      </c>
      <c r="B355" s="1323" t="s">
        <v>986</v>
      </c>
      <c r="C355" s="1352" t="s">
        <v>854</v>
      </c>
      <c r="D355" s="1289" t="s">
        <v>973</v>
      </c>
      <c r="E355" s="1290">
        <v>354</v>
      </c>
      <c r="F355" s="1291" t="s">
        <v>750</v>
      </c>
      <c r="G355" s="1302" t="s">
        <v>852</v>
      </c>
      <c r="H355" s="1355" t="s">
        <v>853</v>
      </c>
      <c r="I355" s="711" t="s">
        <v>978</v>
      </c>
      <c r="J355" s="1296" t="s">
        <v>855</v>
      </c>
    </row>
    <row r="356" spans="1:10" x14ac:dyDescent="0.25">
      <c r="A356" s="1315" t="s">
        <v>936</v>
      </c>
      <c r="B356" s="1316" t="s">
        <v>852</v>
      </c>
      <c r="C356" s="1352" t="s">
        <v>854</v>
      </c>
      <c r="D356" s="1289" t="s">
        <v>973</v>
      </c>
      <c r="E356" s="1290">
        <v>355</v>
      </c>
      <c r="F356" s="1291" t="s">
        <v>752</v>
      </c>
      <c r="G356" s="1302" t="s">
        <v>984</v>
      </c>
      <c r="H356" s="1355" t="s">
        <v>853</v>
      </c>
      <c r="I356" s="711" t="s">
        <v>978</v>
      </c>
      <c r="J356" s="1296" t="s">
        <v>909</v>
      </c>
    </row>
    <row r="357" spans="1:10" x14ac:dyDescent="0.25">
      <c r="A357" s="1319" t="s">
        <v>937</v>
      </c>
      <c r="B357" s="1318" t="s">
        <v>852</v>
      </c>
      <c r="C357" s="1352" t="s">
        <v>854</v>
      </c>
      <c r="D357" s="1289" t="s">
        <v>973</v>
      </c>
      <c r="E357" s="1290">
        <v>356</v>
      </c>
      <c r="F357" s="1303">
        <v>4.2</v>
      </c>
      <c r="G357" s="1302" t="s">
        <v>953</v>
      </c>
      <c r="H357" s="1355" t="s">
        <v>853</v>
      </c>
      <c r="I357" s="711" t="s">
        <v>978</v>
      </c>
      <c r="J357" s="1296" t="s">
        <v>927</v>
      </c>
    </row>
    <row r="358" spans="1:10" x14ac:dyDescent="0.25">
      <c r="A358" s="1319" t="s">
        <v>938</v>
      </c>
      <c r="B358" s="1318" t="s">
        <v>884</v>
      </c>
      <c r="C358" s="1352" t="s">
        <v>854</v>
      </c>
      <c r="D358" s="1289" t="s">
        <v>973</v>
      </c>
      <c r="E358" s="1290">
        <v>357</v>
      </c>
      <c r="F358" s="1303">
        <v>4.3</v>
      </c>
      <c r="G358" s="1295" t="s">
        <v>912</v>
      </c>
      <c r="H358" s="1355" t="s">
        <v>853</v>
      </c>
      <c r="I358" s="711" t="s">
        <v>978</v>
      </c>
      <c r="J358" s="1296" t="s">
        <v>913</v>
      </c>
    </row>
    <row r="359" spans="1:10" x14ac:dyDescent="0.25">
      <c r="A359" s="1319" t="s">
        <v>939</v>
      </c>
      <c r="B359" s="1318" t="s">
        <v>940</v>
      </c>
      <c r="C359" s="1352" t="s">
        <v>854</v>
      </c>
      <c r="D359" s="1289" t="s">
        <v>973</v>
      </c>
      <c r="E359" s="1290">
        <v>358</v>
      </c>
      <c r="F359" s="1303">
        <v>4.4000000000000004</v>
      </c>
      <c r="G359" s="1295" t="s">
        <v>916</v>
      </c>
      <c r="H359" s="1355" t="s">
        <v>853</v>
      </c>
      <c r="I359" s="711" t="s">
        <v>978</v>
      </c>
      <c r="J359" s="1296" t="s">
        <v>917</v>
      </c>
    </row>
    <row r="360" spans="1:10" x14ac:dyDescent="0.25">
      <c r="A360" s="1319" t="s">
        <v>941</v>
      </c>
      <c r="B360" s="1318" t="s">
        <v>884</v>
      </c>
      <c r="C360" s="1352" t="s">
        <v>854</v>
      </c>
      <c r="D360" s="1289" t="s">
        <v>973</v>
      </c>
      <c r="E360" s="1290">
        <v>359</v>
      </c>
      <c r="F360" s="1291" t="s">
        <v>759</v>
      </c>
      <c r="G360" s="1302" t="s">
        <v>548</v>
      </c>
      <c r="H360" s="1355" t="s">
        <v>853</v>
      </c>
      <c r="I360" s="711" t="s">
        <v>978</v>
      </c>
      <c r="J360" s="1296" t="s">
        <v>548</v>
      </c>
    </row>
    <row r="361" spans="1:10" x14ac:dyDescent="0.25">
      <c r="A361" s="1319" t="s">
        <v>942</v>
      </c>
      <c r="B361" s="1318" t="s">
        <v>884</v>
      </c>
      <c r="C361" s="1352" t="s">
        <v>854</v>
      </c>
      <c r="D361" s="1289" t="s">
        <v>973</v>
      </c>
      <c r="E361" s="1290">
        <v>360</v>
      </c>
      <c r="F361" s="1291" t="s">
        <v>761</v>
      </c>
      <c r="G361" s="1302" t="s">
        <v>852</v>
      </c>
      <c r="H361" s="1355" t="s">
        <v>853</v>
      </c>
      <c r="I361" s="711" t="s">
        <v>978</v>
      </c>
      <c r="J361" s="1296" t="s">
        <v>855</v>
      </c>
    </row>
    <row r="362" spans="1:10" x14ac:dyDescent="0.25">
      <c r="A362" s="1319" t="s">
        <v>943</v>
      </c>
      <c r="B362" s="1318" t="s">
        <v>864</v>
      </c>
      <c r="C362" s="1352" t="s">
        <v>854</v>
      </c>
      <c r="D362" s="1289" t="s">
        <v>973</v>
      </c>
      <c r="E362" s="1290">
        <v>361</v>
      </c>
      <c r="F362" s="1291" t="s">
        <v>763</v>
      </c>
      <c r="G362" s="1321" t="s">
        <v>548</v>
      </c>
      <c r="H362" s="1355" t="s">
        <v>853</v>
      </c>
      <c r="I362" s="711" t="s">
        <v>978</v>
      </c>
      <c r="J362" s="1296" t="s">
        <v>548</v>
      </c>
    </row>
    <row r="363" spans="1:10" x14ac:dyDescent="0.25">
      <c r="A363" s="1319" t="s">
        <v>944</v>
      </c>
      <c r="B363" s="1318" t="s">
        <v>864</v>
      </c>
      <c r="C363" s="1352" t="s">
        <v>854</v>
      </c>
      <c r="D363" s="1289" t="s">
        <v>973</v>
      </c>
      <c r="E363" s="1290">
        <v>362</v>
      </c>
      <c r="F363" s="1291" t="s">
        <v>765</v>
      </c>
      <c r="G363" s="1302" t="s">
        <v>864</v>
      </c>
      <c r="H363" s="1355" t="s">
        <v>853</v>
      </c>
      <c r="I363" s="711" t="s">
        <v>978</v>
      </c>
      <c r="J363" s="1296" t="s">
        <v>872</v>
      </c>
    </row>
    <row r="364" spans="1:10" x14ac:dyDescent="0.25">
      <c r="A364" s="1322" t="s">
        <v>945</v>
      </c>
      <c r="B364" s="1323" t="s">
        <v>946</v>
      </c>
      <c r="C364" s="1352" t="s">
        <v>854</v>
      </c>
      <c r="D364" s="1289" t="s">
        <v>973</v>
      </c>
      <c r="E364" s="1290">
        <v>363</v>
      </c>
      <c r="F364" s="1303">
        <v>5.3</v>
      </c>
      <c r="G364" s="1295" t="s">
        <v>926</v>
      </c>
      <c r="H364" s="1355" t="s">
        <v>853</v>
      </c>
      <c r="I364" s="711" t="s">
        <v>978</v>
      </c>
      <c r="J364" s="1296" t="s">
        <v>927</v>
      </c>
    </row>
    <row r="365" spans="1:10" x14ac:dyDescent="0.25">
      <c r="A365" s="1315" t="s">
        <v>947</v>
      </c>
      <c r="B365" s="1316" t="s">
        <v>852</v>
      </c>
      <c r="C365" s="1352" t="s">
        <v>854</v>
      </c>
      <c r="D365" s="1289" t="s">
        <v>973</v>
      </c>
      <c r="E365" s="1290">
        <v>364</v>
      </c>
      <c r="F365" s="1303">
        <v>5.4</v>
      </c>
      <c r="G365" s="1302" t="s">
        <v>930</v>
      </c>
      <c r="H365" s="1355" t="s">
        <v>853</v>
      </c>
      <c r="I365" s="711" t="s">
        <v>978</v>
      </c>
      <c r="J365" s="1296" t="s">
        <v>891</v>
      </c>
    </row>
    <row r="366" spans="1:10" x14ac:dyDescent="0.25">
      <c r="A366" s="1319" t="s">
        <v>950</v>
      </c>
      <c r="B366" s="1320" t="s">
        <v>951</v>
      </c>
      <c r="C366" s="1352" t="s">
        <v>854</v>
      </c>
      <c r="D366" s="1289" t="s">
        <v>973</v>
      </c>
      <c r="E366" s="1290">
        <v>365</v>
      </c>
      <c r="F366" s="1303">
        <v>5.5</v>
      </c>
      <c r="G366" s="1295" t="s">
        <v>868</v>
      </c>
      <c r="H366" s="1355" t="s">
        <v>853</v>
      </c>
      <c r="I366" s="711" t="s">
        <v>978</v>
      </c>
      <c r="J366" s="1296" t="s">
        <v>883</v>
      </c>
    </row>
    <row r="367" spans="1:10" x14ac:dyDescent="0.25">
      <c r="A367" s="1319" t="s">
        <v>952</v>
      </c>
      <c r="B367" s="1318" t="s">
        <v>953</v>
      </c>
      <c r="C367" s="1352" t="s">
        <v>854</v>
      </c>
      <c r="D367" s="1289" t="s">
        <v>973</v>
      </c>
      <c r="E367" s="1290">
        <v>366</v>
      </c>
      <c r="F367" s="1303">
        <v>5.6</v>
      </c>
      <c r="G367" s="1302" t="s">
        <v>852</v>
      </c>
      <c r="H367" s="1355" t="s">
        <v>853</v>
      </c>
      <c r="I367" s="711" t="s">
        <v>978</v>
      </c>
      <c r="J367" s="1296" t="s">
        <v>855</v>
      </c>
    </row>
    <row r="368" spans="1:10" x14ac:dyDescent="0.25">
      <c r="A368" s="1319" t="s">
        <v>955</v>
      </c>
      <c r="B368" s="1318" t="s">
        <v>548</v>
      </c>
      <c r="C368" s="1352" t="s">
        <v>854</v>
      </c>
      <c r="D368" s="1289" t="s">
        <v>973</v>
      </c>
      <c r="E368" s="1290">
        <v>367</v>
      </c>
      <c r="F368" s="1291" t="s">
        <v>771</v>
      </c>
      <c r="G368" s="1302" t="s">
        <v>548</v>
      </c>
      <c r="H368" s="1355" t="s">
        <v>853</v>
      </c>
      <c r="I368" s="711" t="s">
        <v>978</v>
      </c>
      <c r="J368" s="1296" t="s">
        <v>548</v>
      </c>
    </row>
    <row r="369" spans="1:10" x14ac:dyDescent="0.25">
      <c r="A369" s="1317" t="s">
        <v>956</v>
      </c>
      <c r="B369" s="1318" t="s">
        <v>864</v>
      </c>
      <c r="C369" s="1352" t="s">
        <v>854</v>
      </c>
      <c r="D369" s="1289" t="s">
        <v>973</v>
      </c>
      <c r="E369" s="1290">
        <v>368</v>
      </c>
      <c r="F369" s="1291" t="s">
        <v>773</v>
      </c>
      <c r="G369" s="1302" t="s">
        <v>861</v>
      </c>
      <c r="H369" s="1355" t="s">
        <v>853</v>
      </c>
      <c r="I369" s="711" t="s">
        <v>978</v>
      </c>
      <c r="J369" s="1296" t="s">
        <v>881</v>
      </c>
    </row>
    <row r="370" spans="1:10" x14ac:dyDescent="0.25">
      <c r="A370" s="1319" t="s">
        <v>957</v>
      </c>
      <c r="B370" s="1318" t="s">
        <v>548</v>
      </c>
      <c r="C370" s="1352" t="s">
        <v>854</v>
      </c>
      <c r="D370" s="1289" t="s">
        <v>973</v>
      </c>
      <c r="E370" s="1290">
        <v>369</v>
      </c>
      <c r="F370" s="1291" t="s">
        <v>775</v>
      </c>
      <c r="G370" s="1302" t="s">
        <v>988</v>
      </c>
      <c r="H370" s="1355" t="s">
        <v>853</v>
      </c>
      <c r="I370" s="711" t="s">
        <v>978</v>
      </c>
      <c r="J370" s="1340" t="s">
        <v>989</v>
      </c>
    </row>
    <row r="371" spans="1:10" x14ac:dyDescent="0.25">
      <c r="A371" s="1317" t="s">
        <v>959</v>
      </c>
      <c r="B371" s="1318" t="s">
        <v>868</v>
      </c>
      <c r="C371" s="1352" t="s">
        <v>854</v>
      </c>
      <c r="D371" s="1289" t="s">
        <v>973</v>
      </c>
      <c r="E371" s="1290">
        <v>370</v>
      </c>
      <c r="F371" s="1291" t="s">
        <v>777</v>
      </c>
      <c r="G371" s="1295" t="s">
        <v>929</v>
      </c>
      <c r="H371" s="1355" t="s">
        <v>853</v>
      </c>
      <c r="I371" s="711" t="s">
        <v>978</v>
      </c>
      <c r="J371" s="1296" t="s">
        <v>935</v>
      </c>
    </row>
    <row r="372" spans="1:10" x14ac:dyDescent="0.25">
      <c r="A372" s="1319">
        <v>7.5</v>
      </c>
      <c r="B372" s="1318" t="s">
        <v>852</v>
      </c>
      <c r="C372" s="1352" t="s">
        <v>854</v>
      </c>
      <c r="D372" s="1289" t="s">
        <v>973</v>
      </c>
      <c r="E372" s="1290">
        <v>371</v>
      </c>
      <c r="F372" s="1291" t="s">
        <v>779</v>
      </c>
      <c r="G372" s="1302" t="s">
        <v>990</v>
      </c>
      <c r="H372" s="1355" t="s">
        <v>853</v>
      </c>
      <c r="I372" s="711" t="s">
        <v>978</v>
      </c>
      <c r="J372" s="1324" t="s">
        <v>991</v>
      </c>
    </row>
    <row r="373" spans="1:10" x14ac:dyDescent="0.25">
      <c r="A373" s="1319">
        <v>7.6</v>
      </c>
      <c r="B373" s="1318" t="s">
        <v>852</v>
      </c>
      <c r="C373" s="1352" t="s">
        <v>854</v>
      </c>
      <c r="D373" s="1289" t="s">
        <v>973</v>
      </c>
      <c r="E373" s="1290">
        <v>372</v>
      </c>
      <c r="F373" s="1303">
        <v>5.9</v>
      </c>
      <c r="G373" s="1302" t="s">
        <v>852</v>
      </c>
      <c r="H373" s="1355" t="s">
        <v>853</v>
      </c>
      <c r="I373" s="711" t="s">
        <v>978</v>
      </c>
      <c r="J373" s="1296" t="s">
        <v>855</v>
      </c>
    </row>
    <row r="374" spans="1:10" x14ac:dyDescent="0.25">
      <c r="A374" s="1319">
        <v>7.7</v>
      </c>
      <c r="B374" s="1318" t="s">
        <v>852</v>
      </c>
      <c r="C374" s="1352" t="s">
        <v>854</v>
      </c>
      <c r="D374" s="1289" t="s">
        <v>973</v>
      </c>
      <c r="E374" s="1290">
        <v>373</v>
      </c>
      <c r="F374" s="1307" t="s">
        <v>782</v>
      </c>
      <c r="G374" s="1302" t="s">
        <v>1003</v>
      </c>
      <c r="H374" s="1355" t="s">
        <v>853</v>
      </c>
      <c r="I374" s="711" t="s">
        <v>978</v>
      </c>
      <c r="J374" s="1296" t="s">
        <v>993</v>
      </c>
    </row>
    <row r="375" spans="1:10" x14ac:dyDescent="0.25">
      <c r="A375" s="1319">
        <v>7.8</v>
      </c>
      <c r="B375" s="1318" t="s">
        <v>852</v>
      </c>
      <c r="C375" s="1352" t="s">
        <v>854</v>
      </c>
      <c r="D375" s="1289" t="s">
        <v>973</v>
      </c>
      <c r="E375" s="1290">
        <v>374</v>
      </c>
      <c r="F375" s="1303">
        <v>5.1100000000000003</v>
      </c>
      <c r="G375" s="1302" t="s">
        <v>985</v>
      </c>
      <c r="H375" s="1355" t="s">
        <v>853</v>
      </c>
      <c r="I375" s="711" t="s">
        <v>978</v>
      </c>
      <c r="J375" s="1296" t="s">
        <v>995</v>
      </c>
    </row>
    <row r="376" spans="1:10" x14ac:dyDescent="0.25">
      <c r="A376" s="1325" t="s">
        <v>962</v>
      </c>
      <c r="B376" s="1318" t="s">
        <v>548</v>
      </c>
      <c r="C376" s="1352" t="s">
        <v>854</v>
      </c>
      <c r="D376" s="1289" t="s">
        <v>973</v>
      </c>
      <c r="E376" s="1290">
        <v>375</v>
      </c>
      <c r="F376" s="1303">
        <v>5.12</v>
      </c>
      <c r="G376" s="1302" t="s">
        <v>876</v>
      </c>
      <c r="H376" s="1355" t="s">
        <v>853</v>
      </c>
      <c r="I376" s="711" t="s">
        <v>978</v>
      </c>
      <c r="J376" s="1296">
        <v>10</v>
      </c>
    </row>
    <row r="377" spans="1:10" x14ac:dyDescent="0.25">
      <c r="A377" s="1319" t="s">
        <v>963</v>
      </c>
      <c r="B377" s="1318" t="s">
        <v>852</v>
      </c>
      <c r="C377" s="1352" t="s">
        <v>854</v>
      </c>
      <c r="D377" s="1289" t="s">
        <v>973</v>
      </c>
      <c r="E377" s="1290">
        <v>376</v>
      </c>
      <c r="F377" s="1303">
        <v>5.13</v>
      </c>
      <c r="G377" s="1302" t="s">
        <v>1004</v>
      </c>
      <c r="H377" s="1355" t="s">
        <v>853</v>
      </c>
      <c r="I377" s="711" t="s">
        <v>978</v>
      </c>
      <c r="J377" s="1296" t="s">
        <v>997</v>
      </c>
    </row>
    <row r="378" spans="1:10" x14ac:dyDescent="0.25">
      <c r="A378" s="1319" t="s">
        <v>964</v>
      </c>
      <c r="B378" s="1318" t="s">
        <v>852</v>
      </c>
      <c r="C378" s="1352" t="s">
        <v>854</v>
      </c>
      <c r="D378" s="1289" t="s">
        <v>973</v>
      </c>
      <c r="E378" s="1290">
        <v>377</v>
      </c>
      <c r="F378" s="1303">
        <v>6.1</v>
      </c>
      <c r="G378" s="1302" t="s">
        <v>852</v>
      </c>
      <c r="H378" s="1355" t="s">
        <v>853</v>
      </c>
      <c r="I378" s="711" t="s">
        <v>978</v>
      </c>
      <c r="J378" s="1296" t="s">
        <v>855</v>
      </c>
    </row>
    <row r="379" spans="1:10" x14ac:dyDescent="0.25">
      <c r="A379" s="1319" t="s">
        <v>814</v>
      </c>
      <c r="B379" s="1318" t="s">
        <v>852</v>
      </c>
      <c r="C379" s="1352" t="s">
        <v>854</v>
      </c>
      <c r="D379" s="1289" t="s">
        <v>973</v>
      </c>
      <c r="E379" s="1290">
        <v>378</v>
      </c>
      <c r="F379" s="1303">
        <v>6.2</v>
      </c>
      <c r="G379" s="1302" t="s">
        <v>852</v>
      </c>
      <c r="H379" s="1355" t="s">
        <v>853</v>
      </c>
      <c r="I379" s="711" t="s">
        <v>978</v>
      </c>
      <c r="J379" s="1296" t="s">
        <v>855</v>
      </c>
    </row>
    <row r="380" spans="1:10" x14ac:dyDescent="0.25">
      <c r="A380" s="1319">
        <v>7.11</v>
      </c>
      <c r="B380" s="1318" t="s">
        <v>852</v>
      </c>
      <c r="C380" s="1352" t="s">
        <v>854</v>
      </c>
      <c r="D380" s="1289" t="s">
        <v>973</v>
      </c>
      <c r="E380" s="1290">
        <v>379</v>
      </c>
      <c r="F380" s="1303">
        <v>6.3</v>
      </c>
      <c r="G380" s="1302" t="s">
        <v>896</v>
      </c>
      <c r="H380" s="1355" t="s">
        <v>853</v>
      </c>
      <c r="I380" s="711" t="s">
        <v>978</v>
      </c>
      <c r="J380" s="1324" t="s">
        <v>897</v>
      </c>
    </row>
    <row r="381" spans="1:10" x14ac:dyDescent="0.25">
      <c r="A381" s="1319">
        <v>7.12</v>
      </c>
      <c r="B381" s="1318" t="s">
        <v>852</v>
      </c>
      <c r="C381" s="1352" t="s">
        <v>854</v>
      </c>
      <c r="D381" s="1289" t="s">
        <v>973</v>
      </c>
      <c r="E381" s="1290">
        <v>380</v>
      </c>
      <c r="F381" s="1303">
        <v>6.4</v>
      </c>
      <c r="G381" s="1302" t="s">
        <v>948</v>
      </c>
      <c r="H381" s="1355" t="s">
        <v>853</v>
      </c>
      <c r="I381" s="711" t="s">
        <v>978</v>
      </c>
      <c r="J381" s="1296" t="s">
        <v>949</v>
      </c>
    </row>
    <row r="382" spans="1:10" x14ac:dyDescent="0.25">
      <c r="A382" s="1319">
        <v>7.13</v>
      </c>
      <c r="B382" s="1318" t="s">
        <v>548</v>
      </c>
      <c r="C382" s="1352" t="s">
        <v>854</v>
      </c>
      <c r="D382" s="1289" t="s">
        <v>973</v>
      </c>
      <c r="E382" s="1290">
        <v>381</v>
      </c>
      <c r="F382" s="1291" t="s">
        <v>792</v>
      </c>
      <c r="G382" s="1295" t="s">
        <v>861</v>
      </c>
      <c r="H382" s="1355" t="s">
        <v>853</v>
      </c>
      <c r="I382" s="711" t="s">
        <v>978</v>
      </c>
      <c r="J382" s="1296" t="s">
        <v>881</v>
      </c>
    </row>
    <row r="383" spans="1:10" x14ac:dyDescent="0.25">
      <c r="A383" s="1319">
        <v>7.14</v>
      </c>
      <c r="B383" s="1318" t="s">
        <v>852</v>
      </c>
      <c r="C383" s="1352" t="s">
        <v>854</v>
      </c>
      <c r="D383" s="1289" t="s">
        <v>973</v>
      </c>
      <c r="E383" s="1290">
        <v>382</v>
      </c>
      <c r="F383" s="1291" t="s">
        <v>794</v>
      </c>
      <c r="G383" s="1295" t="s">
        <v>954</v>
      </c>
      <c r="H383" s="1355" t="s">
        <v>853</v>
      </c>
      <c r="I383" s="711" t="s">
        <v>978</v>
      </c>
      <c r="J383" s="1296" t="s">
        <v>881</v>
      </c>
    </row>
    <row r="384" spans="1:10" x14ac:dyDescent="0.25">
      <c r="A384" s="1319">
        <v>7.15</v>
      </c>
      <c r="B384" s="1318" t="s">
        <v>852</v>
      </c>
      <c r="C384" s="1352" t="s">
        <v>854</v>
      </c>
      <c r="D384" s="1289" t="s">
        <v>973</v>
      </c>
      <c r="E384" s="1290">
        <v>383</v>
      </c>
      <c r="F384" s="1303">
        <v>6.6</v>
      </c>
      <c r="G384" s="1302" t="s">
        <v>859</v>
      </c>
      <c r="H384" s="1355" t="s">
        <v>853</v>
      </c>
      <c r="I384" s="711" t="s">
        <v>978</v>
      </c>
      <c r="J384" s="1324" t="s">
        <v>860</v>
      </c>
    </row>
    <row r="385" spans="1:10" x14ac:dyDescent="0.25">
      <c r="A385" s="1319">
        <v>7.16</v>
      </c>
      <c r="B385" s="1318" t="s">
        <v>852</v>
      </c>
      <c r="C385" s="1352" t="s">
        <v>854</v>
      </c>
      <c r="D385" s="1289" t="s">
        <v>973</v>
      </c>
      <c r="E385" s="1290">
        <v>384</v>
      </c>
      <c r="F385" s="1303">
        <v>7.1</v>
      </c>
      <c r="G385" s="1302" t="s">
        <v>852</v>
      </c>
      <c r="H385" s="1355" t="s">
        <v>853</v>
      </c>
      <c r="I385" s="711" t="s">
        <v>978</v>
      </c>
      <c r="J385" s="1296" t="s">
        <v>855</v>
      </c>
    </row>
    <row r="386" spans="1:10" x14ac:dyDescent="0.25">
      <c r="A386" s="1322">
        <v>7.17</v>
      </c>
      <c r="B386" s="1323" t="s">
        <v>916</v>
      </c>
      <c r="C386" s="1352" t="s">
        <v>854</v>
      </c>
      <c r="D386" s="1289" t="s">
        <v>973</v>
      </c>
      <c r="E386" s="1290">
        <v>385</v>
      </c>
      <c r="F386" s="1291" t="s">
        <v>800</v>
      </c>
      <c r="G386" s="1295" t="s">
        <v>958</v>
      </c>
      <c r="H386" s="1355" t="s">
        <v>853</v>
      </c>
      <c r="I386" s="711" t="s">
        <v>978</v>
      </c>
      <c r="J386" s="1296" t="s">
        <v>891</v>
      </c>
    </row>
    <row r="387" spans="1:10" x14ac:dyDescent="0.25">
      <c r="A387" s="1315" t="s">
        <v>968</v>
      </c>
      <c r="B387" s="1316" t="s">
        <v>852</v>
      </c>
      <c r="C387" s="1352" t="s">
        <v>854</v>
      </c>
      <c r="D387" s="1289" t="s">
        <v>973</v>
      </c>
      <c r="E387" s="1290">
        <v>386</v>
      </c>
      <c r="F387" s="1291" t="s">
        <v>802</v>
      </c>
      <c r="G387" s="1295" t="s">
        <v>960</v>
      </c>
      <c r="H387" s="1355" t="s">
        <v>853</v>
      </c>
      <c r="I387" s="711" t="s">
        <v>978</v>
      </c>
      <c r="J387" s="1296" t="s">
        <v>961</v>
      </c>
    </row>
    <row r="388" spans="1:10" x14ac:dyDescent="0.25">
      <c r="A388" s="1319" t="s">
        <v>969</v>
      </c>
      <c r="B388" s="1318" t="s">
        <v>852</v>
      </c>
      <c r="C388" s="1352" t="s">
        <v>854</v>
      </c>
      <c r="D388" s="1289" t="s">
        <v>973</v>
      </c>
      <c r="E388" s="1290">
        <v>387</v>
      </c>
      <c r="F388" s="1291" t="s">
        <v>803</v>
      </c>
      <c r="G388" s="1295" t="s">
        <v>852</v>
      </c>
      <c r="H388" s="1355" t="s">
        <v>853</v>
      </c>
      <c r="I388" s="711" t="s">
        <v>978</v>
      </c>
      <c r="J388" s="1296" t="s">
        <v>855</v>
      </c>
    </row>
    <row r="389" spans="1:10" x14ac:dyDescent="0.25">
      <c r="A389" s="1319" t="s">
        <v>970</v>
      </c>
      <c r="B389" s="1318" t="s">
        <v>852</v>
      </c>
      <c r="C389" s="1352" t="s">
        <v>854</v>
      </c>
      <c r="D389" s="1289" t="s">
        <v>973</v>
      </c>
      <c r="E389" s="1290">
        <v>388</v>
      </c>
      <c r="F389" s="1291" t="s">
        <v>805</v>
      </c>
      <c r="G389" s="1302" t="s">
        <v>548</v>
      </c>
      <c r="H389" s="1355" t="s">
        <v>853</v>
      </c>
      <c r="I389" s="711" t="s">
        <v>978</v>
      </c>
      <c r="J389" s="1296" t="s">
        <v>548</v>
      </c>
    </row>
    <row r="390" spans="1:10" x14ac:dyDescent="0.25">
      <c r="A390" s="1319" t="s">
        <v>971</v>
      </c>
      <c r="B390" s="1318" t="s">
        <v>916</v>
      </c>
      <c r="C390" s="1352" t="s">
        <v>854</v>
      </c>
      <c r="D390" s="1289" t="s">
        <v>973</v>
      </c>
      <c r="E390" s="1290">
        <v>389</v>
      </c>
      <c r="F390" s="1291" t="s">
        <v>806</v>
      </c>
      <c r="G390" s="1302" t="s">
        <v>548</v>
      </c>
      <c r="H390" s="1355" t="s">
        <v>853</v>
      </c>
      <c r="I390" s="711" t="s">
        <v>978</v>
      </c>
      <c r="J390" s="1296" t="s">
        <v>548</v>
      </c>
    </row>
    <row r="391" spans="1:10" x14ac:dyDescent="0.25">
      <c r="A391" s="1319" t="s">
        <v>972</v>
      </c>
      <c r="B391" s="1318" t="s">
        <v>861</v>
      </c>
      <c r="C391" s="1352" t="s">
        <v>854</v>
      </c>
      <c r="D391" s="1289" t="s">
        <v>973</v>
      </c>
      <c r="E391" s="1290">
        <v>390</v>
      </c>
      <c r="F391" s="1291" t="s">
        <v>808</v>
      </c>
      <c r="G391" s="1302" t="s">
        <v>868</v>
      </c>
      <c r="H391" s="1355" t="s">
        <v>853</v>
      </c>
      <c r="I391" s="711" t="s">
        <v>978</v>
      </c>
      <c r="J391" s="1296" t="s">
        <v>883</v>
      </c>
    </row>
    <row r="392" spans="1:10" x14ac:dyDescent="0.25">
      <c r="A392" s="1331">
        <v>1.1000000000000001</v>
      </c>
      <c r="B392" s="1332" t="s">
        <v>852</v>
      </c>
      <c r="C392" s="1352" t="s">
        <v>854</v>
      </c>
      <c r="D392" s="1289" t="s">
        <v>1001</v>
      </c>
      <c r="E392" s="1290">
        <v>391</v>
      </c>
      <c r="F392" s="1303">
        <v>7.5</v>
      </c>
      <c r="G392" s="1302" t="s">
        <v>852</v>
      </c>
      <c r="H392" s="1355" t="s">
        <v>853</v>
      </c>
      <c r="I392" s="711" t="s">
        <v>978</v>
      </c>
      <c r="J392" s="1296" t="s">
        <v>855</v>
      </c>
    </row>
    <row r="393" spans="1:10" x14ac:dyDescent="0.25">
      <c r="A393" s="1297">
        <v>1.2</v>
      </c>
      <c r="B393" s="1298" t="s">
        <v>856</v>
      </c>
      <c r="C393" s="1352" t="s">
        <v>854</v>
      </c>
      <c r="D393" s="1289" t="s">
        <v>1001</v>
      </c>
      <c r="E393" s="1290">
        <v>392</v>
      </c>
      <c r="F393" s="1303">
        <v>7.6</v>
      </c>
      <c r="G393" s="1302" t="s">
        <v>852</v>
      </c>
      <c r="H393" s="1355" t="s">
        <v>853</v>
      </c>
      <c r="I393" s="711" t="s">
        <v>978</v>
      </c>
      <c r="J393" s="1296" t="s">
        <v>855</v>
      </c>
    </row>
    <row r="394" spans="1:10" x14ac:dyDescent="0.25">
      <c r="A394" s="1299">
        <v>2.1</v>
      </c>
      <c r="B394" s="1294" t="s">
        <v>852</v>
      </c>
      <c r="C394" s="1352" t="s">
        <v>854</v>
      </c>
      <c r="D394" s="1289" t="s">
        <v>1001</v>
      </c>
      <c r="E394" s="1290">
        <v>393</v>
      </c>
      <c r="F394" s="1303">
        <v>7.7</v>
      </c>
      <c r="G394" s="1302" t="s">
        <v>852</v>
      </c>
      <c r="H394" s="1355" t="s">
        <v>853</v>
      </c>
      <c r="I394" s="711" t="s">
        <v>978</v>
      </c>
      <c r="J394" s="1296" t="s">
        <v>855</v>
      </c>
    </row>
    <row r="395" spans="1:10" x14ac:dyDescent="0.25">
      <c r="A395" s="1300">
        <v>2.2000000000000002</v>
      </c>
      <c r="B395" s="1301" t="s">
        <v>548</v>
      </c>
      <c r="C395" s="1352" t="s">
        <v>854</v>
      </c>
      <c r="D395" s="1289" t="s">
        <v>1001</v>
      </c>
      <c r="E395" s="1290">
        <v>394</v>
      </c>
      <c r="F395" s="1303">
        <v>7.8</v>
      </c>
      <c r="G395" s="1302" t="s">
        <v>852</v>
      </c>
      <c r="H395" s="1355" t="s">
        <v>853</v>
      </c>
      <c r="I395" s="711" t="s">
        <v>978</v>
      </c>
      <c r="J395" s="1296" t="s">
        <v>855</v>
      </c>
    </row>
    <row r="396" spans="1:10" x14ac:dyDescent="0.25">
      <c r="A396" s="1300">
        <v>2.2999999999999998</v>
      </c>
      <c r="B396" s="1301" t="s">
        <v>852</v>
      </c>
      <c r="C396" s="1352" t="s">
        <v>854</v>
      </c>
      <c r="D396" s="1289" t="s">
        <v>1001</v>
      </c>
      <c r="E396" s="1290">
        <v>395</v>
      </c>
      <c r="F396" s="1303">
        <v>7.9</v>
      </c>
      <c r="G396" s="1302" t="s">
        <v>852</v>
      </c>
      <c r="H396" s="1355" t="s">
        <v>853</v>
      </c>
      <c r="I396" s="711" t="s">
        <v>978</v>
      </c>
      <c r="J396" s="1296" t="s">
        <v>855</v>
      </c>
    </row>
    <row r="397" spans="1:10" x14ac:dyDescent="0.25">
      <c r="A397" s="1300">
        <v>2.4</v>
      </c>
      <c r="B397" s="1301" t="s">
        <v>864</v>
      </c>
      <c r="C397" s="1352" t="s">
        <v>854</v>
      </c>
      <c r="D397" s="1289" t="s">
        <v>1001</v>
      </c>
      <c r="E397" s="1290">
        <v>396</v>
      </c>
      <c r="F397" s="1307" t="s">
        <v>814</v>
      </c>
      <c r="G397" s="1302" t="s">
        <v>998</v>
      </c>
      <c r="H397" s="1355" t="s">
        <v>853</v>
      </c>
      <c r="I397" s="711" t="s">
        <v>978</v>
      </c>
      <c r="J397" s="1296" t="s">
        <v>891</v>
      </c>
    </row>
    <row r="398" spans="1:10" x14ac:dyDescent="0.25">
      <c r="A398" s="1300">
        <v>2.5</v>
      </c>
      <c r="B398" s="1301" t="s">
        <v>916</v>
      </c>
      <c r="C398" s="1352" t="s">
        <v>854</v>
      </c>
      <c r="D398" s="1289" t="s">
        <v>1001</v>
      </c>
      <c r="E398" s="1290">
        <v>397</v>
      </c>
      <c r="F398" s="1303">
        <v>7.11</v>
      </c>
      <c r="G398" s="1302" t="s">
        <v>852</v>
      </c>
      <c r="H398" s="1355" t="s">
        <v>853</v>
      </c>
      <c r="I398" s="711" t="s">
        <v>978</v>
      </c>
      <c r="J398" s="1296" t="s">
        <v>855</v>
      </c>
    </row>
    <row r="399" spans="1:10" x14ac:dyDescent="0.25">
      <c r="A399" s="1300">
        <v>2.6</v>
      </c>
      <c r="B399" s="1301" t="s">
        <v>868</v>
      </c>
      <c r="C399" s="1352" t="s">
        <v>854</v>
      </c>
      <c r="D399" s="1289" t="s">
        <v>1001</v>
      </c>
      <c r="E399" s="1290">
        <v>398</v>
      </c>
      <c r="F399" s="1303">
        <v>7.12</v>
      </c>
      <c r="G399" s="1302" t="s">
        <v>852</v>
      </c>
      <c r="H399" s="1355" t="s">
        <v>853</v>
      </c>
      <c r="I399" s="711" t="s">
        <v>978</v>
      </c>
      <c r="J399" s="1296" t="s">
        <v>855</v>
      </c>
    </row>
    <row r="400" spans="1:10" x14ac:dyDescent="0.25">
      <c r="A400" s="1304" t="s">
        <v>869</v>
      </c>
      <c r="B400" s="1301" t="s">
        <v>852</v>
      </c>
      <c r="C400" s="1352" t="s">
        <v>854</v>
      </c>
      <c r="D400" s="1289" t="s">
        <v>1001</v>
      </c>
      <c r="E400" s="1290">
        <v>399</v>
      </c>
      <c r="F400" s="1291" t="s">
        <v>818</v>
      </c>
      <c r="G400" s="1302" t="s">
        <v>548</v>
      </c>
      <c r="H400" s="1355" t="s">
        <v>853</v>
      </c>
      <c r="I400" s="711" t="s">
        <v>978</v>
      </c>
      <c r="J400" s="1296" t="s">
        <v>548</v>
      </c>
    </row>
    <row r="401" spans="1:10" x14ac:dyDescent="0.25">
      <c r="A401" s="1300" t="s">
        <v>870</v>
      </c>
      <c r="B401" s="1301" t="s">
        <v>1005</v>
      </c>
      <c r="C401" s="1352" t="s">
        <v>854</v>
      </c>
      <c r="D401" s="1289" t="s">
        <v>1001</v>
      </c>
      <c r="E401" s="1290">
        <v>400</v>
      </c>
      <c r="F401" s="1291" t="s">
        <v>820</v>
      </c>
      <c r="G401" s="1302" t="s">
        <v>999</v>
      </c>
      <c r="H401" s="1355" t="s">
        <v>853</v>
      </c>
      <c r="I401" s="711" t="s">
        <v>978</v>
      </c>
      <c r="J401" s="1296" t="s">
        <v>1000</v>
      </c>
    </row>
    <row r="402" spans="1:10" x14ac:dyDescent="0.25">
      <c r="A402" s="1300">
        <v>2.8</v>
      </c>
      <c r="B402" s="1301" t="s">
        <v>873</v>
      </c>
      <c r="C402" s="1352" t="s">
        <v>854</v>
      </c>
      <c r="D402" s="1289" t="s">
        <v>1001</v>
      </c>
      <c r="E402" s="1290">
        <v>401</v>
      </c>
      <c r="F402" s="1303">
        <v>7.14</v>
      </c>
      <c r="G402" s="1302" t="s">
        <v>852</v>
      </c>
      <c r="H402" s="1355" t="s">
        <v>853</v>
      </c>
      <c r="I402" s="711" t="s">
        <v>978</v>
      </c>
      <c r="J402" s="1296" t="s">
        <v>855</v>
      </c>
    </row>
    <row r="403" spans="1:10" x14ac:dyDescent="0.25">
      <c r="A403" s="1300">
        <v>2.9</v>
      </c>
      <c r="B403" s="1301" t="s">
        <v>876</v>
      </c>
      <c r="C403" s="1352" t="s">
        <v>854</v>
      </c>
      <c r="D403" s="1289" t="s">
        <v>1001</v>
      </c>
      <c r="E403" s="1290">
        <v>402</v>
      </c>
      <c r="F403" s="1303">
        <v>7.15</v>
      </c>
      <c r="G403" s="1302" t="s">
        <v>852</v>
      </c>
      <c r="H403" s="1355" t="s">
        <v>853</v>
      </c>
      <c r="I403" s="711" t="s">
        <v>978</v>
      </c>
      <c r="J403" s="1296" t="s">
        <v>855</v>
      </c>
    </row>
    <row r="404" spans="1:10" x14ac:dyDescent="0.25">
      <c r="A404" s="1305" t="s">
        <v>735</v>
      </c>
      <c r="B404" s="1298" t="s">
        <v>868</v>
      </c>
      <c r="C404" s="1352" t="s">
        <v>854</v>
      </c>
      <c r="D404" s="1289" t="s">
        <v>1001</v>
      </c>
      <c r="E404" s="1290">
        <v>403</v>
      </c>
      <c r="F404" s="1303">
        <v>7.16</v>
      </c>
      <c r="G404" s="1302" t="s">
        <v>852</v>
      </c>
      <c r="H404" s="1355" t="s">
        <v>853</v>
      </c>
      <c r="I404" s="711" t="s">
        <v>978</v>
      </c>
      <c r="J404" s="1296" t="s">
        <v>855</v>
      </c>
    </row>
    <row r="405" spans="1:10" x14ac:dyDescent="0.25">
      <c r="A405" s="1299" t="s">
        <v>877</v>
      </c>
      <c r="B405" s="1294" t="s">
        <v>852</v>
      </c>
      <c r="C405" s="1352" t="s">
        <v>854</v>
      </c>
      <c r="D405" s="1289" t="s">
        <v>1001</v>
      </c>
      <c r="E405" s="1290">
        <v>404</v>
      </c>
      <c r="F405" s="1303">
        <v>7.17</v>
      </c>
      <c r="G405" s="1302" t="s">
        <v>852</v>
      </c>
      <c r="H405" s="1355" t="s">
        <v>853</v>
      </c>
      <c r="I405" s="711" t="s">
        <v>978</v>
      </c>
      <c r="J405" s="1296" t="s">
        <v>855</v>
      </c>
    </row>
    <row r="406" spans="1:10" x14ac:dyDescent="0.25">
      <c r="A406" s="1300" t="s">
        <v>880</v>
      </c>
      <c r="B406" s="1301" t="s">
        <v>852</v>
      </c>
      <c r="C406" s="1352" t="s">
        <v>854</v>
      </c>
      <c r="D406" s="1289" t="s">
        <v>1001</v>
      </c>
      <c r="E406" s="1290">
        <v>405</v>
      </c>
      <c r="F406" s="1291" t="s">
        <v>827</v>
      </c>
      <c r="G406" s="1302" t="s">
        <v>852</v>
      </c>
      <c r="H406" s="1355" t="s">
        <v>853</v>
      </c>
      <c r="I406" s="711" t="s">
        <v>978</v>
      </c>
      <c r="J406" s="1296" t="s">
        <v>855</v>
      </c>
    </row>
    <row r="407" spans="1:10" x14ac:dyDescent="0.25">
      <c r="A407" s="1300" t="s">
        <v>741</v>
      </c>
      <c r="B407" s="1306" t="s">
        <v>882</v>
      </c>
      <c r="C407" s="1352" t="s">
        <v>854</v>
      </c>
      <c r="D407" s="1289" t="s">
        <v>1001</v>
      </c>
      <c r="E407" s="1290">
        <v>406</v>
      </c>
      <c r="F407" s="1291" t="s">
        <v>829</v>
      </c>
      <c r="G407" s="1295" t="s">
        <v>916</v>
      </c>
      <c r="H407" s="1355" t="s">
        <v>853</v>
      </c>
      <c r="I407" s="711" t="s">
        <v>978</v>
      </c>
      <c r="J407" s="1296" t="s">
        <v>917</v>
      </c>
    </row>
    <row r="408" spans="1:10" x14ac:dyDescent="0.25">
      <c r="A408" s="1300" t="s">
        <v>742</v>
      </c>
      <c r="B408" s="1301" t="s">
        <v>864</v>
      </c>
      <c r="C408" s="1352" t="s">
        <v>854</v>
      </c>
      <c r="D408" s="1289" t="s">
        <v>1001</v>
      </c>
      <c r="E408" s="1290">
        <v>407</v>
      </c>
      <c r="F408" s="1303">
        <v>8.1999999999999993</v>
      </c>
      <c r="G408" s="1302" t="s">
        <v>974</v>
      </c>
      <c r="H408" s="1355" t="s">
        <v>853</v>
      </c>
      <c r="I408" s="711" t="s">
        <v>978</v>
      </c>
      <c r="J408" s="1296" t="s">
        <v>975</v>
      </c>
    </row>
    <row r="409" spans="1:10" x14ac:dyDescent="0.25">
      <c r="A409" s="1300" t="s">
        <v>743</v>
      </c>
      <c r="B409" s="1301" t="s">
        <v>884</v>
      </c>
      <c r="C409" s="1352" t="s">
        <v>854</v>
      </c>
      <c r="D409" s="1289" t="s">
        <v>1001</v>
      </c>
      <c r="E409" s="1290">
        <v>408</v>
      </c>
      <c r="F409" s="1303">
        <v>8.3000000000000007</v>
      </c>
      <c r="G409" s="1302" t="s">
        <v>852</v>
      </c>
      <c r="H409" s="1355" t="s">
        <v>853</v>
      </c>
      <c r="I409" s="711" t="s">
        <v>978</v>
      </c>
      <c r="J409" s="1296" t="s">
        <v>855</v>
      </c>
    </row>
    <row r="410" spans="1:10" x14ac:dyDescent="0.25">
      <c r="A410" s="1300" t="s">
        <v>885</v>
      </c>
      <c r="B410" s="1306" t="s">
        <v>886</v>
      </c>
      <c r="C410" s="1352" t="s">
        <v>854</v>
      </c>
      <c r="D410" s="1289" t="s">
        <v>1001</v>
      </c>
      <c r="E410" s="1290">
        <v>409</v>
      </c>
      <c r="F410" s="1303">
        <v>8.4</v>
      </c>
      <c r="G410" s="1302" t="s">
        <v>976</v>
      </c>
      <c r="H410" s="1355" t="s">
        <v>853</v>
      </c>
      <c r="I410" s="711" t="s">
        <v>978</v>
      </c>
      <c r="J410" s="1296" t="s">
        <v>977</v>
      </c>
    </row>
    <row r="411" spans="1:10" ht="15.75" thickBot="1" x14ac:dyDescent="0.3">
      <c r="A411" s="1300" t="s">
        <v>887</v>
      </c>
      <c r="B411" s="1301" t="s">
        <v>888</v>
      </c>
      <c r="C411" s="1352" t="s">
        <v>854</v>
      </c>
      <c r="D411" s="1289" t="s">
        <v>1001</v>
      </c>
      <c r="E411" s="1290">
        <v>410</v>
      </c>
      <c r="F411" s="1336">
        <v>8.5</v>
      </c>
      <c r="G411" s="1302" t="s">
        <v>852</v>
      </c>
      <c r="H411" s="1337" t="s">
        <v>853</v>
      </c>
      <c r="I411" s="711" t="s">
        <v>978</v>
      </c>
      <c r="J411" s="1339" t="s">
        <v>855</v>
      </c>
    </row>
    <row r="412" spans="1:10" ht="15.75" thickTop="1" x14ac:dyDescent="0.25">
      <c r="A412" s="1300" t="s">
        <v>892</v>
      </c>
      <c r="B412" s="1298" t="s">
        <v>852</v>
      </c>
      <c r="C412" s="1352" t="s">
        <v>854</v>
      </c>
      <c r="D412" s="1289" t="s">
        <v>1001</v>
      </c>
      <c r="E412" s="1290">
        <v>411</v>
      </c>
      <c r="F412" s="1291" t="s">
        <v>711</v>
      </c>
      <c r="G412" s="1302" t="s">
        <v>852</v>
      </c>
      <c r="H412" s="1355" t="s">
        <v>853</v>
      </c>
      <c r="I412" s="711" t="s">
        <v>1002</v>
      </c>
      <c r="J412" s="1296" t="s">
        <v>855</v>
      </c>
    </row>
    <row r="413" spans="1:10" x14ac:dyDescent="0.25">
      <c r="A413" s="1309" t="s">
        <v>894</v>
      </c>
      <c r="B413" s="1310" t="s">
        <v>852</v>
      </c>
      <c r="C413" s="1352" t="s">
        <v>854</v>
      </c>
      <c r="D413" s="1289" t="s">
        <v>1001</v>
      </c>
      <c r="E413" s="1290">
        <v>412</v>
      </c>
      <c r="F413" s="1291" t="s">
        <v>713</v>
      </c>
      <c r="G413" s="1295" t="s">
        <v>857</v>
      </c>
      <c r="H413" s="1355" t="s">
        <v>853</v>
      </c>
      <c r="I413" s="711" t="s">
        <v>1002</v>
      </c>
      <c r="J413" s="1296" t="s">
        <v>858</v>
      </c>
    </row>
    <row r="414" spans="1:10" x14ac:dyDescent="0.25">
      <c r="A414" s="1311" t="s">
        <v>898</v>
      </c>
      <c r="B414" s="1312" t="s">
        <v>888</v>
      </c>
      <c r="C414" s="1352" t="s">
        <v>854</v>
      </c>
      <c r="D414" s="1289" t="s">
        <v>1001</v>
      </c>
      <c r="E414" s="1290">
        <v>413</v>
      </c>
      <c r="F414" s="1303">
        <v>1.2</v>
      </c>
      <c r="G414" s="1302" t="s">
        <v>979</v>
      </c>
      <c r="H414" s="1355" t="s">
        <v>853</v>
      </c>
      <c r="I414" s="711" t="s">
        <v>1002</v>
      </c>
      <c r="J414" s="1296" t="s">
        <v>860</v>
      </c>
    </row>
    <row r="415" spans="1:10" x14ac:dyDescent="0.25">
      <c r="A415" s="1311" t="s">
        <v>900</v>
      </c>
      <c r="B415" s="1314" t="s">
        <v>901</v>
      </c>
      <c r="C415" s="1352" t="s">
        <v>854</v>
      </c>
      <c r="D415" s="1289" t="s">
        <v>1001</v>
      </c>
      <c r="E415" s="1290">
        <v>414</v>
      </c>
      <c r="F415" s="1291" t="s">
        <v>716</v>
      </c>
      <c r="G415" s="1302" t="s">
        <v>852</v>
      </c>
      <c r="H415" s="1355" t="s">
        <v>853</v>
      </c>
      <c r="I415" s="711" t="s">
        <v>1002</v>
      </c>
      <c r="J415" s="1296" t="s">
        <v>855</v>
      </c>
    </row>
    <row r="416" spans="1:10" x14ac:dyDescent="0.25">
      <c r="A416" s="1315" t="s">
        <v>904</v>
      </c>
      <c r="B416" s="1316" t="s">
        <v>548</v>
      </c>
      <c r="C416" s="1352" t="s">
        <v>854</v>
      </c>
      <c r="D416" s="1289" t="s">
        <v>1001</v>
      </c>
      <c r="E416" s="1290">
        <v>415</v>
      </c>
      <c r="F416" s="1291" t="s">
        <v>718</v>
      </c>
      <c r="G416" s="1302" t="s">
        <v>862</v>
      </c>
      <c r="H416" s="1355" t="s">
        <v>853</v>
      </c>
      <c r="I416" s="711" t="s">
        <v>1002</v>
      </c>
      <c r="J416" s="1296" t="s">
        <v>863</v>
      </c>
    </row>
    <row r="417" spans="1:10" x14ac:dyDescent="0.25">
      <c r="A417" s="1317" t="s">
        <v>905</v>
      </c>
      <c r="B417" s="1318" t="s">
        <v>852</v>
      </c>
      <c r="C417" s="1352" t="s">
        <v>854</v>
      </c>
      <c r="D417" s="1289" t="s">
        <v>1001</v>
      </c>
      <c r="E417" s="1290">
        <v>416</v>
      </c>
      <c r="F417" s="1303">
        <v>1.4</v>
      </c>
      <c r="G417" s="1302" t="s">
        <v>865</v>
      </c>
      <c r="H417" s="1355" t="s">
        <v>853</v>
      </c>
      <c r="I417" s="711" t="s">
        <v>1002</v>
      </c>
      <c r="J417" s="1296" t="s">
        <v>866</v>
      </c>
    </row>
    <row r="418" spans="1:10" x14ac:dyDescent="0.25">
      <c r="A418" s="1319" t="s">
        <v>906</v>
      </c>
      <c r="B418" s="1318" t="s">
        <v>548</v>
      </c>
      <c r="C418" s="1352" t="s">
        <v>854</v>
      </c>
      <c r="D418" s="1289" t="s">
        <v>1001</v>
      </c>
      <c r="E418" s="1290">
        <v>417</v>
      </c>
      <c r="F418" s="1303">
        <v>2.1</v>
      </c>
      <c r="G418" s="1302" t="s">
        <v>852</v>
      </c>
      <c r="H418" s="1355" t="s">
        <v>853</v>
      </c>
      <c r="I418" s="711" t="s">
        <v>1002</v>
      </c>
      <c r="J418" s="1296" t="s">
        <v>855</v>
      </c>
    </row>
    <row r="419" spans="1:10" x14ac:dyDescent="0.25">
      <c r="A419" s="1317" t="s">
        <v>910</v>
      </c>
      <c r="B419" s="1318" t="s">
        <v>864</v>
      </c>
      <c r="C419" s="1352" t="s">
        <v>854</v>
      </c>
      <c r="D419" s="1289" t="s">
        <v>1001</v>
      </c>
      <c r="E419" s="1290">
        <v>418</v>
      </c>
      <c r="F419" s="1303">
        <v>2.2000000000000002</v>
      </c>
      <c r="G419" s="1302" t="s">
        <v>548</v>
      </c>
      <c r="H419" s="1355" t="s">
        <v>853</v>
      </c>
      <c r="I419" s="711" t="s">
        <v>1002</v>
      </c>
      <c r="J419" s="1296" t="s">
        <v>548</v>
      </c>
    </row>
    <row r="420" spans="1:10" x14ac:dyDescent="0.25">
      <c r="A420" s="1319" t="s">
        <v>911</v>
      </c>
      <c r="B420" s="1318" t="s">
        <v>852</v>
      </c>
      <c r="C420" s="1352" t="s">
        <v>854</v>
      </c>
      <c r="D420" s="1289" t="s">
        <v>1001</v>
      </c>
      <c r="E420" s="1290">
        <v>419</v>
      </c>
      <c r="F420" s="1303">
        <v>2.2999999999999998</v>
      </c>
      <c r="G420" s="1302" t="s">
        <v>852</v>
      </c>
      <c r="H420" s="1355" t="s">
        <v>853</v>
      </c>
      <c r="I420" s="711" t="s">
        <v>1002</v>
      </c>
      <c r="J420" s="1296" t="s">
        <v>855</v>
      </c>
    </row>
    <row r="421" spans="1:10" x14ac:dyDescent="0.25">
      <c r="A421" s="1319" t="s">
        <v>914</v>
      </c>
      <c r="B421" s="1320" t="s">
        <v>915</v>
      </c>
      <c r="C421" s="1352" t="s">
        <v>854</v>
      </c>
      <c r="D421" s="1289" t="s">
        <v>1001</v>
      </c>
      <c r="E421" s="1290">
        <v>420</v>
      </c>
      <c r="F421" s="1303">
        <v>2.4</v>
      </c>
      <c r="G421" s="1295" t="s">
        <v>864</v>
      </c>
      <c r="H421" s="1355" t="s">
        <v>853</v>
      </c>
      <c r="I421" s="711" t="s">
        <v>1002</v>
      </c>
      <c r="J421" s="1296" t="s">
        <v>872</v>
      </c>
    </row>
    <row r="422" spans="1:10" x14ac:dyDescent="0.25">
      <c r="A422" s="1319" t="s">
        <v>918</v>
      </c>
      <c r="B422" s="1318" t="s">
        <v>868</v>
      </c>
      <c r="C422" s="1352" t="s">
        <v>854</v>
      </c>
      <c r="D422" s="1289" t="s">
        <v>1001</v>
      </c>
      <c r="E422" s="1290">
        <v>421</v>
      </c>
      <c r="F422" s="1303">
        <v>2.5</v>
      </c>
      <c r="G422" s="1295" t="s">
        <v>874</v>
      </c>
      <c r="H422" s="1355" t="s">
        <v>853</v>
      </c>
      <c r="I422" s="711" t="s">
        <v>1002</v>
      </c>
      <c r="J422" s="1296" t="s">
        <v>875</v>
      </c>
    </row>
    <row r="423" spans="1:10" x14ac:dyDescent="0.25">
      <c r="A423" s="1319" t="s">
        <v>919</v>
      </c>
      <c r="B423" s="1318" t="s">
        <v>852</v>
      </c>
      <c r="C423" s="1352" t="s">
        <v>854</v>
      </c>
      <c r="D423" s="1289" t="s">
        <v>1001</v>
      </c>
      <c r="E423" s="1290">
        <v>422</v>
      </c>
      <c r="F423" s="1303">
        <v>2.6</v>
      </c>
      <c r="G423" s="1302" t="s">
        <v>852</v>
      </c>
      <c r="H423" s="1355" t="s">
        <v>853</v>
      </c>
      <c r="I423" s="711" t="s">
        <v>1002</v>
      </c>
      <c r="J423" s="1296" t="s">
        <v>855</v>
      </c>
    </row>
    <row r="424" spans="1:10" x14ac:dyDescent="0.25">
      <c r="A424" s="1319" t="s">
        <v>920</v>
      </c>
      <c r="B424" s="1318" t="s">
        <v>548</v>
      </c>
      <c r="C424" s="1352" t="s">
        <v>854</v>
      </c>
      <c r="D424" s="1289" t="s">
        <v>1001</v>
      </c>
      <c r="E424" s="1290">
        <v>423</v>
      </c>
      <c r="F424" s="1291" t="s">
        <v>729</v>
      </c>
      <c r="G424" s="1302" t="s">
        <v>548</v>
      </c>
      <c r="H424" s="1355" t="s">
        <v>853</v>
      </c>
      <c r="I424" s="711" t="s">
        <v>1002</v>
      </c>
      <c r="J424" s="1296" t="s">
        <v>548</v>
      </c>
    </row>
    <row r="425" spans="1:10" x14ac:dyDescent="0.25">
      <c r="A425" s="1317" t="s">
        <v>923</v>
      </c>
      <c r="B425" s="1318" t="s">
        <v>861</v>
      </c>
      <c r="C425" s="1352" t="s">
        <v>854</v>
      </c>
      <c r="D425" s="1289" t="s">
        <v>1001</v>
      </c>
      <c r="E425" s="1290">
        <v>424</v>
      </c>
      <c r="F425" s="1291" t="s">
        <v>731</v>
      </c>
      <c r="G425" s="1302" t="s">
        <v>1006</v>
      </c>
      <c r="H425" s="1355" t="s">
        <v>853</v>
      </c>
      <c r="I425" s="711" t="s">
        <v>1002</v>
      </c>
      <c r="J425" s="1296" t="s">
        <v>1007</v>
      </c>
    </row>
    <row r="426" spans="1:10" x14ac:dyDescent="0.25">
      <c r="A426" s="1319" t="s">
        <v>924</v>
      </c>
      <c r="B426" s="1318" t="s">
        <v>925</v>
      </c>
      <c r="C426" s="1352" t="s">
        <v>854</v>
      </c>
      <c r="D426" s="1289" t="s">
        <v>1001</v>
      </c>
      <c r="E426" s="1290">
        <v>425</v>
      </c>
      <c r="F426" s="1303">
        <v>2.8</v>
      </c>
      <c r="G426" s="1302" t="s">
        <v>981</v>
      </c>
      <c r="H426" s="1355" t="s">
        <v>853</v>
      </c>
      <c r="I426" s="711" t="s">
        <v>1002</v>
      </c>
      <c r="J426" s="1296" t="s">
        <v>982</v>
      </c>
    </row>
    <row r="427" spans="1:10" x14ac:dyDescent="0.25">
      <c r="A427" s="1319" t="s">
        <v>928</v>
      </c>
      <c r="B427" s="1318" t="s">
        <v>929</v>
      </c>
      <c r="C427" s="1352" t="s">
        <v>854</v>
      </c>
      <c r="D427" s="1289" t="s">
        <v>1001</v>
      </c>
      <c r="E427" s="1290">
        <v>426</v>
      </c>
      <c r="F427" s="1303">
        <v>2.9</v>
      </c>
      <c r="G427" s="1302" t="s">
        <v>864</v>
      </c>
      <c r="H427" s="1355" t="s">
        <v>853</v>
      </c>
      <c r="I427" s="711" t="s">
        <v>1002</v>
      </c>
      <c r="J427" s="1296" t="s">
        <v>872</v>
      </c>
    </row>
    <row r="428" spans="1:10" x14ac:dyDescent="0.25">
      <c r="A428" s="1319" t="s">
        <v>931</v>
      </c>
      <c r="B428" s="1318" t="s">
        <v>932</v>
      </c>
      <c r="C428" s="1352" t="s">
        <v>854</v>
      </c>
      <c r="D428" s="1289" t="s">
        <v>1001</v>
      </c>
      <c r="E428" s="1290">
        <v>427</v>
      </c>
      <c r="F428" s="1307" t="s">
        <v>735</v>
      </c>
      <c r="G428" s="1302" t="s">
        <v>868</v>
      </c>
      <c r="H428" s="1355" t="s">
        <v>853</v>
      </c>
      <c r="I428" s="711" t="s">
        <v>1002</v>
      </c>
      <c r="J428" s="1296" t="s">
        <v>883</v>
      </c>
    </row>
    <row r="429" spans="1:10" x14ac:dyDescent="0.25">
      <c r="A429" s="1319" t="s">
        <v>933</v>
      </c>
      <c r="B429" s="1318" t="s">
        <v>852</v>
      </c>
      <c r="C429" s="1352" t="s">
        <v>854</v>
      </c>
      <c r="D429" s="1289" t="s">
        <v>1001</v>
      </c>
      <c r="E429" s="1290">
        <v>428</v>
      </c>
      <c r="F429" s="1303">
        <v>3.1</v>
      </c>
      <c r="G429" s="1302" t="s">
        <v>852</v>
      </c>
      <c r="H429" s="1355" t="s">
        <v>853</v>
      </c>
      <c r="I429" s="711" t="s">
        <v>1002</v>
      </c>
      <c r="J429" s="1296" t="s">
        <v>855</v>
      </c>
    </row>
    <row r="430" spans="1:10" x14ac:dyDescent="0.25">
      <c r="A430" s="1319" t="s">
        <v>782</v>
      </c>
      <c r="B430" s="1318" t="s">
        <v>934</v>
      </c>
      <c r="C430" s="1352" t="s">
        <v>854</v>
      </c>
      <c r="D430" s="1289" t="s">
        <v>1001</v>
      </c>
      <c r="E430" s="1290">
        <v>429</v>
      </c>
      <c r="F430" s="1303">
        <v>3.2</v>
      </c>
      <c r="G430" s="1302" t="s">
        <v>852</v>
      </c>
      <c r="H430" s="1355" t="s">
        <v>853</v>
      </c>
      <c r="I430" s="711" t="s">
        <v>1002</v>
      </c>
      <c r="J430" s="1296" t="s">
        <v>855</v>
      </c>
    </row>
    <row r="431" spans="1:10" x14ac:dyDescent="0.25">
      <c r="A431" s="1319">
        <v>5.1100000000000003</v>
      </c>
      <c r="B431" s="1318" t="s">
        <v>985</v>
      </c>
      <c r="C431" s="1352" t="s">
        <v>854</v>
      </c>
      <c r="D431" s="1289" t="s">
        <v>1001</v>
      </c>
      <c r="E431" s="1290">
        <v>430</v>
      </c>
      <c r="F431" s="1291" t="s">
        <v>889</v>
      </c>
      <c r="G431" s="1295" t="s">
        <v>890</v>
      </c>
      <c r="H431" s="1355" t="s">
        <v>853</v>
      </c>
      <c r="I431" s="711" t="s">
        <v>1002</v>
      </c>
      <c r="J431" s="1296" t="s">
        <v>891</v>
      </c>
    </row>
    <row r="432" spans="1:10" x14ac:dyDescent="0.25">
      <c r="A432" s="1319">
        <v>5.12</v>
      </c>
      <c r="B432" s="1318" t="s">
        <v>876</v>
      </c>
      <c r="C432" s="1352" t="s">
        <v>854</v>
      </c>
      <c r="D432" s="1289" t="s">
        <v>1001</v>
      </c>
      <c r="E432" s="1290">
        <v>431</v>
      </c>
      <c r="F432" s="1291" t="s">
        <v>893</v>
      </c>
      <c r="G432" s="1295" t="s">
        <v>864</v>
      </c>
      <c r="H432" s="1355" t="s">
        <v>853</v>
      </c>
      <c r="I432" s="711" t="s">
        <v>1002</v>
      </c>
      <c r="J432" s="1296" t="s">
        <v>872</v>
      </c>
    </row>
    <row r="433" spans="1:10" x14ac:dyDescent="0.25">
      <c r="A433" s="1322">
        <v>5.13</v>
      </c>
      <c r="B433" s="1323" t="s">
        <v>986</v>
      </c>
      <c r="C433" s="1352" t="s">
        <v>854</v>
      </c>
      <c r="D433" s="1289" t="s">
        <v>1001</v>
      </c>
      <c r="E433" s="1290">
        <v>432</v>
      </c>
      <c r="F433" s="1291" t="s">
        <v>895</v>
      </c>
      <c r="G433" s="1302" t="s">
        <v>896</v>
      </c>
      <c r="H433" s="1355" t="s">
        <v>853</v>
      </c>
      <c r="I433" s="711" t="s">
        <v>1002</v>
      </c>
      <c r="J433" s="1296" t="s">
        <v>897</v>
      </c>
    </row>
    <row r="434" spans="1:10" x14ac:dyDescent="0.25">
      <c r="A434" s="1315" t="s">
        <v>936</v>
      </c>
      <c r="B434" s="1316" t="s">
        <v>852</v>
      </c>
      <c r="C434" s="1352" t="s">
        <v>854</v>
      </c>
      <c r="D434" s="1289" t="s">
        <v>1001</v>
      </c>
      <c r="E434" s="1290">
        <v>433</v>
      </c>
      <c r="F434" s="1303">
        <v>3.4</v>
      </c>
      <c r="G434" s="1302" t="s">
        <v>899</v>
      </c>
      <c r="H434" s="1355" t="s">
        <v>853</v>
      </c>
      <c r="I434" s="711" t="s">
        <v>1002</v>
      </c>
      <c r="J434" s="1296" t="s">
        <v>891</v>
      </c>
    </row>
    <row r="435" spans="1:10" x14ac:dyDescent="0.25">
      <c r="A435" s="1319" t="s">
        <v>937</v>
      </c>
      <c r="B435" s="1318" t="s">
        <v>852</v>
      </c>
      <c r="C435" s="1352" t="s">
        <v>854</v>
      </c>
      <c r="D435" s="1289" t="s">
        <v>1001</v>
      </c>
      <c r="E435" s="1290">
        <v>434</v>
      </c>
      <c r="F435" s="1303">
        <v>3.5</v>
      </c>
      <c r="G435" s="1295" t="s">
        <v>902</v>
      </c>
      <c r="H435" s="1355" t="s">
        <v>853</v>
      </c>
      <c r="I435" s="711" t="s">
        <v>1002</v>
      </c>
      <c r="J435" s="1296" t="s">
        <v>903</v>
      </c>
    </row>
    <row r="436" spans="1:10" x14ac:dyDescent="0.25">
      <c r="A436" s="1319" t="s">
        <v>938</v>
      </c>
      <c r="B436" s="1318" t="s">
        <v>884</v>
      </c>
      <c r="C436" s="1352" t="s">
        <v>854</v>
      </c>
      <c r="D436" s="1289" t="s">
        <v>1001</v>
      </c>
      <c r="E436" s="1290">
        <v>435</v>
      </c>
      <c r="F436" s="1303">
        <v>3.6</v>
      </c>
      <c r="G436" s="1302" t="s">
        <v>852</v>
      </c>
      <c r="H436" s="1355" t="s">
        <v>853</v>
      </c>
      <c r="I436" s="711" t="s">
        <v>1002</v>
      </c>
      <c r="J436" s="1296" t="s">
        <v>855</v>
      </c>
    </row>
    <row r="437" spans="1:10" x14ac:dyDescent="0.25">
      <c r="A437" s="1319" t="s">
        <v>939</v>
      </c>
      <c r="B437" s="1318" t="s">
        <v>940</v>
      </c>
      <c r="C437" s="1352" t="s">
        <v>854</v>
      </c>
      <c r="D437" s="1289" t="s">
        <v>1001</v>
      </c>
      <c r="E437" s="1290">
        <v>436</v>
      </c>
      <c r="F437" s="1291" t="s">
        <v>750</v>
      </c>
      <c r="G437" s="1302" t="s">
        <v>852</v>
      </c>
      <c r="H437" s="1355" t="s">
        <v>853</v>
      </c>
      <c r="I437" s="711" t="s">
        <v>1002</v>
      </c>
      <c r="J437" s="1296" t="s">
        <v>855</v>
      </c>
    </row>
    <row r="438" spans="1:10" x14ac:dyDescent="0.25">
      <c r="A438" s="1319" t="s">
        <v>941</v>
      </c>
      <c r="B438" s="1318" t="s">
        <v>884</v>
      </c>
      <c r="C438" s="1352" t="s">
        <v>854</v>
      </c>
      <c r="D438" s="1289" t="s">
        <v>1001</v>
      </c>
      <c r="E438" s="1290">
        <v>437</v>
      </c>
      <c r="F438" s="1291" t="s">
        <v>752</v>
      </c>
      <c r="G438" s="1302" t="s">
        <v>984</v>
      </c>
      <c r="H438" s="1355" t="s">
        <v>853</v>
      </c>
      <c r="I438" s="711" t="s">
        <v>1002</v>
      </c>
      <c r="J438" s="1296" t="s">
        <v>909</v>
      </c>
    </row>
    <row r="439" spans="1:10" x14ac:dyDescent="0.25">
      <c r="A439" s="1319" t="s">
        <v>942</v>
      </c>
      <c r="B439" s="1318" t="s">
        <v>884</v>
      </c>
      <c r="C439" s="1352" t="s">
        <v>854</v>
      </c>
      <c r="D439" s="1289" t="s">
        <v>1001</v>
      </c>
      <c r="E439" s="1290">
        <v>438</v>
      </c>
      <c r="F439" s="1303">
        <v>4.2</v>
      </c>
      <c r="G439" s="1302" t="s">
        <v>953</v>
      </c>
      <c r="H439" s="1355" t="s">
        <v>853</v>
      </c>
      <c r="I439" s="711" t="s">
        <v>1002</v>
      </c>
      <c r="J439" s="1296" t="s">
        <v>927</v>
      </c>
    </row>
    <row r="440" spans="1:10" x14ac:dyDescent="0.25">
      <c r="A440" s="1319" t="s">
        <v>943</v>
      </c>
      <c r="B440" s="1318" t="s">
        <v>864</v>
      </c>
      <c r="C440" s="1352" t="s">
        <v>854</v>
      </c>
      <c r="D440" s="1289" t="s">
        <v>1001</v>
      </c>
      <c r="E440" s="1290">
        <v>439</v>
      </c>
      <c r="F440" s="1303">
        <v>4.3</v>
      </c>
      <c r="G440" s="1295" t="s">
        <v>912</v>
      </c>
      <c r="H440" s="1355" t="s">
        <v>853</v>
      </c>
      <c r="I440" s="711" t="s">
        <v>1002</v>
      </c>
      <c r="J440" s="1296" t="s">
        <v>913</v>
      </c>
    </row>
    <row r="441" spans="1:10" x14ac:dyDescent="0.25">
      <c r="A441" s="1319" t="s">
        <v>944</v>
      </c>
      <c r="B441" s="1318" t="s">
        <v>864</v>
      </c>
      <c r="C441" s="1352" t="s">
        <v>854</v>
      </c>
      <c r="D441" s="1289" t="s">
        <v>1001</v>
      </c>
      <c r="E441" s="1290">
        <v>440</v>
      </c>
      <c r="F441" s="1303">
        <v>4.4000000000000004</v>
      </c>
      <c r="G441" s="1295" t="s">
        <v>916</v>
      </c>
      <c r="H441" s="1355" t="s">
        <v>853</v>
      </c>
      <c r="I441" s="711" t="s">
        <v>1002</v>
      </c>
      <c r="J441" s="1296" t="s">
        <v>917</v>
      </c>
    </row>
    <row r="442" spans="1:10" x14ac:dyDescent="0.25">
      <c r="A442" s="1322" t="s">
        <v>945</v>
      </c>
      <c r="B442" s="1323" t="s">
        <v>946</v>
      </c>
      <c r="C442" s="1352" t="s">
        <v>854</v>
      </c>
      <c r="D442" s="1289" t="s">
        <v>1001</v>
      </c>
      <c r="E442" s="1290">
        <v>441</v>
      </c>
      <c r="F442" s="1291" t="s">
        <v>759</v>
      </c>
      <c r="G442" s="1302" t="s">
        <v>548</v>
      </c>
      <c r="H442" s="1355" t="s">
        <v>853</v>
      </c>
      <c r="I442" s="711" t="s">
        <v>1002</v>
      </c>
      <c r="J442" s="1296" t="s">
        <v>548</v>
      </c>
    </row>
    <row r="443" spans="1:10" x14ac:dyDescent="0.25">
      <c r="A443" s="1315" t="s">
        <v>947</v>
      </c>
      <c r="B443" s="1316" t="s">
        <v>852</v>
      </c>
      <c r="C443" s="1352" t="s">
        <v>854</v>
      </c>
      <c r="D443" s="1289" t="s">
        <v>1001</v>
      </c>
      <c r="E443" s="1290">
        <v>442</v>
      </c>
      <c r="F443" s="1291" t="s">
        <v>761</v>
      </c>
      <c r="G443" s="1302" t="s">
        <v>852</v>
      </c>
      <c r="H443" s="1355" t="s">
        <v>853</v>
      </c>
      <c r="I443" s="711" t="s">
        <v>1002</v>
      </c>
      <c r="J443" s="1296" t="s">
        <v>855</v>
      </c>
    </row>
    <row r="444" spans="1:10" x14ac:dyDescent="0.25">
      <c r="A444" s="1319" t="s">
        <v>950</v>
      </c>
      <c r="B444" s="1320" t="s">
        <v>951</v>
      </c>
      <c r="C444" s="1352" t="s">
        <v>854</v>
      </c>
      <c r="D444" s="1289" t="s">
        <v>1001</v>
      </c>
      <c r="E444" s="1290">
        <v>443</v>
      </c>
      <c r="F444" s="1291" t="s">
        <v>763</v>
      </c>
      <c r="G444" s="1321" t="s">
        <v>548</v>
      </c>
      <c r="H444" s="1355" t="s">
        <v>853</v>
      </c>
      <c r="I444" s="711" t="s">
        <v>1002</v>
      </c>
      <c r="J444" s="1296" t="s">
        <v>548</v>
      </c>
    </row>
    <row r="445" spans="1:10" x14ac:dyDescent="0.25">
      <c r="A445" s="1319" t="s">
        <v>952</v>
      </c>
      <c r="B445" s="1318" t="s">
        <v>953</v>
      </c>
      <c r="C445" s="1352" t="s">
        <v>854</v>
      </c>
      <c r="D445" s="1289" t="s">
        <v>1001</v>
      </c>
      <c r="E445" s="1290">
        <v>444</v>
      </c>
      <c r="F445" s="1291" t="s">
        <v>765</v>
      </c>
      <c r="G445" s="1302" t="s">
        <v>864</v>
      </c>
      <c r="H445" s="1355" t="s">
        <v>853</v>
      </c>
      <c r="I445" s="711" t="s">
        <v>1002</v>
      </c>
      <c r="J445" s="1296" t="s">
        <v>872</v>
      </c>
    </row>
    <row r="446" spans="1:10" x14ac:dyDescent="0.25">
      <c r="A446" s="1319" t="s">
        <v>955</v>
      </c>
      <c r="B446" s="1318" t="s">
        <v>852</v>
      </c>
      <c r="C446" s="1352" t="s">
        <v>854</v>
      </c>
      <c r="D446" s="1289" t="s">
        <v>1001</v>
      </c>
      <c r="E446" s="1290">
        <v>445</v>
      </c>
      <c r="F446" s="1303">
        <v>5.3</v>
      </c>
      <c r="G446" s="1295" t="s">
        <v>926</v>
      </c>
      <c r="H446" s="1355" t="s">
        <v>853</v>
      </c>
      <c r="I446" s="711" t="s">
        <v>1002</v>
      </c>
      <c r="J446" s="1296" t="s">
        <v>927</v>
      </c>
    </row>
    <row r="447" spans="1:10" x14ac:dyDescent="0.25">
      <c r="A447" s="1317" t="s">
        <v>956</v>
      </c>
      <c r="B447" s="1318" t="s">
        <v>548</v>
      </c>
      <c r="C447" s="1352" t="s">
        <v>854</v>
      </c>
      <c r="D447" s="1289" t="s">
        <v>1001</v>
      </c>
      <c r="E447" s="1290">
        <v>446</v>
      </c>
      <c r="F447" s="1303">
        <v>5.4</v>
      </c>
      <c r="G447" s="1302" t="s">
        <v>930</v>
      </c>
      <c r="H447" s="1355" t="s">
        <v>853</v>
      </c>
      <c r="I447" s="711" t="s">
        <v>1002</v>
      </c>
      <c r="J447" s="1296" t="s">
        <v>891</v>
      </c>
    </row>
    <row r="448" spans="1:10" x14ac:dyDescent="0.25">
      <c r="A448" s="1319" t="s">
        <v>957</v>
      </c>
      <c r="B448" s="1318" t="s">
        <v>548</v>
      </c>
      <c r="C448" s="1352" t="s">
        <v>854</v>
      </c>
      <c r="D448" s="1289" t="s">
        <v>1001</v>
      </c>
      <c r="E448" s="1290">
        <v>447</v>
      </c>
      <c r="F448" s="1303">
        <v>5.5</v>
      </c>
      <c r="G448" s="1295" t="s">
        <v>868</v>
      </c>
      <c r="H448" s="1355" t="s">
        <v>853</v>
      </c>
      <c r="I448" s="711" t="s">
        <v>1002</v>
      </c>
      <c r="J448" s="1296" t="s">
        <v>883</v>
      </c>
    </row>
    <row r="449" spans="1:10" x14ac:dyDescent="0.25">
      <c r="A449" s="1317" t="s">
        <v>959</v>
      </c>
      <c r="B449" s="1318" t="s">
        <v>868</v>
      </c>
      <c r="C449" s="1352" t="s">
        <v>854</v>
      </c>
      <c r="D449" s="1289" t="s">
        <v>1001</v>
      </c>
      <c r="E449" s="1290">
        <v>448</v>
      </c>
      <c r="F449" s="1303">
        <v>5.6</v>
      </c>
      <c r="G449" s="1295" t="s">
        <v>852</v>
      </c>
      <c r="H449" s="1355" t="s">
        <v>853</v>
      </c>
      <c r="I449" s="711" t="s">
        <v>1002</v>
      </c>
      <c r="J449" s="1296" t="s">
        <v>855</v>
      </c>
    </row>
    <row r="450" spans="1:10" x14ac:dyDescent="0.25">
      <c r="A450" s="1319">
        <v>7.5</v>
      </c>
      <c r="B450" s="1318" t="s">
        <v>852</v>
      </c>
      <c r="C450" s="1352" t="s">
        <v>854</v>
      </c>
      <c r="D450" s="1289" t="s">
        <v>1001</v>
      </c>
      <c r="E450" s="1290">
        <v>449</v>
      </c>
      <c r="F450" s="1291" t="s">
        <v>771</v>
      </c>
      <c r="G450" s="1302" t="s">
        <v>548</v>
      </c>
      <c r="H450" s="1355" t="s">
        <v>853</v>
      </c>
      <c r="I450" s="711" t="s">
        <v>1002</v>
      </c>
      <c r="J450" s="1296" t="s">
        <v>548</v>
      </c>
    </row>
    <row r="451" spans="1:10" x14ac:dyDescent="0.25">
      <c r="A451" s="1319">
        <v>7.6</v>
      </c>
      <c r="B451" s="1318" t="s">
        <v>852</v>
      </c>
      <c r="C451" s="1352" t="s">
        <v>854</v>
      </c>
      <c r="D451" s="1289" t="s">
        <v>1001</v>
      </c>
      <c r="E451" s="1290">
        <v>450</v>
      </c>
      <c r="F451" s="1291" t="s">
        <v>773</v>
      </c>
      <c r="G451" s="1302" t="s">
        <v>861</v>
      </c>
      <c r="H451" s="1355" t="s">
        <v>853</v>
      </c>
      <c r="I451" s="711" t="s">
        <v>1002</v>
      </c>
      <c r="J451" s="1296" t="s">
        <v>881</v>
      </c>
    </row>
    <row r="452" spans="1:10" x14ac:dyDescent="0.25">
      <c r="A452" s="1319">
        <v>7.7</v>
      </c>
      <c r="B452" s="1318" t="s">
        <v>852</v>
      </c>
      <c r="C452" s="1352" t="s">
        <v>854</v>
      </c>
      <c r="D452" s="1289" t="s">
        <v>1001</v>
      </c>
      <c r="E452" s="1290">
        <v>451</v>
      </c>
      <c r="F452" s="1291" t="s">
        <v>775</v>
      </c>
      <c r="G452" s="1302" t="s">
        <v>988</v>
      </c>
      <c r="H452" s="1355" t="s">
        <v>853</v>
      </c>
      <c r="I452" s="711" t="s">
        <v>1002</v>
      </c>
      <c r="J452" s="1340" t="s">
        <v>989</v>
      </c>
    </row>
    <row r="453" spans="1:10" x14ac:dyDescent="0.25">
      <c r="A453" s="1319">
        <v>7.8</v>
      </c>
      <c r="B453" s="1318" t="s">
        <v>852</v>
      </c>
      <c r="C453" s="1352" t="s">
        <v>854</v>
      </c>
      <c r="D453" s="1289" t="s">
        <v>1001</v>
      </c>
      <c r="E453" s="1290">
        <v>452</v>
      </c>
      <c r="F453" s="1171" t="s">
        <v>777</v>
      </c>
      <c r="G453" s="1295" t="s">
        <v>929</v>
      </c>
      <c r="H453" s="1355" t="s">
        <v>853</v>
      </c>
      <c r="I453" s="711" t="s">
        <v>1002</v>
      </c>
      <c r="J453" s="1296" t="s">
        <v>935</v>
      </c>
    </row>
    <row r="454" spans="1:10" x14ac:dyDescent="0.25">
      <c r="A454" s="1325" t="s">
        <v>962</v>
      </c>
      <c r="B454" s="1318" t="s">
        <v>548</v>
      </c>
      <c r="C454" s="1352" t="s">
        <v>854</v>
      </c>
      <c r="D454" s="1289" t="s">
        <v>1001</v>
      </c>
      <c r="E454" s="1290">
        <v>453</v>
      </c>
      <c r="F454" s="1291" t="s">
        <v>779</v>
      </c>
      <c r="G454" s="1302" t="s">
        <v>990</v>
      </c>
      <c r="H454" s="1355" t="s">
        <v>853</v>
      </c>
      <c r="I454" s="711" t="s">
        <v>1002</v>
      </c>
      <c r="J454" s="1324" t="s">
        <v>991</v>
      </c>
    </row>
    <row r="455" spans="1:10" x14ac:dyDescent="0.25">
      <c r="A455" s="1319" t="s">
        <v>963</v>
      </c>
      <c r="B455" s="1318" t="s">
        <v>852</v>
      </c>
      <c r="C455" s="1352" t="s">
        <v>854</v>
      </c>
      <c r="D455" s="1289" t="s">
        <v>1001</v>
      </c>
      <c r="E455" s="1290">
        <v>454</v>
      </c>
      <c r="F455" s="1313">
        <v>5.9</v>
      </c>
      <c r="G455" s="1302" t="s">
        <v>852</v>
      </c>
      <c r="H455" s="1355" t="s">
        <v>853</v>
      </c>
      <c r="I455" s="711" t="s">
        <v>1002</v>
      </c>
      <c r="J455" s="1296" t="s">
        <v>855</v>
      </c>
    </row>
    <row r="456" spans="1:10" x14ac:dyDescent="0.25">
      <c r="A456" s="1319" t="s">
        <v>964</v>
      </c>
      <c r="B456" s="1318" t="s">
        <v>852</v>
      </c>
      <c r="C456" s="1352" t="s">
        <v>854</v>
      </c>
      <c r="D456" s="1289" t="s">
        <v>1001</v>
      </c>
      <c r="E456" s="1290">
        <v>455</v>
      </c>
      <c r="F456" s="1307" t="s">
        <v>782</v>
      </c>
      <c r="G456" s="1302" t="s">
        <v>1003</v>
      </c>
      <c r="H456" s="1355" t="s">
        <v>853</v>
      </c>
      <c r="I456" s="711" t="s">
        <v>1002</v>
      </c>
      <c r="J456" s="1296" t="s">
        <v>993</v>
      </c>
    </row>
    <row r="457" spans="1:10" x14ac:dyDescent="0.25">
      <c r="A457" s="1319" t="s">
        <v>814</v>
      </c>
      <c r="B457" s="1318" t="s">
        <v>852</v>
      </c>
      <c r="C457" s="1352" t="s">
        <v>854</v>
      </c>
      <c r="D457" s="1289" t="s">
        <v>1001</v>
      </c>
      <c r="E457" s="1290">
        <v>456</v>
      </c>
      <c r="F457" s="1303">
        <v>5.1100000000000003</v>
      </c>
      <c r="G457" s="1302" t="s">
        <v>985</v>
      </c>
      <c r="H457" s="1355" t="s">
        <v>853</v>
      </c>
      <c r="I457" s="711" t="s">
        <v>1002</v>
      </c>
      <c r="J457" s="1296" t="s">
        <v>995</v>
      </c>
    </row>
    <row r="458" spans="1:10" x14ac:dyDescent="0.25">
      <c r="A458" s="1319">
        <v>7.11</v>
      </c>
      <c r="B458" s="1318" t="s">
        <v>852</v>
      </c>
      <c r="C458" s="1352" t="s">
        <v>854</v>
      </c>
      <c r="D458" s="1289" t="s">
        <v>1001</v>
      </c>
      <c r="E458" s="1290">
        <v>457</v>
      </c>
      <c r="F458" s="1303">
        <v>5.12</v>
      </c>
      <c r="G458" s="1302" t="s">
        <v>876</v>
      </c>
      <c r="H458" s="1355" t="s">
        <v>853</v>
      </c>
      <c r="I458" s="711" t="s">
        <v>1002</v>
      </c>
      <c r="J458" s="1296">
        <v>10</v>
      </c>
    </row>
    <row r="459" spans="1:10" x14ac:dyDescent="0.25">
      <c r="A459" s="1319">
        <v>7.12</v>
      </c>
      <c r="B459" s="1318" t="s">
        <v>852</v>
      </c>
      <c r="C459" s="1352" t="s">
        <v>854</v>
      </c>
      <c r="D459" s="1289" t="s">
        <v>1001</v>
      </c>
      <c r="E459" s="1290">
        <v>458</v>
      </c>
      <c r="F459" s="1303">
        <v>5.13</v>
      </c>
      <c r="G459" s="1302" t="s">
        <v>1004</v>
      </c>
      <c r="H459" s="1355" t="s">
        <v>853</v>
      </c>
      <c r="I459" s="711" t="s">
        <v>1002</v>
      </c>
      <c r="J459" s="1296" t="s">
        <v>997</v>
      </c>
    </row>
    <row r="460" spans="1:10" x14ac:dyDescent="0.25">
      <c r="A460" s="1319">
        <v>7.13</v>
      </c>
      <c r="B460" s="1318" t="s">
        <v>965</v>
      </c>
      <c r="C460" s="1352" t="s">
        <v>854</v>
      </c>
      <c r="D460" s="1289" t="s">
        <v>1001</v>
      </c>
      <c r="E460" s="1290">
        <v>459</v>
      </c>
      <c r="F460" s="1303">
        <v>6.1</v>
      </c>
      <c r="G460" s="1302" t="s">
        <v>852</v>
      </c>
      <c r="H460" s="1355" t="s">
        <v>853</v>
      </c>
      <c r="I460" s="711" t="s">
        <v>1002</v>
      </c>
      <c r="J460" s="1296" t="s">
        <v>855</v>
      </c>
    </row>
    <row r="461" spans="1:10" x14ac:dyDescent="0.25">
      <c r="A461" s="1319">
        <v>7.14</v>
      </c>
      <c r="B461" s="1318" t="s">
        <v>852</v>
      </c>
      <c r="C461" s="1352" t="s">
        <v>854</v>
      </c>
      <c r="D461" s="1289" t="s">
        <v>1001</v>
      </c>
      <c r="E461" s="1290">
        <v>460</v>
      </c>
      <c r="F461" s="1303">
        <v>6.2</v>
      </c>
      <c r="G461" s="1302" t="s">
        <v>852</v>
      </c>
      <c r="H461" s="1355" t="s">
        <v>853</v>
      </c>
      <c r="I461" s="711" t="s">
        <v>1002</v>
      </c>
      <c r="J461" s="1296" t="s">
        <v>855</v>
      </c>
    </row>
    <row r="462" spans="1:10" x14ac:dyDescent="0.25">
      <c r="A462" s="1319">
        <v>7.15</v>
      </c>
      <c r="B462" s="1318" t="s">
        <v>852</v>
      </c>
      <c r="C462" s="1352" t="s">
        <v>854</v>
      </c>
      <c r="D462" s="1289" t="s">
        <v>1001</v>
      </c>
      <c r="E462" s="1290">
        <v>461</v>
      </c>
      <c r="F462" s="1303">
        <v>6.3</v>
      </c>
      <c r="G462" s="1302" t="s">
        <v>896</v>
      </c>
      <c r="H462" s="1355" t="s">
        <v>853</v>
      </c>
      <c r="I462" s="711" t="s">
        <v>1002</v>
      </c>
      <c r="J462" s="1324" t="s">
        <v>897</v>
      </c>
    </row>
    <row r="463" spans="1:10" x14ac:dyDescent="0.25">
      <c r="A463" s="1319">
        <v>7.16</v>
      </c>
      <c r="B463" s="1318" t="s">
        <v>852</v>
      </c>
      <c r="C463" s="1352" t="s">
        <v>854</v>
      </c>
      <c r="D463" s="1289" t="s">
        <v>1001</v>
      </c>
      <c r="E463" s="1290">
        <v>462</v>
      </c>
      <c r="F463" s="1303">
        <v>6.4</v>
      </c>
      <c r="G463" s="1302" t="s">
        <v>948</v>
      </c>
      <c r="H463" s="1355" t="s">
        <v>853</v>
      </c>
      <c r="I463" s="711" t="s">
        <v>1002</v>
      </c>
      <c r="J463" s="1296" t="s">
        <v>949</v>
      </c>
    </row>
    <row r="464" spans="1:10" x14ac:dyDescent="0.25">
      <c r="A464" s="1322">
        <v>7.17</v>
      </c>
      <c r="B464" s="1323" t="s">
        <v>916</v>
      </c>
      <c r="C464" s="1352" t="s">
        <v>854</v>
      </c>
      <c r="D464" s="1289" t="s">
        <v>1001</v>
      </c>
      <c r="E464" s="1290">
        <v>463</v>
      </c>
      <c r="F464" s="1291" t="s">
        <v>792</v>
      </c>
      <c r="G464" s="1295" t="s">
        <v>861</v>
      </c>
      <c r="H464" s="1355" t="s">
        <v>853</v>
      </c>
      <c r="I464" s="711" t="s">
        <v>1002</v>
      </c>
      <c r="J464" s="1296" t="s">
        <v>881</v>
      </c>
    </row>
    <row r="465" spans="1:10" x14ac:dyDescent="0.25">
      <c r="A465" s="1315" t="s">
        <v>968</v>
      </c>
      <c r="B465" s="1316" t="s">
        <v>852</v>
      </c>
      <c r="C465" s="1352" t="s">
        <v>854</v>
      </c>
      <c r="D465" s="1289" t="s">
        <v>1001</v>
      </c>
      <c r="E465" s="1290">
        <v>464</v>
      </c>
      <c r="F465" s="1291" t="s">
        <v>794</v>
      </c>
      <c r="G465" s="1295" t="s">
        <v>954</v>
      </c>
      <c r="H465" s="1355" t="s">
        <v>853</v>
      </c>
      <c r="I465" s="711" t="s">
        <v>1002</v>
      </c>
      <c r="J465" s="1296" t="s">
        <v>881</v>
      </c>
    </row>
    <row r="466" spans="1:10" x14ac:dyDescent="0.25">
      <c r="A466" s="1319" t="s">
        <v>969</v>
      </c>
      <c r="B466" s="1318" t="s">
        <v>852</v>
      </c>
      <c r="C466" s="1352" t="s">
        <v>854</v>
      </c>
      <c r="D466" s="1289" t="s">
        <v>1001</v>
      </c>
      <c r="E466" s="1290">
        <v>465</v>
      </c>
      <c r="F466" s="1303">
        <v>6.6</v>
      </c>
      <c r="G466" s="1302" t="s">
        <v>859</v>
      </c>
      <c r="H466" s="1355" t="s">
        <v>853</v>
      </c>
      <c r="I466" s="711" t="s">
        <v>1002</v>
      </c>
      <c r="J466" s="1324" t="s">
        <v>860</v>
      </c>
    </row>
    <row r="467" spans="1:10" x14ac:dyDescent="0.25">
      <c r="A467" s="1319" t="s">
        <v>970</v>
      </c>
      <c r="B467" s="1318" t="s">
        <v>852</v>
      </c>
      <c r="C467" s="1352" t="s">
        <v>854</v>
      </c>
      <c r="D467" s="1289" t="s">
        <v>1001</v>
      </c>
      <c r="E467" s="1290">
        <v>466</v>
      </c>
      <c r="F467" s="1303">
        <v>7.1</v>
      </c>
      <c r="G467" s="1302" t="s">
        <v>852</v>
      </c>
      <c r="H467" s="1355" t="s">
        <v>853</v>
      </c>
      <c r="I467" s="711" t="s">
        <v>1002</v>
      </c>
      <c r="J467" s="1296" t="s">
        <v>855</v>
      </c>
    </row>
    <row r="468" spans="1:10" x14ac:dyDescent="0.25">
      <c r="A468" s="1319" t="s">
        <v>971</v>
      </c>
      <c r="B468" s="1318" t="s">
        <v>916</v>
      </c>
      <c r="C468" s="1352" t="s">
        <v>854</v>
      </c>
      <c r="D468" s="1289" t="s">
        <v>1001</v>
      </c>
      <c r="E468" s="1290">
        <v>467</v>
      </c>
      <c r="F468" s="1291" t="s">
        <v>800</v>
      </c>
      <c r="G468" s="1295" t="s">
        <v>958</v>
      </c>
      <c r="H468" s="1355" t="s">
        <v>853</v>
      </c>
      <c r="I468" s="711" t="s">
        <v>1002</v>
      </c>
      <c r="J468" s="1296" t="s">
        <v>891</v>
      </c>
    </row>
    <row r="469" spans="1:10" x14ac:dyDescent="0.25">
      <c r="A469" s="1322" t="s">
        <v>972</v>
      </c>
      <c r="B469" s="1323" t="s">
        <v>861</v>
      </c>
      <c r="C469" s="1352" t="s">
        <v>854</v>
      </c>
      <c r="D469" s="1289" t="s">
        <v>1001</v>
      </c>
      <c r="E469" s="1290">
        <v>468</v>
      </c>
      <c r="F469" s="1291" t="s">
        <v>802</v>
      </c>
      <c r="G469" s="1295" t="s">
        <v>960</v>
      </c>
      <c r="H469" s="1355" t="s">
        <v>853</v>
      </c>
      <c r="I469" s="711" t="s">
        <v>1002</v>
      </c>
      <c r="J469" s="1296" t="s">
        <v>961</v>
      </c>
    </row>
    <row r="470" spans="1:10" x14ac:dyDescent="0.25">
      <c r="A470" s="1098"/>
      <c r="B470" s="1098"/>
      <c r="E470" s="1290">
        <v>469</v>
      </c>
      <c r="F470" s="1291" t="s">
        <v>803</v>
      </c>
      <c r="G470" s="1302" t="s">
        <v>548</v>
      </c>
      <c r="H470" s="1355" t="s">
        <v>853</v>
      </c>
      <c r="I470" s="711" t="s">
        <v>1002</v>
      </c>
      <c r="J470" s="1296" t="s">
        <v>548</v>
      </c>
    </row>
    <row r="471" spans="1:10" x14ac:dyDescent="0.25">
      <c r="A471" s="1098"/>
      <c r="B471" s="1098"/>
      <c r="E471" s="1290">
        <v>470</v>
      </c>
      <c r="F471" s="1291" t="s">
        <v>805</v>
      </c>
      <c r="G471" s="1302" t="s">
        <v>868</v>
      </c>
      <c r="H471" s="1355" t="s">
        <v>853</v>
      </c>
      <c r="I471" s="711" t="s">
        <v>1002</v>
      </c>
      <c r="J471" s="1296" t="s">
        <v>883</v>
      </c>
    </row>
    <row r="472" spans="1:10" x14ac:dyDescent="0.25">
      <c r="E472" s="1290">
        <v>471</v>
      </c>
      <c r="F472" s="1291" t="s">
        <v>806</v>
      </c>
      <c r="G472" s="1302" t="s">
        <v>548</v>
      </c>
      <c r="H472" s="1355" t="s">
        <v>853</v>
      </c>
      <c r="I472" s="711" t="s">
        <v>1002</v>
      </c>
      <c r="J472" s="1296" t="s">
        <v>548</v>
      </c>
    </row>
    <row r="473" spans="1:10" x14ac:dyDescent="0.25">
      <c r="E473" s="1290">
        <v>472</v>
      </c>
      <c r="F473" s="1291" t="s">
        <v>808</v>
      </c>
      <c r="G473" s="1302" t="s">
        <v>868</v>
      </c>
      <c r="H473" s="1355" t="s">
        <v>853</v>
      </c>
      <c r="I473" s="711" t="s">
        <v>1002</v>
      </c>
      <c r="J473" s="1296" t="s">
        <v>883</v>
      </c>
    </row>
    <row r="474" spans="1:10" x14ac:dyDescent="0.25">
      <c r="A474" s="1098"/>
      <c r="B474" s="1098"/>
      <c r="E474" s="1290">
        <v>473</v>
      </c>
      <c r="F474" s="1303">
        <v>7.5</v>
      </c>
      <c r="G474" s="1302" t="s">
        <v>852</v>
      </c>
      <c r="H474" s="1355" t="s">
        <v>853</v>
      </c>
      <c r="I474" s="711" t="s">
        <v>1002</v>
      </c>
      <c r="J474" s="1296" t="s">
        <v>855</v>
      </c>
    </row>
    <row r="475" spans="1:10" x14ac:dyDescent="0.25">
      <c r="A475" s="1098"/>
      <c r="B475" s="1098"/>
      <c r="E475" s="1290">
        <v>474</v>
      </c>
      <c r="F475" s="1303">
        <v>7.6</v>
      </c>
      <c r="G475" s="1302" t="s">
        <v>852</v>
      </c>
      <c r="H475" s="1355" t="s">
        <v>853</v>
      </c>
      <c r="I475" s="711" t="s">
        <v>1002</v>
      </c>
      <c r="J475" s="1296" t="s">
        <v>855</v>
      </c>
    </row>
    <row r="476" spans="1:10" x14ac:dyDescent="0.25">
      <c r="A476" s="1098"/>
      <c r="B476" s="1098"/>
      <c r="E476" s="1290">
        <v>475</v>
      </c>
      <c r="F476" s="1303">
        <v>7.7</v>
      </c>
      <c r="G476" s="1302" t="s">
        <v>852</v>
      </c>
      <c r="H476" s="1355" t="s">
        <v>853</v>
      </c>
      <c r="I476" s="711" t="s">
        <v>1002</v>
      </c>
      <c r="J476" s="1296" t="s">
        <v>855</v>
      </c>
    </row>
    <row r="477" spans="1:10" x14ac:dyDescent="0.25">
      <c r="A477" s="1098"/>
      <c r="B477" s="1098"/>
      <c r="E477" s="1290">
        <v>476</v>
      </c>
      <c r="F477" s="1303">
        <v>7.8</v>
      </c>
      <c r="G477" s="1302" t="s">
        <v>852</v>
      </c>
      <c r="H477" s="1355" t="s">
        <v>853</v>
      </c>
      <c r="I477" s="711" t="s">
        <v>1002</v>
      </c>
      <c r="J477" s="1296" t="s">
        <v>855</v>
      </c>
    </row>
    <row r="478" spans="1:10" x14ac:dyDescent="0.25">
      <c r="A478" s="1098"/>
      <c r="B478" s="1098"/>
      <c r="E478" s="1290">
        <v>477</v>
      </c>
      <c r="F478" s="1303">
        <v>7.9</v>
      </c>
      <c r="G478" s="1302" t="s">
        <v>852</v>
      </c>
      <c r="H478" s="1355" t="s">
        <v>853</v>
      </c>
      <c r="I478" s="711" t="s">
        <v>1002</v>
      </c>
      <c r="J478" s="1296" t="s">
        <v>855</v>
      </c>
    </row>
    <row r="479" spans="1:10" x14ac:dyDescent="0.25">
      <c r="A479" s="1098"/>
      <c r="B479" s="1098"/>
      <c r="C479" s="1098"/>
      <c r="E479" s="1290">
        <v>478</v>
      </c>
      <c r="F479" s="1307" t="s">
        <v>814</v>
      </c>
      <c r="G479" s="1302" t="s">
        <v>998</v>
      </c>
      <c r="H479" s="1355" t="s">
        <v>853</v>
      </c>
      <c r="I479" s="711" t="s">
        <v>1002</v>
      </c>
      <c r="J479" s="1296" t="s">
        <v>891</v>
      </c>
    </row>
    <row r="480" spans="1:10" x14ac:dyDescent="0.25">
      <c r="A480" s="1098"/>
      <c r="B480" s="1098"/>
      <c r="C480" s="1098"/>
      <c r="E480" s="1290">
        <v>479</v>
      </c>
      <c r="F480" s="1303">
        <v>7.11</v>
      </c>
      <c r="G480" s="1302" t="s">
        <v>852</v>
      </c>
      <c r="H480" s="1355" t="s">
        <v>853</v>
      </c>
      <c r="I480" s="711" t="s">
        <v>1002</v>
      </c>
      <c r="J480" s="1296" t="s">
        <v>855</v>
      </c>
    </row>
    <row r="481" spans="1:10" x14ac:dyDescent="0.25">
      <c r="A481" s="1098"/>
      <c r="B481" s="1098"/>
      <c r="C481" s="1098"/>
      <c r="E481" s="1290">
        <v>480</v>
      </c>
      <c r="F481" s="1303">
        <v>7.12</v>
      </c>
      <c r="G481" s="1302" t="s">
        <v>852</v>
      </c>
      <c r="H481" s="1355" t="s">
        <v>853</v>
      </c>
      <c r="I481" s="711" t="s">
        <v>1002</v>
      </c>
      <c r="J481" s="1296" t="s">
        <v>855</v>
      </c>
    </row>
    <row r="482" spans="1:10" x14ac:dyDescent="0.25">
      <c r="A482" s="1098"/>
      <c r="B482" s="1098"/>
      <c r="E482" s="1290">
        <v>481</v>
      </c>
      <c r="F482" s="1291" t="s">
        <v>818</v>
      </c>
      <c r="G482" s="1302" t="s">
        <v>548</v>
      </c>
      <c r="H482" s="1355" t="s">
        <v>853</v>
      </c>
      <c r="I482" s="711" t="s">
        <v>1002</v>
      </c>
      <c r="J482" s="1296" t="s">
        <v>548</v>
      </c>
    </row>
    <row r="483" spans="1:10" x14ac:dyDescent="0.25">
      <c r="A483" s="1098"/>
      <c r="B483" s="1098"/>
      <c r="E483" s="1290">
        <v>482</v>
      </c>
      <c r="F483" s="1291" t="s">
        <v>820</v>
      </c>
      <c r="G483" s="1302" t="s">
        <v>999</v>
      </c>
      <c r="H483" s="1355" t="s">
        <v>853</v>
      </c>
      <c r="I483" s="711" t="s">
        <v>1002</v>
      </c>
      <c r="J483" s="1296" t="s">
        <v>548</v>
      </c>
    </row>
    <row r="484" spans="1:10" x14ac:dyDescent="0.25">
      <c r="A484" s="1098"/>
      <c r="B484" s="1098"/>
      <c r="C484" s="1098"/>
      <c r="E484" s="1290">
        <v>483</v>
      </c>
      <c r="F484" s="1303">
        <v>7.14</v>
      </c>
      <c r="G484" s="1302" t="s">
        <v>852</v>
      </c>
      <c r="H484" s="1355" t="s">
        <v>853</v>
      </c>
      <c r="I484" s="711" t="s">
        <v>1002</v>
      </c>
      <c r="J484" s="1296" t="s">
        <v>855</v>
      </c>
    </row>
    <row r="485" spans="1:10" x14ac:dyDescent="0.25">
      <c r="A485" s="1098"/>
      <c r="B485" s="1098"/>
      <c r="C485" s="1098"/>
      <c r="E485" s="1290">
        <v>484</v>
      </c>
      <c r="F485" s="1303">
        <v>7.15</v>
      </c>
      <c r="G485" s="1302" t="s">
        <v>852</v>
      </c>
      <c r="H485" s="1355" t="s">
        <v>853</v>
      </c>
      <c r="I485" s="711" t="s">
        <v>1002</v>
      </c>
      <c r="J485" s="1296" t="s">
        <v>855</v>
      </c>
    </row>
    <row r="486" spans="1:10" x14ac:dyDescent="0.25">
      <c r="A486" s="1098"/>
      <c r="B486" s="1098"/>
      <c r="E486" s="1290">
        <v>485</v>
      </c>
      <c r="F486" s="1303">
        <v>7.16</v>
      </c>
      <c r="G486" s="1302" t="s">
        <v>852</v>
      </c>
      <c r="H486" s="1355" t="s">
        <v>853</v>
      </c>
      <c r="I486" s="711" t="s">
        <v>1002</v>
      </c>
      <c r="J486" s="1296" t="s">
        <v>855</v>
      </c>
    </row>
    <row r="487" spans="1:10" x14ac:dyDescent="0.25">
      <c r="A487" s="1098"/>
      <c r="B487" s="1098"/>
      <c r="E487" s="1290">
        <v>486</v>
      </c>
      <c r="F487" s="1303">
        <v>7.17</v>
      </c>
      <c r="G487" s="1302" t="s">
        <v>852</v>
      </c>
      <c r="H487" s="1355" t="s">
        <v>853</v>
      </c>
      <c r="I487" s="711" t="s">
        <v>1002</v>
      </c>
      <c r="J487" s="1296" t="s">
        <v>855</v>
      </c>
    </row>
    <row r="488" spans="1:10" x14ac:dyDescent="0.25">
      <c r="E488" s="1290">
        <v>487</v>
      </c>
      <c r="F488" s="1291" t="s">
        <v>827</v>
      </c>
      <c r="G488" s="1302" t="s">
        <v>852</v>
      </c>
      <c r="H488" s="1355" t="s">
        <v>853</v>
      </c>
      <c r="I488" s="711" t="s">
        <v>1002</v>
      </c>
      <c r="J488" s="1296" t="s">
        <v>855</v>
      </c>
    </row>
    <row r="489" spans="1:10" x14ac:dyDescent="0.25">
      <c r="E489" s="1290">
        <v>488</v>
      </c>
      <c r="F489" s="1291" t="s">
        <v>829</v>
      </c>
      <c r="G489" s="1295" t="s">
        <v>916</v>
      </c>
      <c r="H489" s="1355" t="s">
        <v>853</v>
      </c>
      <c r="I489" s="711" t="s">
        <v>1002</v>
      </c>
      <c r="J489" s="1296" t="s">
        <v>917</v>
      </c>
    </row>
    <row r="490" spans="1:10" x14ac:dyDescent="0.25">
      <c r="A490" s="1098"/>
      <c r="B490" s="1098"/>
      <c r="E490" s="1290">
        <v>489</v>
      </c>
      <c r="F490" s="1303">
        <v>8.1999999999999993</v>
      </c>
      <c r="G490" s="1302" t="s">
        <v>974</v>
      </c>
      <c r="H490" s="1355" t="s">
        <v>853</v>
      </c>
      <c r="I490" s="711" t="s">
        <v>1002</v>
      </c>
      <c r="J490" s="1296" t="s">
        <v>975</v>
      </c>
    </row>
    <row r="491" spans="1:10" x14ac:dyDescent="0.25">
      <c r="A491" s="1098"/>
      <c r="B491" s="1098"/>
      <c r="E491" s="1290">
        <v>490</v>
      </c>
      <c r="F491" s="1303">
        <v>8.3000000000000007</v>
      </c>
      <c r="G491" s="1302" t="s">
        <v>852</v>
      </c>
      <c r="H491" s="1355" t="s">
        <v>853</v>
      </c>
      <c r="I491" s="711" t="s">
        <v>1002</v>
      </c>
      <c r="J491" s="1296" t="s">
        <v>855</v>
      </c>
    </row>
    <row r="492" spans="1:10" x14ac:dyDescent="0.25">
      <c r="A492" s="1098"/>
      <c r="B492" s="1098"/>
      <c r="E492" s="1290">
        <v>491</v>
      </c>
      <c r="F492" s="1303">
        <v>8.4</v>
      </c>
      <c r="G492" s="1302" t="s">
        <v>976</v>
      </c>
      <c r="H492" s="1355" t="s">
        <v>853</v>
      </c>
      <c r="I492" s="711" t="s">
        <v>1002</v>
      </c>
      <c r="J492" s="1296" t="s">
        <v>977</v>
      </c>
    </row>
    <row r="493" spans="1:10" x14ac:dyDescent="0.25">
      <c r="A493" s="1098"/>
      <c r="B493" s="1098"/>
      <c r="E493" s="1290">
        <v>492</v>
      </c>
      <c r="F493" s="1303">
        <v>8.5</v>
      </c>
      <c r="G493" s="1302" t="s">
        <v>852</v>
      </c>
      <c r="H493" s="1355" t="s">
        <v>853</v>
      </c>
      <c r="I493" s="711" t="s">
        <v>1002</v>
      </c>
      <c r="J493" s="1296" t="s">
        <v>855</v>
      </c>
    </row>
  </sheetData>
  <sheetProtection password="D666" sheet="1" objects="1" scenarios="1"/>
  <autoFilter ref="A1:J493"/>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ColWidth="8.85546875" defaultRowHeight="15" x14ac:dyDescent="0.25"/>
  <cols>
    <col min="1" max="1" width="7.85546875" style="711" bestFit="1" customWidth="1"/>
    <col min="2" max="2" width="17" style="711" bestFit="1" customWidth="1"/>
    <col min="3" max="3" width="8.85546875" style="711"/>
    <col min="4" max="4" width="12.42578125" style="711" bestFit="1" customWidth="1"/>
    <col min="5" max="5" width="24.85546875" style="711" bestFit="1" customWidth="1"/>
    <col min="6" max="6" width="23.85546875" style="711" bestFit="1" customWidth="1"/>
    <col min="7" max="7" width="24.85546875" style="711" bestFit="1" customWidth="1"/>
    <col min="8" max="8" width="24" style="711" bestFit="1" customWidth="1"/>
    <col min="9" max="9" width="23" style="711" bestFit="1" customWidth="1"/>
    <col min="10" max="10" width="24" style="711" bestFit="1" customWidth="1"/>
    <col min="11" max="11" width="26.28515625" style="711" bestFit="1" customWidth="1"/>
    <col min="12" max="12" width="25.140625" style="711" bestFit="1" customWidth="1"/>
    <col min="13" max="13" width="26.28515625" style="711" bestFit="1" customWidth="1"/>
    <col min="14" max="14" width="25.28515625" style="711" bestFit="1" customWidth="1"/>
    <col min="15" max="15" width="24.28515625" style="711" bestFit="1" customWidth="1"/>
    <col min="16" max="16" width="25.28515625" style="711" bestFit="1" customWidth="1"/>
    <col min="17" max="17" width="26.140625" style="711" bestFit="1" customWidth="1"/>
    <col min="18" max="18" width="25" style="711" bestFit="1" customWidth="1"/>
    <col min="19" max="19" width="26.140625" style="711" bestFit="1" customWidth="1"/>
    <col min="20" max="20" width="25.140625" style="711" bestFit="1" customWidth="1"/>
    <col min="21" max="21" width="24.140625" style="711" bestFit="1" customWidth="1"/>
    <col min="22" max="22" width="25.140625" style="711" bestFit="1" customWidth="1"/>
    <col min="23" max="23" width="24.85546875" style="711" bestFit="1" customWidth="1"/>
    <col min="24" max="24" width="23.85546875" style="711" bestFit="1" customWidth="1"/>
    <col min="25" max="25" width="24.85546875" style="711" bestFit="1" customWidth="1"/>
    <col min="26" max="26" width="24" style="711" bestFit="1" customWidth="1"/>
    <col min="27" max="27" width="23" style="711" bestFit="1" customWidth="1"/>
    <col min="28" max="28" width="24" style="711" bestFit="1" customWidth="1"/>
    <col min="29" max="29" width="26.28515625" style="711" bestFit="1" customWidth="1"/>
    <col min="30" max="30" width="25.140625" style="711" bestFit="1" customWidth="1"/>
    <col min="31" max="31" width="26.28515625" style="711" bestFit="1" customWidth="1"/>
    <col min="32" max="32" width="25.28515625" style="711" bestFit="1" customWidth="1"/>
    <col min="33" max="33" width="24.28515625" style="711" bestFit="1" customWidth="1"/>
    <col min="34" max="34" width="25.28515625" style="711" bestFit="1" customWidth="1"/>
    <col min="35" max="35" width="26.140625" style="711" bestFit="1" customWidth="1"/>
    <col min="36" max="36" width="25" style="711" bestFit="1" customWidth="1"/>
    <col min="37" max="37" width="26.140625" style="711" bestFit="1" customWidth="1"/>
    <col min="38" max="38" width="25.140625" style="711" bestFit="1" customWidth="1"/>
    <col min="39" max="39" width="24.140625" style="711" bestFit="1" customWidth="1"/>
    <col min="40" max="40" width="25.140625" style="711" bestFit="1" customWidth="1"/>
    <col min="41" max="41" width="26.28515625" style="711" bestFit="1" customWidth="1"/>
    <col min="42" max="42" width="25.140625" style="711" bestFit="1" customWidth="1"/>
    <col min="43" max="43" width="26.28515625" style="711" bestFit="1" customWidth="1"/>
    <col min="44" max="44" width="25.28515625" style="711" bestFit="1" customWidth="1"/>
    <col min="45" max="45" width="24.28515625" style="711" bestFit="1" customWidth="1"/>
    <col min="46" max="46" width="25.28515625" style="711" bestFit="1" customWidth="1"/>
    <col min="47" max="47" width="26.140625" style="711" bestFit="1" customWidth="1"/>
    <col min="48" max="48" width="25" style="711" bestFit="1" customWidth="1"/>
    <col min="49" max="49" width="26.140625" style="711" bestFit="1" customWidth="1"/>
    <col min="50" max="50" width="25.140625" style="711" bestFit="1" customWidth="1"/>
    <col min="51" max="51" width="24.140625" style="711" bestFit="1" customWidth="1"/>
    <col min="52" max="52" width="25.140625" style="711" bestFit="1" customWidth="1"/>
    <col min="53" max="53" width="26.28515625" style="711" bestFit="1" customWidth="1"/>
    <col min="54" max="54" width="25.140625" style="711" bestFit="1" customWidth="1"/>
    <col min="55" max="55" width="26.28515625" style="711" bestFit="1" customWidth="1"/>
    <col min="56" max="56" width="25.28515625" style="711" bestFit="1" customWidth="1"/>
    <col min="57" max="57" width="24.28515625" style="711" bestFit="1" customWidth="1"/>
    <col min="58" max="58" width="25.28515625" style="711" bestFit="1" customWidth="1"/>
    <col min="59" max="59" width="26.140625" style="711" bestFit="1" customWidth="1"/>
    <col min="60" max="60" width="25" style="711" bestFit="1" customWidth="1"/>
    <col min="61" max="61" width="26.140625" style="711" bestFit="1" customWidth="1"/>
    <col min="62" max="62" width="25.140625" style="711" bestFit="1" customWidth="1"/>
    <col min="63" max="63" width="24.140625" style="711" bestFit="1" customWidth="1"/>
    <col min="64" max="64" width="25.140625" style="711" bestFit="1" customWidth="1"/>
    <col min="65" max="65" width="26.28515625" style="711" bestFit="1" customWidth="1"/>
    <col min="66" max="66" width="25.140625" style="711" bestFit="1" customWidth="1"/>
    <col min="67" max="67" width="26.28515625" style="711" bestFit="1" customWidth="1"/>
    <col min="68" max="68" width="25.28515625" style="711" bestFit="1" customWidth="1"/>
    <col min="69" max="69" width="24.28515625" style="711" bestFit="1" customWidth="1"/>
    <col min="70" max="70" width="25.28515625" style="711" bestFit="1" customWidth="1"/>
    <col min="71" max="71" width="26.140625" style="711" bestFit="1" customWidth="1"/>
    <col min="72" max="72" width="25" style="711" bestFit="1" customWidth="1"/>
    <col min="73" max="73" width="26.140625" style="711" bestFit="1" customWidth="1"/>
    <col min="74" max="74" width="25.140625" style="711" bestFit="1" customWidth="1"/>
    <col min="75" max="75" width="24.140625" style="711" bestFit="1" customWidth="1"/>
    <col min="76" max="76" width="25.140625" style="711" bestFit="1" customWidth="1"/>
    <col min="77" max="77" width="26" style="711" bestFit="1" customWidth="1"/>
    <col min="78" max="78" width="24.85546875" style="711" bestFit="1" customWidth="1"/>
    <col min="79" max="79" width="26" style="711" bestFit="1" customWidth="1"/>
    <col min="80" max="80" width="25" style="711" bestFit="1" customWidth="1"/>
    <col min="81" max="81" width="24" style="711" bestFit="1" customWidth="1"/>
    <col min="82" max="82" width="25" style="711" bestFit="1" customWidth="1"/>
    <col min="83" max="83" width="26" style="711" bestFit="1" customWidth="1"/>
    <col min="84" max="84" width="24.85546875" style="711" bestFit="1" customWidth="1"/>
    <col min="85" max="85" width="26" style="711" bestFit="1" customWidth="1"/>
    <col min="86" max="86" width="25" style="711" bestFit="1" customWidth="1"/>
    <col min="87" max="87" width="24" style="711" bestFit="1" customWidth="1"/>
    <col min="88" max="88" width="25" style="711" bestFit="1" customWidth="1"/>
    <col min="89" max="89" width="26" style="711" bestFit="1" customWidth="1"/>
    <col min="90" max="90" width="24.85546875" style="711" bestFit="1" customWidth="1"/>
    <col min="91" max="91" width="26" style="711" bestFit="1" customWidth="1"/>
    <col min="92" max="92" width="25" style="711" bestFit="1" customWidth="1"/>
    <col min="93" max="93" width="24" style="711" bestFit="1" customWidth="1"/>
    <col min="94" max="94" width="25" style="711" bestFit="1" customWidth="1"/>
    <col min="95" max="95" width="26" style="711" bestFit="1" customWidth="1"/>
    <col min="96" max="96" width="24.85546875" style="711" bestFit="1" customWidth="1"/>
    <col min="97" max="97" width="26" style="711" bestFit="1" customWidth="1"/>
    <col min="98" max="98" width="25" style="711" bestFit="1" customWidth="1"/>
    <col min="99" max="99" width="24" style="711" bestFit="1" customWidth="1"/>
    <col min="100" max="100" width="25" style="711" bestFit="1" customWidth="1"/>
    <col min="101" max="101" width="26.28515625" style="711" bestFit="1" customWidth="1"/>
    <col min="102" max="102" width="25.140625" style="711" bestFit="1" customWidth="1"/>
    <col min="103" max="103" width="26.28515625" style="711" bestFit="1" customWidth="1"/>
    <col min="104" max="104" width="25.28515625" style="711" bestFit="1" customWidth="1"/>
    <col min="105" max="105" width="24.28515625" style="711" bestFit="1" customWidth="1"/>
    <col min="106" max="106" width="25.28515625" style="711" bestFit="1" customWidth="1"/>
    <col min="107" max="107" width="26.140625" style="711" bestFit="1" customWidth="1"/>
    <col min="108" max="108" width="25" style="711" bestFit="1" customWidth="1"/>
    <col min="109" max="109" width="26.140625" style="711" bestFit="1" customWidth="1"/>
    <col min="110" max="110" width="25.140625" style="711" bestFit="1" customWidth="1"/>
    <col min="111" max="111" width="24.140625" style="711" bestFit="1" customWidth="1"/>
    <col min="112" max="112" width="25.140625" style="711" bestFit="1" customWidth="1"/>
    <col min="113" max="113" width="26.28515625" style="711" bestFit="1" customWidth="1"/>
    <col min="114" max="114" width="25.140625" style="711" bestFit="1" customWidth="1"/>
    <col min="115" max="115" width="26.28515625" style="711" bestFit="1" customWidth="1"/>
    <col min="116" max="116" width="25.28515625" style="711" bestFit="1" customWidth="1"/>
    <col min="117" max="117" width="24.28515625" style="711" bestFit="1" customWidth="1"/>
    <col min="118" max="118" width="25.28515625" style="711" bestFit="1" customWidth="1"/>
    <col min="119" max="119" width="26.140625" style="711" bestFit="1" customWidth="1"/>
    <col min="120" max="120" width="25" style="711" bestFit="1" customWidth="1"/>
    <col min="121" max="121" width="26.140625" style="711" bestFit="1" customWidth="1"/>
    <col min="122" max="122" width="25.140625" style="711" bestFit="1" customWidth="1"/>
    <col min="123" max="123" width="24.140625" style="711" bestFit="1" customWidth="1"/>
    <col min="124" max="124" width="25.140625" style="711" bestFit="1" customWidth="1"/>
    <col min="125" max="125" width="27.28515625" style="711" bestFit="1" customWidth="1"/>
    <col min="126" max="126" width="26.28515625" style="711" bestFit="1" customWidth="1"/>
    <col min="127" max="127" width="27.28515625" style="711" bestFit="1" customWidth="1"/>
    <col min="128" max="128" width="26.42578125" style="711" bestFit="1" customWidth="1"/>
    <col min="129" max="129" width="25.28515625" style="711" bestFit="1" customWidth="1"/>
    <col min="130" max="130" width="26.42578125" style="711" bestFit="1" customWidth="1"/>
    <col min="131" max="131" width="27.140625" style="711" bestFit="1" customWidth="1"/>
    <col min="132" max="132" width="26.140625" style="711" bestFit="1" customWidth="1"/>
    <col min="133" max="133" width="27.140625" style="711" bestFit="1" customWidth="1"/>
    <col min="134" max="134" width="26.28515625" style="711" bestFit="1" customWidth="1"/>
    <col min="135" max="135" width="25.140625" style="711" bestFit="1" customWidth="1"/>
    <col min="136" max="136" width="26.28515625" style="711" bestFit="1" customWidth="1"/>
    <col min="137" max="16384" width="8.85546875" style="711"/>
  </cols>
  <sheetData>
    <row r="1" spans="1:138" x14ac:dyDescent="0.25">
      <c r="A1" s="1356" t="s">
        <v>847</v>
      </c>
      <c r="B1" s="1356" t="s">
        <v>848</v>
      </c>
      <c r="E1" s="1356" t="s">
        <v>1008</v>
      </c>
      <c r="F1" s="1356" t="s">
        <v>1009</v>
      </c>
      <c r="G1" s="1356" t="s">
        <v>1010</v>
      </c>
      <c r="H1" s="1356" t="s">
        <v>1011</v>
      </c>
      <c r="I1" s="1356" t="s">
        <v>1012</v>
      </c>
      <c r="J1" s="1356" t="s">
        <v>1013</v>
      </c>
      <c r="K1" s="1356" t="s">
        <v>1014</v>
      </c>
      <c r="L1" s="1356" t="s">
        <v>1015</v>
      </c>
      <c r="M1" s="1356" t="s">
        <v>1016</v>
      </c>
      <c r="N1" s="1356" t="s">
        <v>1017</v>
      </c>
      <c r="O1" s="1356" t="s">
        <v>1018</v>
      </c>
      <c r="P1" s="1356" t="s">
        <v>1019</v>
      </c>
      <c r="Q1" s="1356" t="s">
        <v>1020</v>
      </c>
      <c r="R1" s="1356" t="s">
        <v>1021</v>
      </c>
      <c r="S1" s="1356" t="s">
        <v>1022</v>
      </c>
      <c r="T1" s="1356" t="s">
        <v>1023</v>
      </c>
      <c r="U1" s="1356" t="s">
        <v>1024</v>
      </c>
      <c r="V1" s="1356" t="s">
        <v>1025</v>
      </c>
      <c r="W1" s="1356" t="s">
        <v>1026</v>
      </c>
      <c r="X1" s="1356" t="s">
        <v>1027</v>
      </c>
      <c r="Y1" s="1356" t="s">
        <v>1028</v>
      </c>
      <c r="Z1" s="1356" t="s">
        <v>1029</v>
      </c>
      <c r="AA1" s="1356" t="s">
        <v>1030</v>
      </c>
      <c r="AB1" s="1356" t="s">
        <v>1031</v>
      </c>
      <c r="AC1" s="1356" t="s">
        <v>1032</v>
      </c>
      <c r="AD1" s="1356" t="s">
        <v>1033</v>
      </c>
      <c r="AE1" s="1356" t="s">
        <v>1034</v>
      </c>
      <c r="AF1" s="1356" t="s">
        <v>1035</v>
      </c>
      <c r="AG1" s="1356" t="s">
        <v>1036</v>
      </c>
      <c r="AH1" s="1356" t="s">
        <v>1037</v>
      </c>
      <c r="AI1" s="1356" t="s">
        <v>1038</v>
      </c>
      <c r="AJ1" s="1356" t="s">
        <v>1039</v>
      </c>
      <c r="AK1" s="1356" t="s">
        <v>1040</v>
      </c>
      <c r="AL1" s="1356" t="s">
        <v>1041</v>
      </c>
      <c r="AM1" s="1356" t="s">
        <v>1042</v>
      </c>
      <c r="AN1" s="1356" t="s">
        <v>1043</v>
      </c>
      <c r="AO1" s="1356" t="s">
        <v>1044</v>
      </c>
      <c r="AP1" s="1356" t="s">
        <v>1045</v>
      </c>
      <c r="AQ1" s="1356" t="s">
        <v>1046</v>
      </c>
      <c r="AR1" s="1356" t="s">
        <v>1047</v>
      </c>
      <c r="AS1" s="1356" t="s">
        <v>1048</v>
      </c>
      <c r="AT1" s="1356" t="s">
        <v>1049</v>
      </c>
      <c r="AU1" s="1356" t="s">
        <v>1050</v>
      </c>
      <c r="AV1" s="1356" t="s">
        <v>1051</v>
      </c>
      <c r="AW1" s="1356" t="s">
        <v>1052</v>
      </c>
      <c r="AX1" s="1356" t="s">
        <v>1053</v>
      </c>
      <c r="AY1" s="1356" t="s">
        <v>1054</v>
      </c>
      <c r="AZ1" s="1356" t="s">
        <v>1055</v>
      </c>
      <c r="BA1" s="1356" t="s">
        <v>1056</v>
      </c>
      <c r="BB1" s="1356" t="s">
        <v>1057</v>
      </c>
      <c r="BC1" s="1356" t="s">
        <v>1058</v>
      </c>
      <c r="BD1" s="1356" t="s">
        <v>1059</v>
      </c>
      <c r="BE1" s="1356" t="s">
        <v>1060</v>
      </c>
      <c r="BF1" s="1356" t="s">
        <v>1061</v>
      </c>
      <c r="BG1" s="1356" t="s">
        <v>1062</v>
      </c>
      <c r="BH1" s="1356" t="s">
        <v>1063</v>
      </c>
      <c r="BI1" s="1356" t="s">
        <v>1064</v>
      </c>
      <c r="BJ1" s="1356" t="s">
        <v>1065</v>
      </c>
      <c r="BK1" s="1356" t="s">
        <v>1066</v>
      </c>
      <c r="BL1" s="1356" t="s">
        <v>1067</v>
      </c>
      <c r="BM1" s="1356" t="s">
        <v>1068</v>
      </c>
      <c r="BN1" s="1356" t="s">
        <v>1069</v>
      </c>
      <c r="BO1" s="1356" t="s">
        <v>1070</v>
      </c>
      <c r="BP1" s="1356" t="s">
        <v>1071</v>
      </c>
      <c r="BQ1" s="1356" t="s">
        <v>1072</v>
      </c>
      <c r="BR1" s="1356" t="s">
        <v>1073</v>
      </c>
      <c r="BS1" s="1356" t="s">
        <v>1074</v>
      </c>
      <c r="BT1" s="1356" t="s">
        <v>1075</v>
      </c>
      <c r="BU1" s="1356" t="s">
        <v>1076</v>
      </c>
      <c r="BV1" s="1356" t="s">
        <v>1077</v>
      </c>
      <c r="BW1" s="1356" t="s">
        <v>1078</v>
      </c>
      <c r="BX1" s="1356" t="s">
        <v>1079</v>
      </c>
      <c r="BY1" s="1356" t="s">
        <v>1080</v>
      </c>
      <c r="BZ1" s="1356" t="s">
        <v>1081</v>
      </c>
      <c r="CA1" s="1356" t="s">
        <v>1082</v>
      </c>
      <c r="CB1" s="1356" t="s">
        <v>1083</v>
      </c>
      <c r="CC1" s="1356" t="s">
        <v>1084</v>
      </c>
      <c r="CD1" s="1356" t="s">
        <v>1085</v>
      </c>
      <c r="CE1" s="1356" t="s">
        <v>1086</v>
      </c>
      <c r="CF1" s="1356" t="s">
        <v>1087</v>
      </c>
      <c r="CG1" s="1356" t="s">
        <v>1088</v>
      </c>
      <c r="CH1" s="1356" t="s">
        <v>1089</v>
      </c>
      <c r="CI1" s="1356" t="s">
        <v>1090</v>
      </c>
      <c r="CJ1" s="1356" t="s">
        <v>1091</v>
      </c>
      <c r="CK1" s="1356" t="s">
        <v>1092</v>
      </c>
      <c r="CL1" s="1356" t="s">
        <v>1093</v>
      </c>
      <c r="CM1" s="1356" t="s">
        <v>1094</v>
      </c>
      <c r="CN1" s="1356" t="s">
        <v>1095</v>
      </c>
      <c r="CO1" s="1356" t="s">
        <v>1096</v>
      </c>
      <c r="CP1" s="1356" t="s">
        <v>1097</v>
      </c>
      <c r="CQ1" s="1356" t="s">
        <v>1098</v>
      </c>
      <c r="CR1" s="1356" t="s">
        <v>1099</v>
      </c>
      <c r="CS1" s="1356" t="s">
        <v>1100</v>
      </c>
      <c r="CT1" s="1356" t="s">
        <v>1101</v>
      </c>
      <c r="CU1" s="1356" t="s">
        <v>1102</v>
      </c>
      <c r="CV1" s="1356" t="s">
        <v>1103</v>
      </c>
      <c r="CW1" s="1356" t="s">
        <v>1104</v>
      </c>
      <c r="CX1" s="1356" t="s">
        <v>1105</v>
      </c>
      <c r="CY1" s="1356" t="s">
        <v>1106</v>
      </c>
      <c r="CZ1" s="1356" t="s">
        <v>1107</v>
      </c>
      <c r="DA1" s="1356" t="s">
        <v>1108</v>
      </c>
      <c r="DB1" s="1356" t="s">
        <v>1109</v>
      </c>
      <c r="DC1" s="1356" t="s">
        <v>1110</v>
      </c>
      <c r="DD1" s="1356" t="s">
        <v>1111</v>
      </c>
      <c r="DE1" s="1356" t="s">
        <v>1112</v>
      </c>
      <c r="DF1" s="1356" t="s">
        <v>1113</v>
      </c>
      <c r="DG1" s="1356" t="s">
        <v>1114</v>
      </c>
      <c r="DH1" s="1356" t="s">
        <v>1115</v>
      </c>
      <c r="DI1" s="1356" t="s">
        <v>1116</v>
      </c>
      <c r="DJ1" s="1356" t="s">
        <v>1117</v>
      </c>
      <c r="DK1" s="1356" t="s">
        <v>1118</v>
      </c>
      <c r="DL1" s="1356" t="s">
        <v>1119</v>
      </c>
      <c r="DM1" s="1356" t="s">
        <v>1120</v>
      </c>
      <c r="DN1" s="1356" t="s">
        <v>1121</v>
      </c>
      <c r="DO1" s="1356" t="s">
        <v>1122</v>
      </c>
      <c r="DP1" s="1356" t="s">
        <v>1123</v>
      </c>
      <c r="DQ1" s="1356" t="s">
        <v>1124</v>
      </c>
      <c r="DR1" s="1356" t="s">
        <v>1125</v>
      </c>
      <c r="DS1" s="1356" t="s">
        <v>1126</v>
      </c>
      <c r="DT1" s="1356" t="s">
        <v>1127</v>
      </c>
      <c r="DU1" s="1356" t="s">
        <v>1128</v>
      </c>
      <c r="DV1" s="1356" t="s">
        <v>1129</v>
      </c>
      <c r="DW1" s="1356" t="s">
        <v>1130</v>
      </c>
      <c r="DX1" s="1356" t="s">
        <v>1131</v>
      </c>
      <c r="DY1" s="1356" t="s">
        <v>1132</v>
      </c>
      <c r="DZ1" s="1356" t="s">
        <v>1133</v>
      </c>
      <c r="EA1" s="1356" t="s">
        <v>1134</v>
      </c>
      <c r="EB1" s="1356" t="s">
        <v>1135</v>
      </c>
      <c r="EC1" s="1356" t="s">
        <v>1136</v>
      </c>
      <c r="ED1" s="1356" t="s">
        <v>1137</v>
      </c>
      <c r="EE1" s="1356" t="s">
        <v>1138</v>
      </c>
      <c r="EF1" s="1356" t="s">
        <v>1139</v>
      </c>
    </row>
    <row r="2" spans="1:138" s="1358" customFormat="1" x14ac:dyDescent="0.25">
      <c r="A2" s="1357" t="s">
        <v>541</v>
      </c>
      <c r="B2" s="1357" t="s">
        <v>541</v>
      </c>
      <c r="E2" s="711" t="s">
        <v>548</v>
      </c>
      <c r="F2" s="1358" t="s">
        <v>548</v>
      </c>
      <c r="G2" s="1358" t="s">
        <v>548</v>
      </c>
      <c r="H2" s="711">
        <v>0</v>
      </c>
      <c r="I2" s="1358" t="s">
        <v>548</v>
      </c>
      <c r="J2" s="1358" t="s">
        <v>548</v>
      </c>
      <c r="K2" s="711" t="s">
        <v>548</v>
      </c>
      <c r="L2" s="711" t="s">
        <v>548</v>
      </c>
      <c r="M2" s="711" t="s">
        <v>548</v>
      </c>
      <c r="N2" s="1358" t="s">
        <v>548</v>
      </c>
      <c r="O2" s="1358" t="s">
        <v>548</v>
      </c>
      <c r="P2" s="1358" t="s">
        <v>548</v>
      </c>
      <c r="Q2" s="1358" t="s">
        <v>548</v>
      </c>
      <c r="R2" s="1358" t="s">
        <v>548</v>
      </c>
      <c r="S2" s="1358" t="s">
        <v>548</v>
      </c>
      <c r="T2" s="711">
        <v>0</v>
      </c>
      <c r="U2" s="711">
        <v>0</v>
      </c>
      <c r="V2" s="711">
        <v>0</v>
      </c>
      <c r="W2" s="711">
        <v>0</v>
      </c>
      <c r="X2" s="711">
        <v>0</v>
      </c>
      <c r="Y2" s="711">
        <v>0</v>
      </c>
      <c r="Z2" s="711">
        <v>0</v>
      </c>
      <c r="AA2" s="711">
        <v>0</v>
      </c>
      <c r="AB2" s="711">
        <v>0</v>
      </c>
      <c r="AC2" s="711" t="s">
        <v>548</v>
      </c>
      <c r="AD2" s="711" t="s">
        <v>548</v>
      </c>
      <c r="AE2" s="711" t="s">
        <v>548</v>
      </c>
      <c r="AF2" s="711" t="s">
        <v>548</v>
      </c>
      <c r="AG2" s="711" t="s">
        <v>548</v>
      </c>
      <c r="AH2" s="711" t="s">
        <v>548</v>
      </c>
      <c r="AI2" s="711" t="s">
        <v>548</v>
      </c>
      <c r="AJ2" s="711" t="s">
        <v>548</v>
      </c>
      <c r="AK2" s="711" t="s">
        <v>548</v>
      </c>
      <c r="AL2" s="711" t="s">
        <v>548</v>
      </c>
      <c r="AM2" s="711" t="s">
        <v>548</v>
      </c>
      <c r="AN2" s="711" t="s">
        <v>548</v>
      </c>
      <c r="AO2" s="711">
        <v>0</v>
      </c>
      <c r="AP2" s="711" t="s">
        <v>548</v>
      </c>
      <c r="AQ2" s="711" t="s">
        <v>548</v>
      </c>
      <c r="AR2" s="711">
        <v>0</v>
      </c>
      <c r="AS2" s="711" t="s">
        <v>548</v>
      </c>
      <c r="AT2" s="711" t="s">
        <v>548</v>
      </c>
      <c r="AU2" s="711" t="s">
        <v>548</v>
      </c>
      <c r="AV2" s="711">
        <v>0</v>
      </c>
      <c r="AW2" s="711">
        <v>0</v>
      </c>
      <c r="AX2" s="711" t="s">
        <v>548</v>
      </c>
      <c r="AY2" s="711">
        <v>0</v>
      </c>
      <c r="AZ2" s="711">
        <v>0</v>
      </c>
      <c r="BA2" s="711" t="s">
        <v>548</v>
      </c>
      <c r="BB2" s="711" t="s">
        <v>548</v>
      </c>
      <c r="BC2" s="711" t="s">
        <v>548</v>
      </c>
      <c r="BD2" s="711" t="s">
        <v>548</v>
      </c>
      <c r="BE2" s="711" t="s">
        <v>548</v>
      </c>
      <c r="BF2" s="711" t="s">
        <v>548</v>
      </c>
      <c r="BG2" s="711" t="s">
        <v>548</v>
      </c>
      <c r="BH2" s="711">
        <v>0</v>
      </c>
      <c r="BI2" s="711">
        <v>0</v>
      </c>
      <c r="BJ2" s="711" t="s">
        <v>548</v>
      </c>
      <c r="BK2" s="711">
        <v>0</v>
      </c>
      <c r="BL2" s="711">
        <v>0</v>
      </c>
      <c r="BM2" s="711" t="s">
        <v>548</v>
      </c>
      <c r="BN2" s="711">
        <v>0</v>
      </c>
      <c r="BO2" s="711">
        <v>0</v>
      </c>
      <c r="BP2" s="711" t="s">
        <v>548</v>
      </c>
      <c r="BQ2" s="711">
        <v>0</v>
      </c>
      <c r="BR2" s="711">
        <v>0</v>
      </c>
      <c r="BS2" s="711" t="s">
        <v>548</v>
      </c>
      <c r="BT2" s="711">
        <v>0</v>
      </c>
      <c r="BU2" s="711">
        <v>0</v>
      </c>
      <c r="BV2" s="711" t="s">
        <v>548</v>
      </c>
      <c r="BW2" s="711">
        <v>0</v>
      </c>
      <c r="BX2" s="711">
        <v>0</v>
      </c>
      <c r="BY2" s="1359" t="s">
        <v>548</v>
      </c>
      <c r="BZ2" s="1360">
        <v>0</v>
      </c>
      <c r="CA2" s="1360">
        <v>0</v>
      </c>
      <c r="CB2" s="1359" t="s">
        <v>548</v>
      </c>
      <c r="CC2" s="1360">
        <v>0</v>
      </c>
      <c r="CD2" s="1360">
        <v>0</v>
      </c>
      <c r="CE2" s="1359" t="s">
        <v>548</v>
      </c>
      <c r="CF2" s="1360">
        <v>0</v>
      </c>
      <c r="CG2" s="1360">
        <v>0</v>
      </c>
      <c r="CH2" s="1359" t="s">
        <v>548</v>
      </c>
      <c r="CI2" s="1360">
        <v>0</v>
      </c>
      <c r="CJ2" s="1360">
        <v>0</v>
      </c>
      <c r="CK2" s="1359" t="s">
        <v>548</v>
      </c>
      <c r="CL2" s="1360">
        <v>0</v>
      </c>
      <c r="CM2" s="1360">
        <v>0</v>
      </c>
      <c r="CN2" s="1359" t="s">
        <v>548</v>
      </c>
      <c r="CO2" s="1360">
        <v>0</v>
      </c>
      <c r="CP2" s="1360">
        <v>0</v>
      </c>
      <c r="CQ2" s="711" t="s">
        <v>548</v>
      </c>
      <c r="CR2" s="1360">
        <v>0</v>
      </c>
      <c r="CS2" s="1360">
        <v>0</v>
      </c>
      <c r="CT2" s="711" t="s">
        <v>548</v>
      </c>
      <c r="CU2" s="1360">
        <v>0</v>
      </c>
      <c r="CV2" s="1360">
        <v>0</v>
      </c>
      <c r="CW2" s="711" t="s">
        <v>548</v>
      </c>
      <c r="CX2" s="711" t="s">
        <v>548</v>
      </c>
      <c r="CY2" s="711" t="s">
        <v>548</v>
      </c>
      <c r="CZ2" s="711" t="s">
        <v>548</v>
      </c>
      <c r="DA2" s="711" t="s">
        <v>548</v>
      </c>
      <c r="DB2" s="711" t="s">
        <v>548</v>
      </c>
      <c r="DC2" s="711" t="s">
        <v>548</v>
      </c>
      <c r="DD2" s="711">
        <v>0</v>
      </c>
      <c r="DE2" s="711" t="s">
        <v>548</v>
      </c>
      <c r="DF2" s="711" t="s">
        <v>548</v>
      </c>
      <c r="DG2" s="711">
        <v>0</v>
      </c>
      <c r="DH2" s="711" t="s">
        <v>548</v>
      </c>
      <c r="DI2" s="711" t="s">
        <v>548</v>
      </c>
      <c r="DJ2" s="711" t="s">
        <v>548</v>
      </c>
      <c r="DK2" s="711" t="s">
        <v>548</v>
      </c>
      <c r="DL2" s="711" t="s">
        <v>548</v>
      </c>
      <c r="DM2" s="711" t="s">
        <v>548</v>
      </c>
      <c r="DN2" s="711" t="s">
        <v>548</v>
      </c>
      <c r="DO2" s="711" t="s">
        <v>548</v>
      </c>
      <c r="DP2" s="711">
        <v>0</v>
      </c>
      <c r="DQ2" s="711">
        <v>0</v>
      </c>
      <c r="DR2" s="711" t="s">
        <v>548</v>
      </c>
      <c r="DS2" s="711">
        <v>0</v>
      </c>
      <c r="DT2" s="711">
        <v>0</v>
      </c>
      <c r="DU2" s="711" t="s">
        <v>548</v>
      </c>
      <c r="DV2" s="711" t="s">
        <v>548</v>
      </c>
      <c r="DW2" s="711" t="s">
        <v>548</v>
      </c>
      <c r="DX2" s="711" t="s">
        <v>548</v>
      </c>
      <c r="DY2" s="711" t="s">
        <v>548</v>
      </c>
      <c r="DZ2" s="711" t="s">
        <v>548</v>
      </c>
      <c r="EA2" s="711">
        <v>0</v>
      </c>
      <c r="EB2" s="711" t="s">
        <v>548</v>
      </c>
      <c r="EC2" s="711">
        <v>0</v>
      </c>
      <c r="ED2" s="711">
        <v>0</v>
      </c>
      <c r="EE2" s="711" t="s">
        <v>548</v>
      </c>
      <c r="EF2" s="711">
        <v>0</v>
      </c>
      <c r="EG2" s="711"/>
      <c r="EH2" s="711"/>
    </row>
    <row r="3" spans="1:138" x14ac:dyDescent="0.25">
      <c r="A3" s="711" t="s">
        <v>854</v>
      </c>
      <c r="B3" s="711" t="s">
        <v>28</v>
      </c>
      <c r="E3" s="711" t="s">
        <v>580</v>
      </c>
      <c r="H3" s="711">
        <v>2</v>
      </c>
      <c r="K3" s="711" t="s">
        <v>580</v>
      </c>
      <c r="L3" s="711" t="s">
        <v>580</v>
      </c>
      <c r="M3" s="711" t="s">
        <v>580</v>
      </c>
      <c r="Q3" s="711">
        <v>3</v>
      </c>
      <c r="R3" s="711">
        <v>3</v>
      </c>
      <c r="S3" s="711">
        <v>3</v>
      </c>
      <c r="T3" s="711">
        <v>3</v>
      </c>
      <c r="U3" s="711">
        <v>3</v>
      </c>
      <c r="V3" s="711">
        <v>3</v>
      </c>
      <c r="W3" s="711">
        <v>2</v>
      </c>
      <c r="X3" s="711">
        <v>4</v>
      </c>
      <c r="Y3" s="711">
        <v>4</v>
      </c>
      <c r="Z3" s="711">
        <v>2</v>
      </c>
      <c r="AA3" s="711">
        <v>4</v>
      </c>
      <c r="AB3" s="711">
        <v>4</v>
      </c>
      <c r="AC3" s="711" t="s">
        <v>580</v>
      </c>
      <c r="AF3" s="711" t="s">
        <v>580</v>
      </c>
      <c r="AJ3" s="711" t="s">
        <v>580</v>
      </c>
      <c r="AK3" s="711" t="s">
        <v>580</v>
      </c>
      <c r="AM3" s="711" t="s">
        <v>580</v>
      </c>
      <c r="AN3" s="711" t="s">
        <v>580</v>
      </c>
      <c r="AO3" s="711">
        <v>5</v>
      </c>
      <c r="AR3" s="711">
        <v>5</v>
      </c>
      <c r="AV3" s="711">
        <v>5</v>
      </c>
      <c r="AW3" s="711">
        <v>5</v>
      </c>
      <c r="AY3" s="711">
        <v>5</v>
      </c>
      <c r="AZ3" s="711">
        <v>5</v>
      </c>
      <c r="BA3" s="711" t="s">
        <v>580</v>
      </c>
      <c r="BD3" s="711" t="s">
        <v>580</v>
      </c>
      <c r="BH3" s="711">
        <v>2</v>
      </c>
      <c r="BI3" s="711">
        <v>2</v>
      </c>
      <c r="BK3" s="711">
        <v>2</v>
      </c>
      <c r="BL3" s="711">
        <v>2</v>
      </c>
      <c r="BN3" s="711">
        <v>1</v>
      </c>
      <c r="BO3" s="711">
        <v>1</v>
      </c>
      <c r="BQ3" s="711">
        <v>1</v>
      </c>
      <c r="BR3" s="711">
        <v>1</v>
      </c>
      <c r="BT3" s="711">
        <v>1</v>
      </c>
      <c r="BU3" s="711">
        <v>1</v>
      </c>
      <c r="BW3" s="711">
        <v>1</v>
      </c>
      <c r="BX3" s="711">
        <v>1</v>
      </c>
      <c r="BY3" s="1359"/>
      <c r="BZ3" s="1360">
        <v>2</v>
      </c>
      <c r="CA3" s="1360">
        <v>2</v>
      </c>
      <c r="CB3" s="1359"/>
      <c r="CC3" s="1360">
        <v>2</v>
      </c>
      <c r="CD3" s="1360">
        <v>2</v>
      </c>
      <c r="CF3" s="1360">
        <v>3</v>
      </c>
      <c r="CG3" s="1360">
        <v>3</v>
      </c>
      <c r="CI3" s="1360">
        <v>3</v>
      </c>
      <c r="CJ3" s="1360">
        <v>3</v>
      </c>
      <c r="CL3" s="1360">
        <v>10</v>
      </c>
      <c r="CM3" s="1360">
        <v>10</v>
      </c>
      <c r="CO3" s="1360">
        <v>10</v>
      </c>
      <c r="CP3" s="1360">
        <v>10</v>
      </c>
      <c r="CR3" s="1360">
        <v>2</v>
      </c>
      <c r="CS3" s="1360">
        <v>2</v>
      </c>
      <c r="CU3" s="1360">
        <v>2</v>
      </c>
      <c r="CV3" s="1360">
        <v>2</v>
      </c>
      <c r="CW3" s="711" t="s">
        <v>580</v>
      </c>
      <c r="CY3" s="711" t="s">
        <v>580</v>
      </c>
      <c r="CZ3" s="711" t="s">
        <v>580</v>
      </c>
      <c r="DB3" s="711" t="s">
        <v>580</v>
      </c>
      <c r="DD3" s="711">
        <v>3</v>
      </c>
      <c r="DG3" s="711">
        <v>3</v>
      </c>
      <c r="DI3" s="711" t="s">
        <v>580</v>
      </c>
      <c r="DL3" s="711" t="s">
        <v>580</v>
      </c>
      <c r="DP3" s="711">
        <v>3</v>
      </c>
      <c r="DQ3" s="711">
        <v>3</v>
      </c>
      <c r="DS3" s="711">
        <v>3</v>
      </c>
      <c r="DT3" s="711">
        <v>3</v>
      </c>
      <c r="DU3" s="711" t="s">
        <v>580</v>
      </c>
      <c r="DX3" s="711" t="s">
        <v>580</v>
      </c>
      <c r="EA3" s="711">
        <v>2</v>
      </c>
      <c r="EC3" s="711">
        <v>2</v>
      </c>
      <c r="ED3" s="711">
        <v>2</v>
      </c>
      <c r="EF3" s="711">
        <v>2</v>
      </c>
    </row>
    <row r="4" spans="1:138" x14ac:dyDescent="0.25">
      <c r="A4" s="711" t="s">
        <v>853</v>
      </c>
      <c r="B4" s="711" t="s">
        <v>1002</v>
      </c>
      <c r="Q4" s="711">
        <v>5</v>
      </c>
      <c r="R4" s="711">
        <v>5</v>
      </c>
      <c r="S4" s="711">
        <v>5</v>
      </c>
      <c r="T4" s="711">
        <v>5</v>
      </c>
      <c r="U4" s="711">
        <v>5</v>
      </c>
      <c r="V4" s="711">
        <v>5</v>
      </c>
      <c r="AO4" s="711">
        <v>10</v>
      </c>
      <c r="AR4" s="711">
        <v>10</v>
      </c>
      <c r="BN4" s="711">
        <v>2</v>
      </c>
      <c r="BO4" s="711">
        <v>2</v>
      </c>
      <c r="BQ4" s="711">
        <v>2</v>
      </c>
      <c r="BR4" s="711">
        <v>2</v>
      </c>
      <c r="BT4" s="711">
        <v>2</v>
      </c>
      <c r="BU4" s="711">
        <v>2</v>
      </c>
      <c r="BW4" s="711">
        <v>2</v>
      </c>
      <c r="BX4" s="711">
        <v>2</v>
      </c>
      <c r="BY4" s="1359"/>
      <c r="BZ4" s="1360">
        <v>5</v>
      </c>
      <c r="CA4" s="1360">
        <v>5</v>
      </c>
      <c r="CB4" s="1359"/>
      <c r="CC4" s="1360">
        <v>5</v>
      </c>
      <c r="CD4" s="1360">
        <v>5</v>
      </c>
      <c r="CF4" s="1360">
        <v>7</v>
      </c>
      <c r="CG4" s="1360">
        <v>7</v>
      </c>
      <c r="CI4" s="1360">
        <v>7</v>
      </c>
      <c r="CJ4" s="1360">
        <v>7</v>
      </c>
      <c r="CR4" s="711">
        <v>5</v>
      </c>
      <c r="CS4" s="711">
        <v>5</v>
      </c>
      <c r="CU4" s="711">
        <v>5</v>
      </c>
      <c r="CV4" s="711">
        <v>5</v>
      </c>
      <c r="EA4" s="711">
        <v>3</v>
      </c>
      <c r="EC4" s="711">
        <v>3</v>
      </c>
      <c r="ED4" s="711">
        <v>3</v>
      </c>
      <c r="EF4" s="711">
        <v>3</v>
      </c>
    </row>
    <row r="5" spans="1:138" x14ac:dyDescent="0.25">
      <c r="B5" s="711" t="s">
        <v>978</v>
      </c>
      <c r="AO5" s="711">
        <v>15</v>
      </c>
      <c r="AR5" s="711">
        <v>15</v>
      </c>
      <c r="BN5" s="711">
        <v>3</v>
      </c>
      <c r="BO5" s="711">
        <v>3</v>
      </c>
      <c r="BQ5" s="711">
        <v>3</v>
      </c>
      <c r="BR5" s="711">
        <v>3</v>
      </c>
      <c r="BT5" s="711">
        <v>3</v>
      </c>
      <c r="BU5" s="711">
        <v>3</v>
      </c>
      <c r="BW5" s="711">
        <v>3</v>
      </c>
      <c r="BX5" s="711">
        <v>3</v>
      </c>
      <c r="BY5" s="1359"/>
      <c r="BZ5" s="1359"/>
      <c r="CA5" s="1359"/>
      <c r="CB5" s="1359"/>
      <c r="CC5" s="1359"/>
      <c r="CD5" s="1359"/>
      <c r="CR5" s="711">
        <v>7</v>
      </c>
      <c r="CS5" s="711">
        <v>7</v>
      </c>
      <c r="CU5" s="711">
        <v>7</v>
      </c>
      <c r="CV5" s="711">
        <v>7</v>
      </c>
      <c r="EA5" s="711">
        <v>4</v>
      </c>
      <c r="EC5" s="711">
        <v>4</v>
      </c>
      <c r="ED5" s="711">
        <v>4</v>
      </c>
      <c r="EF5" s="711">
        <v>4</v>
      </c>
    </row>
    <row r="6" spans="1:138" x14ac:dyDescent="0.25">
      <c r="B6" s="711" t="s">
        <v>978</v>
      </c>
      <c r="AO6" s="711">
        <v>20</v>
      </c>
      <c r="AR6" s="711">
        <v>20</v>
      </c>
      <c r="BN6" s="711">
        <v>4</v>
      </c>
      <c r="BO6" s="711">
        <v>4</v>
      </c>
      <c r="BQ6" s="711">
        <v>4</v>
      </c>
      <c r="BR6" s="711">
        <v>4</v>
      </c>
      <c r="BT6" s="711">
        <v>4</v>
      </c>
      <c r="BU6" s="711">
        <v>4</v>
      </c>
      <c r="BW6" s="711">
        <v>4</v>
      </c>
      <c r="BX6" s="711">
        <v>4</v>
      </c>
      <c r="BY6" s="1359"/>
      <c r="BZ6" s="1359"/>
      <c r="CA6" s="1359"/>
      <c r="CB6" s="1359"/>
      <c r="CC6" s="1359"/>
      <c r="CD6" s="1359"/>
      <c r="EA6" s="711">
        <v>5</v>
      </c>
      <c r="EC6" s="711">
        <v>5</v>
      </c>
      <c r="ED6" s="711">
        <v>5</v>
      </c>
      <c r="EF6" s="711">
        <v>5</v>
      </c>
    </row>
    <row r="7" spans="1:138" x14ac:dyDescent="0.25">
      <c r="AO7" s="711">
        <v>25</v>
      </c>
      <c r="AR7" s="711">
        <v>25</v>
      </c>
      <c r="BN7" s="711">
        <v>5</v>
      </c>
      <c r="BO7" s="711">
        <v>5</v>
      </c>
      <c r="BQ7" s="711">
        <v>5</v>
      </c>
      <c r="BR7" s="711">
        <v>5</v>
      </c>
      <c r="BT7" s="711">
        <v>5</v>
      </c>
      <c r="BU7" s="711">
        <v>5</v>
      </c>
      <c r="BW7" s="711">
        <v>5</v>
      </c>
      <c r="BX7" s="711">
        <v>5</v>
      </c>
      <c r="BY7" s="1359"/>
      <c r="BZ7" s="1359"/>
      <c r="CA7" s="1359"/>
      <c r="CB7" s="1359"/>
      <c r="CC7" s="1359"/>
      <c r="CD7" s="1359"/>
      <c r="EA7" s="711">
        <v>6</v>
      </c>
      <c r="EC7" s="711">
        <v>6</v>
      </c>
      <c r="ED7" s="711">
        <v>6</v>
      </c>
      <c r="EF7" s="711">
        <v>6</v>
      </c>
    </row>
    <row r="8" spans="1:138" x14ac:dyDescent="0.25">
      <c r="BN8" s="711">
        <v>6</v>
      </c>
      <c r="BO8" s="711">
        <v>6</v>
      </c>
      <c r="BQ8" s="711">
        <v>6</v>
      </c>
      <c r="BR8" s="711">
        <v>6</v>
      </c>
      <c r="BT8" s="711">
        <v>6</v>
      </c>
      <c r="BU8" s="711">
        <v>6</v>
      </c>
      <c r="BW8" s="711">
        <v>6</v>
      </c>
      <c r="BX8" s="711">
        <v>6</v>
      </c>
      <c r="BY8" s="1359"/>
      <c r="BZ8" s="1359"/>
      <c r="CA8" s="1359"/>
      <c r="CB8" s="1359"/>
      <c r="CC8" s="1359"/>
      <c r="CD8" s="1359"/>
      <c r="EA8" s="711">
        <v>7</v>
      </c>
      <c r="EC8" s="711">
        <v>7</v>
      </c>
      <c r="ED8" s="711">
        <v>7</v>
      </c>
      <c r="EF8" s="711">
        <v>7</v>
      </c>
    </row>
    <row r="9" spans="1:138" x14ac:dyDescent="0.25">
      <c r="BN9" s="711">
        <v>7</v>
      </c>
      <c r="BO9" s="711">
        <v>7</v>
      </c>
      <c r="BQ9" s="711">
        <v>7</v>
      </c>
      <c r="BR9" s="711">
        <v>7</v>
      </c>
      <c r="BT9" s="711">
        <v>7</v>
      </c>
      <c r="BU9" s="711">
        <v>7</v>
      </c>
      <c r="BW9" s="711">
        <v>7</v>
      </c>
      <c r="BX9" s="711">
        <v>7</v>
      </c>
      <c r="BY9" s="1359"/>
      <c r="BZ9" s="1359"/>
      <c r="CA9" s="1359"/>
      <c r="CB9" s="1359"/>
      <c r="CC9" s="1359"/>
      <c r="CD9" s="1359"/>
      <c r="EA9" s="711">
        <v>8</v>
      </c>
      <c r="EC9" s="711">
        <v>8</v>
      </c>
      <c r="ED9" s="711">
        <v>8</v>
      </c>
      <c r="EF9" s="711">
        <v>8</v>
      </c>
    </row>
    <row r="10" spans="1:138" x14ac:dyDescent="0.25">
      <c r="BN10" s="711">
        <v>8</v>
      </c>
      <c r="BO10" s="711">
        <v>8</v>
      </c>
      <c r="BQ10" s="711">
        <v>8</v>
      </c>
      <c r="BR10" s="711">
        <v>8</v>
      </c>
      <c r="BT10" s="711">
        <v>8</v>
      </c>
      <c r="BU10" s="711">
        <v>8</v>
      </c>
      <c r="BW10" s="711">
        <v>8</v>
      </c>
      <c r="BX10" s="711">
        <v>8</v>
      </c>
      <c r="BY10" s="1359"/>
      <c r="BZ10" s="1359"/>
      <c r="CA10" s="1359"/>
      <c r="CB10" s="1359"/>
      <c r="CC10" s="1359"/>
      <c r="CD10" s="1359"/>
      <c r="EC10" s="711">
        <v>10</v>
      </c>
      <c r="EF10" s="711">
        <v>10</v>
      </c>
    </row>
    <row r="11" spans="1:138" x14ac:dyDescent="0.25">
      <c r="BN11" s="711">
        <v>9</v>
      </c>
      <c r="BO11" s="711">
        <v>9</v>
      </c>
      <c r="BQ11" s="711">
        <v>9</v>
      </c>
      <c r="BR11" s="711">
        <v>9</v>
      </c>
      <c r="BT11" s="711">
        <v>9</v>
      </c>
      <c r="BU11" s="711">
        <v>9</v>
      </c>
      <c r="BW11" s="711">
        <v>9</v>
      </c>
      <c r="BX11" s="711">
        <v>9</v>
      </c>
      <c r="BY11" s="1359"/>
      <c r="BZ11" s="1359"/>
      <c r="CA11" s="1359"/>
      <c r="CB11" s="1359"/>
      <c r="CC11" s="1359"/>
      <c r="CD11" s="1359"/>
    </row>
    <row r="12" spans="1:138" x14ac:dyDescent="0.25">
      <c r="BN12" s="711">
        <v>10</v>
      </c>
      <c r="BO12" s="711">
        <v>10</v>
      </c>
      <c r="BQ12" s="711">
        <v>10</v>
      </c>
      <c r="BR12" s="711">
        <v>10</v>
      </c>
      <c r="BT12" s="711">
        <v>10</v>
      </c>
      <c r="BU12" s="711">
        <v>10</v>
      </c>
      <c r="BW12" s="711">
        <v>10</v>
      </c>
      <c r="BX12" s="711">
        <v>10</v>
      </c>
      <c r="BY12" s="1359"/>
      <c r="BZ12" s="1359"/>
      <c r="CA12" s="1359"/>
      <c r="CB12" s="1359"/>
      <c r="CC12" s="1359"/>
      <c r="CD12" s="1359"/>
    </row>
    <row r="13" spans="1:138" x14ac:dyDescent="0.25">
      <c r="BN13" s="711">
        <v>11</v>
      </c>
      <c r="BO13" s="711">
        <v>11</v>
      </c>
      <c r="BQ13" s="711">
        <v>11</v>
      </c>
      <c r="BR13" s="711">
        <v>11</v>
      </c>
      <c r="BY13" s="1359"/>
      <c r="BZ13" s="1359"/>
      <c r="CA13" s="1359"/>
      <c r="CB13" s="1359"/>
      <c r="CC13" s="1359"/>
      <c r="CD13" s="1359"/>
    </row>
    <row r="14" spans="1:138" x14ac:dyDescent="0.25">
      <c r="A14" s="711" t="s">
        <v>847</v>
      </c>
      <c r="B14" s="711" t="s">
        <v>848</v>
      </c>
      <c r="BN14" s="711">
        <v>12</v>
      </c>
      <c r="BO14" s="711">
        <v>12</v>
      </c>
      <c r="BQ14" s="711">
        <v>12</v>
      </c>
      <c r="BR14" s="711">
        <v>12</v>
      </c>
      <c r="BY14" s="1359"/>
      <c r="BZ14" s="1359"/>
      <c r="CA14" s="1359"/>
      <c r="CB14" s="1359"/>
      <c r="CC14" s="1359"/>
      <c r="CD14" s="1359"/>
    </row>
    <row r="15" spans="1:138" x14ac:dyDescent="0.25">
      <c r="A15" s="1361" t="s">
        <v>854</v>
      </c>
      <c r="B15" s="1361" t="s">
        <v>28</v>
      </c>
      <c r="BN15" s="711">
        <v>13</v>
      </c>
      <c r="BO15" s="711">
        <v>13</v>
      </c>
      <c r="BQ15" s="711">
        <v>13</v>
      </c>
      <c r="BR15" s="711">
        <v>13</v>
      </c>
      <c r="BY15" s="1359"/>
      <c r="BZ15" s="1359"/>
      <c r="CA15" s="1359"/>
      <c r="CB15" s="1359"/>
      <c r="CC15" s="1359"/>
      <c r="CD15" s="1359"/>
    </row>
    <row r="16" spans="1:138" x14ac:dyDescent="0.25">
      <c r="BN16" s="711">
        <v>14</v>
      </c>
      <c r="BO16" s="711">
        <v>14</v>
      </c>
      <c r="BQ16" s="711">
        <v>14</v>
      </c>
      <c r="BR16" s="711">
        <v>14</v>
      </c>
      <c r="BY16" s="1359"/>
      <c r="BZ16" s="1359"/>
      <c r="CA16" s="1359"/>
      <c r="CB16" s="1359"/>
      <c r="CC16" s="1359"/>
      <c r="CD16" s="1359"/>
    </row>
    <row r="17" spans="2:136" x14ac:dyDescent="0.25">
      <c r="B17" s="711">
        <v>2.2000000000000002</v>
      </c>
      <c r="C17" s="1361"/>
      <c r="BN17" s="711">
        <v>15</v>
      </c>
      <c r="BO17" s="711">
        <v>15</v>
      </c>
      <c r="BQ17" s="711">
        <v>15</v>
      </c>
      <c r="BR17" s="711">
        <v>15</v>
      </c>
      <c r="BY17" s="1359"/>
      <c r="BZ17" s="1359"/>
      <c r="CA17" s="1359"/>
      <c r="CB17" s="1359"/>
      <c r="CC17" s="1359"/>
      <c r="CD17" s="1359"/>
    </row>
    <row r="18" spans="2:136" x14ac:dyDescent="0.25">
      <c r="B18" s="711" t="s">
        <v>729</v>
      </c>
      <c r="BY18" s="1359"/>
      <c r="BZ18" s="1359"/>
      <c r="CA18" s="1359"/>
      <c r="CB18" s="1359"/>
      <c r="CC18" s="1359"/>
      <c r="CD18" s="1359"/>
    </row>
    <row r="19" spans="2:136" x14ac:dyDescent="0.25">
      <c r="BY19" s="1359"/>
      <c r="BZ19" s="1359"/>
      <c r="CA19" s="1359"/>
      <c r="CB19" s="1359"/>
      <c r="CC19" s="1359"/>
      <c r="CD19" s="1359"/>
    </row>
    <row r="20" spans="2:136" x14ac:dyDescent="0.25">
      <c r="BY20" s="1359"/>
      <c r="BZ20" s="1359"/>
      <c r="CA20" s="1359"/>
      <c r="CB20" s="1359"/>
      <c r="CC20" s="1359"/>
      <c r="CD20" s="1359"/>
    </row>
    <row r="21" spans="2:136" x14ac:dyDescent="0.25">
      <c r="BY21" s="1359"/>
      <c r="BZ21" s="1359"/>
      <c r="CA21" s="1359"/>
      <c r="CB21" s="1359"/>
      <c r="CC21" s="1359"/>
      <c r="CD21" s="1359"/>
    </row>
    <row r="22" spans="2:136" ht="30" x14ac:dyDescent="0.25">
      <c r="E22" s="1362" t="s">
        <v>1140</v>
      </c>
      <c r="F22" s="1362" t="s">
        <v>548</v>
      </c>
      <c r="G22" s="1362" t="s">
        <v>548</v>
      </c>
      <c r="H22" s="1362" t="s">
        <v>881</v>
      </c>
      <c r="I22" s="1362" t="s">
        <v>548</v>
      </c>
      <c r="J22" s="1362" t="s">
        <v>548</v>
      </c>
      <c r="K22" s="1170" t="s">
        <v>1140</v>
      </c>
      <c r="L22" s="1170" t="s">
        <v>1140</v>
      </c>
      <c r="M22" s="1170" t="s">
        <v>1140</v>
      </c>
      <c r="N22" s="1170" t="s">
        <v>548</v>
      </c>
      <c r="O22" s="1170" t="s">
        <v>548</v>
      </c>
      <c r="P22" s="1170" t="s">
        <v>548</v>
      </c>
      <c r="Q22" s="1170" t="s">
        <v>879</v>
      </c>
      <c r="R22" s="1170" t="s">
        <v>879</v>
      </c>
      <c r="S22" s="1170" t="s">
        <v>879</v>
      </c>
      <c r="T22" s="1170" t="s">
        <v>1007</v>
      </c>
      <c r="U22" s="1170" t="s">
        <v>1007</v>
      </c>
      <c r="V22" s="1170" t="s">
        <v>1007</v>
      </c>
      <c r="W22" s="1170" t="s">
        <v>881</v>
      </c>
      <c r="X22" s="1170" t="s">
        <v>927</v>
      </c>
      <c r="Y22" s="1170" t="s">
        <v>927</v>
      </c>
      <c r="Z22" s="1170" t="s">
        <v>881</v>
      </c>
      <c r="AA22" s="1170" t="s">
        <v>927</v>
      </c>
      <c r="AB22" s="1170" t="s">
        <v>927</v>
      </c>
      <c r="AC22" s="1170" t="s">
        <v>1140</v>
      </c>
      <c r="AD22" s="1170" t="s">
        <v>548</v>
      </c>
      <c r="AE22" s="1170" t="s">
        <v>548</v>
      </c>
      <c r="AF22" s="1170" t="s">
        <v>1140</v>
      </c>
      <c r="AG22" s="1170" t="s">
        <v>548</v>
      </c>
      <c r="AH22" s="1170" t="s">
        <v>548</v>
      </c>
      <c r="AI22" s="1170" t="s">
        <v>548</v>
      </c>
      <c r="AJ22" s="1170" t="s">
        <v>1140</v>
      </c>
      <c r="AK22" s="1170" t="s">
        <v>1140</v>
      </c>
      <c r="AL22" s="1170" t="s">
        <v>548</v>
      </c>
      <c r="AM22" s="1170" t="s">
        <v>1140</v>
      </c>
      <c r="AN22" s="1170" t="s">
        <v>1140</v>
      </c>
      <c r="AO22" s="1170" t="s">
        <v>922</v>
      </c>
      <c r="AP22" s="1170" t="s">
        <v>548</v>
      </c>
      <c r="AQ22" s="1170" t="s">
        <v>548</v>
      </c>
      <c r="AR22" s="1170" t="s">
        <v>922</v>
      </c>
      <c r="AS22" s="1170" t="s">
        <v>548</v>
      </c>
      <c r="AT22" s="1170" t="s">
        <v>548</v>
      </c>
      <c r="AU22" s="1170" t="s">
        <v>548</v>
      </c>
      <c r="AV22" s="1170" t="s">
        <v>872</v>
      </c>
      <c r="AW22" s="1170" t="s">
        <v>872</v>
      </c>
      <c r="AX22" s="1170" t="s">
        <v>548</v>
      </c>
      <c r="AY22" s="1170" t="s">
        <v>872</v>
      </c>
      <c r="AZ22" s="1170" t="s">
        <v>872</v>
      </c>
      <c r="BA22" s="1170" t="s">
        <v>1140</v>
      </c>
      <c r="BB22" s="1170" t="s">
        <v>548</v>
      </c>
      <c r="BC22" s="1170" t="s">
        <v>548</v>
      </c>
      <c r="BD22" s="1170" t="s">
        <v>1140</v>
      </c>
      <c r="BE22" s="1170" t="s">
        <v>548</v>
      </c>
      <c r="BF22" s="1170" t="s">
        <v>548</v>
      </c>
      <c r="BG22" s="1170" t="s">
        <v>548</v>
      </c>
      <c r="BH22" s="1170" t="s">
        <v>881</v>
      </c>
      <c r="BI22" s="1170" t="s">
        <v>881</v>
      </c>
      <c r="BJ22" s="1170" t="s">
        <v>548</v>
      </c>
      <c r="BK22" s="1170" t="s">
        <v>881</v>
      </c>
      <c r="BL22" s="1170" t="s">
        <v>881</v>
      </c>
      <c r="BM22" s="1170" t="s">
        <v>548</v>
      </c>
      <c r="BN22" s="1170" t="s">
        <v>989</v>
      </c>
      <c r="BO22" s="1170" t="s">
        <v>989</v>
      </c>
      <c r="BP22" s="1170" t="s">
        <v>548</v>
      </c>
      <c r="BQ22" s="1170" t="s">
        <v>989</v>
      </c>
      <c r="BR22" s="1170" t="s">
        <v>989</v>
      </c>
      <c r="BS22" s="1363" t="s">
        <v>548</v>
      </c>
      <c r="BT22" s="1363" t="s">
        <v>991</v>
      </c>
      <c r="BU22" s="1363" t="s">
        <v>991</v>
      </c>
      <c r="BV22" s="1363" t="s">
        <v>548</v>
      </c>
      <c r="BW22" s="1363" t="s">
        <v>991</v>
      </c>
      <c r="BX22" s="1363" t="s">
        <v>991</v>
      </c>
      <c r="BY22" s="1170" t="s">
        <v>548</v>
      </c>
      <c r="BZ22" s="1170" t="s">
        <v>1141</v>
      </c>
      <c r="CA22" s="1170" t="s">
        <v>1141</v>
      </c>
      <c r="CB22" s="1170" t="s">
        <v>548</v>
      </c>
      <c r="CC22" s="1170" t="s">
        <v>1141</v>
      </c>
      <c r="CD22" s="1170" t="s">
        <v>1141</v>
      </c>
      <c r="CE22" s="1170" t="s">
        <v>548</v>
      </c>
      <c r="CF22" s="1170" t="s">
        <v>1142</v>
      </c>
      <c r="CG22" s="1170" t="s">
        <v>1142</v>
      </c>
      <c r="CH22" s="1170" t="s">
        <v>548</v>
      </c>
      <c r="CI22" s="1170" t="s">
        <v>1142</v>
      </c>
      <c r="CJ22" s="1170" t="s">
        <v>1142</v>
      </c>
      <c r="CK22" s="1170" t="s">
        <v>548</v>
      </c>
      <c r="CL22" s="1170" t="s">
        <v>1143</v>
      </c>
      <c r="CM22" s="1170" t="s">
        <v>1143</v>
      </c>
      <c r="CN22" s="1170" t="s">
        <v>548</v>
      </c>
      <c r="CO22" s="1170" t="s">
        <v>1143</v>
      </c>
      <c r="CP22" s="1170" t="s">
        <v>1143</v>
      </c>
      <c r="CQ22" s="1170" t="s">
        <v>548</v>
      </c>
      <c r="CR22" s="1170" t="s">
        <v>997</v>
      </c>
      <c r="CS22" s="1170" t="s">
        <v>997</v>
      </c>
      <c r="CT22" s="1170" t="s">
        <v>548</v>
      </c>
      <c r="CU22" s="1170" t="s">
        <v>997</v>
      </c>
      <c r="CV22" s="1170" t="s">
        <v>997</v>
      </c>
      <c r="CW22" s="1170" t="s">
        <v>1140</v>
      </c>
      <c r="CX22" s="1170" t="s">
        <v>548</v>
      </c>
      <c r="CY22" s="1170" t="s">
        <v>1140</v>
      </c>
      <c r="CZ22" s="1170" t="s">
        <v>1140</v>
      </c>
      <c r="DA22" s="1170" t="s">
        <v>548</v>
      </c>
      <c r="DB22" s="1170" t="s">
        <v>1140</v>
      </c>
      <c r="DC22" s="1170" t="s">
        <v>548</v>
      </c>
      <c r="DD22" s="1170" t="s">
        <v>548</v>
      </c>
      <c r="DE22" s="1170" t="s">
        <v>883</v>
      </c>
      <c r="DF22" s="1170" t="s">
        <v>548</v>
      </c>
      <c r="DG22" s="1170" t="s">
        <v>548</v>
      </c>
      <c r="DH22" s="1170" t="s">
        <v>883</v>
      </c>
      <c r="DI22" s="1170" t="s">
        <v>1140</v>
      </c>
      <c r="DJ22" s="1170" t="s">
        <v>548</v>
      </c>
      <c r="DK22" s="1170" t="s">
        <v>548</v>
      </c>
      <c r="DL22" s="1170" t="s">
        <v>1140</v>
      </c>
      <c r="DM22" s="1170" t="s">
        <v>548</v>
      </c>
      <c r="DN22" s="1170" t="s">
        <v>548</v>
      </c>
      <c r="DO22" s="1170" t="s">
        <v>548</v>
      </c>
      <c r="DP22" s="1170" t="s">
        <v>883</v>
      </c>
      <c r="DQ22" s="1170" t="s">
        <v>883</v>
      </c>
      <c r="DR22" s="1170" t="s">
        <v>548</v>
      </c>
      <c r="DS22" s="1170" t="s">
        <v>883</v>
      </c>
      <c r="DT22" s="1170" t="s">
        <v>883</v>
      </c>
      <c r="DU22" s="1170" t="s">
        <v>1140</v>
      </c>
      <c r="DV22" s="1170" t="s">
        <v>548</v>
      </c>
      <c r="DW22" s="1170" t="s">
        <v>548</v>
      </c>
      <c r="DX22" s="1170" t="s">
        <v>1140</v>
      </c>
      <c r="DY22" s="1170" t="s">
        <v>548</v>
      </c>
      <c r="DZ22" s="1170" t="s">
        <v>548</v>
      </c>
      <c r="EA22" s="1170" t="s">
        <v>967</v>
      </c>
      <c r="EB22" s="1170" t="s">
        <v>548</v>
      </c>
      <c r="EC22" s="1170" t="s">
        <v>1000</v>
      </c>
      <c r="ED22" s="1170" t="s">
        <v>967</v>
      </c>
      <c r="EE22" s="1170" t="s">
        <v>548</v>
      </c>
      <c r="EF22" s="1170" t="s">
        <v>1000</v>
      </c>
    </row>
    <row r="23" spans="2:136" x14ac:dyDescent="0.25">
      <c r="E23" s="1364" t="str">
        <f>CONCATENATE(E26,(SUBSTITUTE(E27," ","")),E28)</f>
        <v>UrbanNewConstruction2.2</v>
      </c>
      <c r="F23" s="1364" t="str">
        <f>CONCATENATE(F26,(SUBSTITUTE(F27," - ","")),F28)</f>
        <v>UrbanRehabModerate2.2</v>
      </c>
      <c r="G23" s="1364" t="str">
        <f>CONCATENATE(G26,(SUBSTITUTE(G27," - ","")),G28)</f>
        <v>UrbanRehabSubstantial2.2</v>
      </c>
      <c r="H23" s="1364" t="str">
        <f>CONCATENATE(H26,(SUBSTITUTE(H27," ","")),H28)</f>
        <v>RuralNewConstruction2.2</v>
      </c>
      <c r="I23" s="1364" t="str">
        <f>CONCATENATE(I26,(SUBSTITUTE(I27," - ","")),I28)</f>
        <v>RuralRehabModerate2.2</v>
      </c>
      <c r="J23" s="1364" t="str">
        <f>CONCATENATE(J26,(SUBSTITUTE(J27," - ","")),J28)</f>
        <v>RuralRehabSubstantial2.2</v>
      </c>
      <c r="K23" s="1364" t="str">
        <f>CONCATENATE(K26,(SUBSTITUTE(K27," ","")),K28)</f>
        <v>UrbanNewConstruction2.7A</v>
      </c>
      <c r="L23" s="1364" t="str">
        <f>CONCATENATE(L26,(SUBSTITUTE(L27," - ","")),L28)</f>
        <v>UrbanRehabModerate2.7A</v>
      </c>
      <c r="M23" s="1364" t="str">
        <f>CONCATENATE(M26,(SUBSTITUTE(M27," - ","")),M28)</f>
        <v>UrbanRehabSubstantial2.7A</v>
      </c>
      <c r="N23" s="1364" t="str">
        <f>CONCATENATE(N26,(SUBSTITUTE(N27," ","")),N28)</f>
        <v>RuralNewConstruction2.7A</v>
      </c>
      <c r="O23" s="1364" t="str">
        <f>CONCATENATE(O26,(SUBSTITUTE(O27," - ","")),O28)</f>
        <v>RuralRehabModerate2.7A</v>
      </c>
      <c r="P23" s="1364" t="str">
        <f>CONCATENATE(P26,(SUBSTITUTE(P27," - ","")),P28)</f>
        <v>RuralRehabSubstantial2.7A</v>
      </c>
      <c r="Q23" s="1364" t="str">
        <f>CONCATENATE(Q26,(SUBSTITUTE(Q27," ","")),Q28)</f>
        <v>UrbanNewConstruction2.7B</v>
      </c>
      <c r="R23" s="1364" t="str">
        <f>CONCATENATE(R26,(SUBSTITUTE(R27," - ","")),R28)</f>
        <v>UrbanRehabModerate2.7B</v>
      </c>
      <c r="S23" s="1364" t="str">
        <f>CONCATENATE(S26,(SUBSTITUTE(S27," - ","")),S28)</f>
        <v>UrbanRehabSubstantial2.7B</v>
      </c>
      <c r="T23" s="1364" t="str">
        <f>CONCATENATE(T26,(SUBSTITUTE(T27," ","")),T28)</f>
        <v>RuralNewConstruction2.7B</v>
      </c>
      <c r="U23" s="1364" t="str">
        <f>CONCATENATE(U26,(SUBSTITUTE(U27," - ","")),U28)</f>
        <v>RuralRehabModerate2.7B</v>
      </c>
      <c r="V23" s="1364" t="str">
        <f>CONCATENATE(V26,(SUBSTITUTE(V27," - ","")),V28)</f>
        <v>RuralRehabSubstantial2.7B</v>
      </c>
      <c r="W23" s="1364" t="str">
        <f>CONCATENATE(W26,(SUBSTITUTE(W27," ","")),W28)</f>
        <v>UrbanNewConstruction4.2</v>
      </c>
      <c r="X23" s="1364" t="str">
        <f>CONCATENATE(X26,(SUBSTITUTE(X27," - ","")),X28)</f>
        <v>UrbanRehabModerate4.2</v>
      </c>
      <c r="Y23" s="1364" t="str">
        <f>CONCATENATE(Y26,(SUBSTITUTE(Y27," - ","")),Y28)</f>
        <v>UrbanRehabSubstantial4.2</v>
      </c>
      <c r="Z23" s="1364" t="str">
        <f>CONCATENATE(Z26,(SUBSTITUTE(Z27," ","")),Z28)</f>
        <v>RuralNewConstruction4.2</v>
      </c>
      <c r="AA23" s="1364" t="str">
        <f>CONCATENATE(AA26,(SUBSTITUTE(AA27," - ","")),AA28)</f>
        <v>RuralRehabModerate4.2</v>
      </c>
      <c r="AB23" s="1364" t="str">
        <f>CONCATENATE(AB26,(SUBSTITUTE(AB27," - ","")),AB28)</f>
        <v>RuralRehabSubstantial4.2</v>
      </c>
      <c r="AC23" s="1364" t="str">
        <f>CONCATENATE(AC26,(SUBSTITUTE(AC27," ","")),AC28)</f>
        <v>UrbanNewConstruction5.1A</v>
      </c>
      <c r="AD23" s="1364" t="str">
        <f>CONCATENATE(AD26,(SUBSTITUTE(AD27," - ","")),AD28)</f>
        <v>UrbanRehabModerate5.1A</v>
      </c>
      <c r="AE23" s="1364" t="str">
        <f>CONCATENATE(AE26,(SUBSTITUTE(AE27," - ","")),AE28)</f>
        <v>UrbanRehabSubstantial5.1A</v>
      </c>
      <c r="AF23" s="1364" t="str">
        <f>CONCATENATE(AF26,(SUBSTITUTE(AF27," ","")),AF28)</f>
        <v>RuralNewConstruction5.1A</v>
      </c>
      <c r="AG23" s="1364" t="str">
        <f>CONCATENATE(AG26,(SUBSTITUTE(AG27," - ","")),AG28)</f>
        <v>RuralRehabModerate5.1A</v>
      </c>
      <c r="AH23" s="1364" t="str">
        <f>CONCATENATE(AH26,(SUBSTITUTE(AH27," - ","")),AH28)</f>
        <v>RuralRehabSubstantial5.1A</v>
      </c>
      <c r="AI23" s="1364" t="str">
        <f>CONCATENATE(AI26,(SUBSTITUTE(AI27," ","")),AI28)</f>
        <v>UrbanNewConstruction5.1B</v>
      </c>
      <c r="AJ23" s="1364" t="str">
        <f>CONCATENATE(AJ26,(SUBSTITUTE(AJ27," - ","")),AJ28)</f>
        <v>UrbanRehabModerate5.1B</v>
      </c>
      <c r="AK23" s="1364" t="str">
        <f>CONCATENATE(AK26,(SUBSTITUTE(AK27," - ","")),AK28)</f>
        <v>UrbanRehabSubstantial5.1B</v>
      </c>
      <c r="AL23" s="1364" t="str">
        <f>CONCATENATE(AL26,(SUBSTITUTE(AL27," ","")),AL28)</f>
        <v>RuralNewConstruction5.1B</v>
      </c>
      <c r="AM23" s="1364" t="str">
        <f>CONCATENATE(AM26,(SUBSTITUTE(AM27," - ","")),AM28)</f>
        <v>RuralRehabModerate5.1B</v>
      </c>
      <c r="AN23" s="1364" t="str">
        <f>CONCATENATE(AN26,(SUBSTITUTE(AN27," - ","")),AN28)</f>
        <v>RuralRehabSubstantial5.1B</v>
      </c>
      <c r="AO23" s="1364" t="str">
        <f>CONCATENATE(AO26,(SUBSTITUTE(AO27," ","")),AO28)</f>
        <v>UrbanNewConstruction5.2A</v>
      </c>
      <c r="AP23" s="1364" t="str">
        <f>CONCATENATE(AP26,(SUBSTITUTE(AP27," - ","")),AP28)</f>
        <v>UrbanRehabModerate5.2A</v>
      </c>
      <c r="AQ23" s="1364" t="str">
        <f>CONCATENATE(AQ26,(SUBSTITUTE(AQ27," - ","")),AQ28)</f>
        <v>UrbanRehabSubstantial5.2A</v>
      </c>
      <c r="AR23" s="1364" t="str">
        <f>CONCATENATE(AR26,(SUBSTITUTE(AR27," ","")),AR28)</f>
        <v>RuralNewConstruction5.2A</v>
      </c>
      <c r="AS23" s="1364" t="str">
        <f>CONCATENATE(AS26,(SUBSTITUTE(AS27," - ","")),AS28)</f>
        <v>RuralRehabModerate5.2A</v>
      </c>
      <c r="AT23" s="1364" t="str">
        <f>CONCATENATE(AT26,(SUBSTITUTE(AT27," - ","")),AT28)</f>
        <v>RuralRehabSubstantial5.2A</v>
      </c>
      <c r="AU23" s="1364" t="str">
        <f>CONCATENATE(AU26,(SUBSTITUTE(AU27," ","")),AU28)</f>
        <v>UrbanNewConstruction5.2B</v>
      </c>
      <c r="AV23" s="1364" t="str">
        <f>CONCATENATE(AV26,(SUBSTITUTE(AV27," - ","")),AV28)</f>
        <v>UrbanRehabModerate5.2B</v>
      </c>
      <c r="AW23" s="1364" t="str">
        <f>CONCATENATE(AW26,(SUBSTITUTE(AW27," - ","")),AW28)</f>
        <v>UrbanRehabSubstantial5.2B</v>
      </c>
      <c r="AX23" s="1364" t="str">
        <f>CONCATENATE(AX26,(SUBSTITUTE(AX27," ","")),AX28)</f>
        <v>RuralNewConstruction5.2B</v>
      </c>
      <c r="AY23" s="1364" t="str">
        <f>CONCATENATE(AY26,(SUBSTITUTE(AY27," - ","")),AY28)</f>
        <v>RuralRehabModerate5.2B</v>
      </c>
      <c r="AZ23" s="1364" t="str">
        <f>CONCATENATE(AZ26,(SUBSTITUTE(AZ27," - ","")),AZ28)</f>
        <v>RuralRehabSubstantial5.2B</v>
      </c>
      <c r="BA23" s="1364" t="str">
        <f>CONCATENATE(BA26,(SUBSTITUTE(BA27," ","")),BA28)</f>
        <v>UrbanNewConstruction5.7A</v>
      </c>
      <c r="BB23" s="1364" t="str">
        <f>CONCATENATE(BB26,(SUBSTITUTE(BB27," - ","")),BB28)</f>
        <v>UrbanRehabModerate5.7A</v>
      </c>
      <c r="BC23" s="1364" t="str">
        <f>CONCATENATE(BC26,(SUBSTITUTE(BC27," - ","")),BC28)</f>
        <v>UrbanRehabSubstantial5.7A</v>
      </c>
      <c r="BD23" s="1364" t="str">
        <f>CONCATENATE(BD26,(SUBSTITUTE(BD27," ","")),BD28)</f>
        <v>RuralNewConstruction5.7A</v>
      </c>
      <c r="BE23" s="1364" t="str">
        <f>CONCATENATE(BE26,(SUBSTITUTE(BE27," - ","")),BE28)</f>
        <v>RuralRehabModerate5.7A</v>
      </c>
      <c r="BF23" s="1364" t="str">
        <f>CONCATENATE(BF26,(SUBSTITUTE(BF27," - ","")),BF28)</f>
        <v>RuralRehabSubstantial5.7A</v>
      </c>
      <c r="BG23" s="1364" t="str">
        <f>CONCATENATE(BG26,(SUBSTITUTE(BG27," ","")),BG28)</f>
        <v>UrbanNewConstruction5.7B</v>
      </c>
      <c r="BH23" s="1364" t="str">
        <f>CONCATENATE(BH26,(SUBSTITUTE(BH27," - ","")),BH28)</f>
        <v>UrbanRehabModerate5.7B</v>
      </c>
      <c r="BI23" s="1364" t="str">
        <f>CONCATENATE(BI26,(SUBSTITUTE(BI27," - ","")),BI28)</f>
        <v>UrbanRehabSubstantial5.7B</v>
      </c>
      <c r="BJ23" s="1364" t="str">
        <f>CONCATENATE(BJ26,(SUBSTITUTE(BJ27," ","")),BJ28)</f>
        <v>RuralNewConstruction5.7B</v>
      </c>
      <c r="BK23" s="1364" t="str">
        <f>CONCATENATE(BK26,(SUBSTITUTE(BK27," - ","")),BK28)</f>
        <v>RuralRehabModerate5.7B</v>
      </c>
      <c r="BL23" s="1364" t="str">
        <f>CONCATENATE(BL26,(SUBSTITUTE(BL27," - ","")),BL28)</f>
        <v>RuralRehabSubstantial5.7B</v>
      </c>
      <c r="BM23" s="1364" t="str">
        <f>CONCATENATE(BM26,(SUBSTITUTE(BM27," ","")),BM28)</f>
        <v>UrbanNewConstruction5.8A</v>
      </c>
      <c r="BN23" s="1364" t="str">
        <f>CONCATENATE(BN26,(SUBSTITUTE(BN27," - ","")),BN28)</f>
        <v>UrbanRehabModerate5.8A</v>
      </c>
      <c r="BO23" s="1364" t="str">
        <f>CONCATENATE(BO26,(SUBSTITUTE(BO27," - ","")),BO28)</f>
        <v>UrbanRehabSubstantial5.8A</v>
      </c>
      <c r="BP23" s="1364" t="str">
        <f>CONCATENATE(BP26,(SUBSTITUTE(BP27," ","")),BP28)</f>
        <v>RuralNewConstruction5.8A</v>
      </c>
      <c r="BQ23" s="1364" t="str">
        <f>CONCATENATE(BQ26,(SUBSTITUTE(BQ27," - ","")),BQ28)</f>
        <v>RuralRehabModerate5.8A</v>
      </c>
      <c r="BR23" s="1364" t="str">
        <f>CONCATENATE(BR26,(SUBSTITUTE(BR27," - ","")),BR28)</f>
        <v>RuralRehabSubstantial5.8A</v>
      </c>
      <c r="BS23" s="1364" t="str">
        <f>CONCATENATE(BS26,(SUBSTITUTE(BS27," ","")),BS28)</f>
        <v>UrbanNewConstruction5.8C</v>
      </c>
      <c r="BT23" s="1364" t="str">
        <f>CONCATENATE(BT26,(SUBSTITUTE(BT27," - ","")),BT28)</f>
        <v>UrbanRehabModerate5.8C</v>
      </c>
      <c r="BU23" s="1364" t="str">
        <f>CONCATENATE(BU26,(SUBSTITUTE(BU27," - ","")),BU28)</f>
        <v>UrbanRehabSubstantial5.8C</v>
      </c>
      <c r="BV23" s="1364" t="str">
        <f>CONCATENATE(BV26,(SUBSTITUTE(BV27," ","")),BV28)</f>
        <v>RuralNewConstruction5.8C</v>
      </c>
      <c r="BW23" s="1364" t="str">
        <f>CONCATENATE(BW26,(SUBSTITUTE(BW27," - ","")),BW28)</f>
        <v>RuralRehabModerate5.8C</v>
      </c>
      <c r="BX23" s="1364" t="str">
        <f>CONCATENATE(BX26,(SUBSTITUTE(BX27," - ","")),BX28)</f>
        <v>RuralRehabSubstantial5.8C</v>
      </c>
      <c r="BY23" s="1364" t="str">
        <f>CONCATENATE(BY26,(SUBSTITUTE(BY27," ","")),BY28)</f>
        <v>UrbanNewConstruction5.1</v>
      </c>
      <c r="BZ23" s="1364" t="str">
        <f>CONCATENATE(BZ26,(SUBSTITUTE(BZ27," - ","")),BZ28)</f>
        <v>UrbanRehabModerate5.1</v>
      </c>
      <c r="CA23" s="1364" t="str">
        <f>CONCATENATE(CA26,(SUBSTITUTE(CA27," - ","")),CA28)</f>
        <v>UrbanRehabSubstantial5.1</v>
      </c>
      <c r="CB23" s="1364" t="str">
        <f>CONCATENATE(CB26,(SUBSTITUTE(CB27," ","")),CB28)</f>
        <v>RuralNewConstruction5.1</v>
      </c>
      <c r="CC23" s="1364" t="str">
        <f>CONCATENATE(CC26,(SUBSTITUTE(CC27," - ","")),CC28)</f>
        <v>RuralRehabModerate5.1</v>
      </c>
      <c r="CD23" s="1364" t="str">
        <f>CONCATENATE(CD26,(SUBSTITUTE(CD27," - ","")),CD28)</f>
        <v>RuralRehabSubstantial5.1</v>
      </c>
      <c r="CE23" s="1364" t="str">
        <f>CONCATENATE(CE26,(SUBSTITUTE(CE27," ","")),CE28)</f>
        <v>UrbanNewConstruction5.11</v>
      </c>
      <c r="CF23" s="1364" t="str">
        <f>CONCATENATE(CF26,(SUBSTITUTE(CF27," - ","")),CF28)</f>
        <v>UrbanRehabModerate5.11</v>
      </c>
      <c r="CG23" s="1364" t="str">
        <f>CONCATENATE(CG26,(SUBSTITUTE(CG27," - ","")),CG28)</f>
        <v>UrbanRehabSubstantial5.11</v>
      </c>
      <c r="CH23" s="1364" t="str">
        <f>CONCATENATE(CH26,(SUBSTITUTE(CH27," ","")),CH28)</f>
        <v>RuralNewConstruction5.11</v>
      </c>
      <c r="CI23" s="1364" t="str">
        <f>CONCATENATE(CI26,(SUBSTITUTE(CI27," - ","")),CI28)</f>
        <v>RuralRehabModerate5.11</v>
      </c>
      <c r="CJ23" s="1364" t="str">
        <f>CONCATENATE(CJ26,(SUBSTITUTE(CJ27," - ","")),CJ28)</f>
        <v>RuralRehabSubstantial5.11</v>
      </c>
      <c r="CK23" s="1364" t="str">
        <f>CONCATENATE(CK26,(SUBSTITUTE(CK27," ","")),CK28)</f>
        <v>UrbanNewConstruction5.12</v>
      </c>
      <c r="CL23" s="1364" t="str">
        <f>CONCATENATE(CL26,(SUBSTITUTE(CL27," - ","")),CL28)</f>
        <v>UrbanRehabModerate5.12</v>
      </c>
      <c r="CM23" s="1364" t="str">
        <f>CONCATENATE(CM26,(SUBSTITUTE(CM27," - ","")),CM28)</f>
        <v>UrbanRehabSubstantial5.12</v>
      </c>
      <c r="CN23" s="1364" t="str">
        <f>CONCATENATE(CN26,(SUBSTITUTE(CN27," ","")),CN28)</f>
        <v>RuralNewConstruction5.12</v>
      </c>
      <c r="CO23" s="1364" t="str">
        <f>CONCATENATE(CO26,(SUBSTITUTE(CO27," - ","")),CO28)</f>
        <v>RuralRehabModerate5.12</v>
      </c>
      <c r="CP23" s="1364" t="str">
        <f>CONCATENATE(CP26,(SUBSTITUTE(CP27," - ","")),CP28)</f>
        <v>RuralRehabSubstantial5.12</v>
      </c>
      <c r="CQ23" s="1364" t="str">
        <f>CONCATENATE(CQ26,(SUBSTITUTE(CQ27," ","")),CQ28)</f>
        <v>UrbanNewConstruction5.13</v>
      </c>
      <c r="CR23" s="1364" t="str">
        <f>CONCATENATE(CR26,(SUBSTITUTE(CR27," - ","")),CR28)</f>
        <v>UrbanRehabModerate5.13</v>
      </c>
      <c r="CS23" s="1364" t="str">
        <f>CONCATENATE(CS26,(SUBSTITUTE(CS27," - ","")),CS28)</f>
        <v>UrbanRehabSubstantial5.13</v>
      </c>
      <c r="CT23" s="1364" t="str">
        <f>CONCATENATE(CT26,(SUBSTITUTE(CT27," ","")),CT28)</f>
        <v>RuralNewConstruction5.13</v>
      </c>
      <c r="CU23" s="1364" t="str">
        <f>CONCATENATE(CU26,(SUBSTITUTE(CU27," - ","")),CU28)</f>
        <v>RuralRehabModerate5.13</v>
      </c>
      <c r="CV23" s="1364" t="str">
        <f>CONCATENATE(CV26,(SUBSTITUTE(CV27," - ","")),CV28)</f>
        <v>RuralRehabSubstantial5.13</v>
      </c>
      <c r="CW23" s="1364" t="str">
        <f>CONCATENATE(CW26,(SUBSTITUTE(CW27," ","")),CW28)</f>
        <v>UrbanNewConstruction7.3A</v>
      </c>
      <c r="CX23" s="1364" t="str">
        <f>CONCATENATE(CX26,(SUBSTITUTE(CX27," - ","")),CX28)</f>
        <v>UrbanRehabModerate7.3A</v>
      </c>
      <c r="CY23" s="1364" t="str">
        <f>CONCATENATE(CY26,(SUBSTITUTE(CY27," - ","")),CY28)</f>
        <v>UrbanRehabSubstantial7.3A</v>
      </c>
      <c r="CZ23" s="1364" t="str">
        <f>CONCATENATE(CZ26,(SUBSTITUTE(CZ27," ","")),CZ28)</f>
        <v>RuralNewConstruction7.3A</v>
      </c>
      <c r="DA23" s="1364" t="str">
        <f>CONCATENATE(DA26,(SUBSTITUTE(DA27," - ","")),DA28)</f>
        <v>RuralRehabModerate7.3A</v>
      </c>
      <c r="DB23" s="1364" t="str">
        <f>CONCATENATE(DB26,(SUBSTITUTE(DB27," - ","")),DB28)</f>
        <v>RuralRehabSubstantial7.3A</v>
      </c>
      <c r="DC23" s="1364" t="str">
        <f>CONCATENATE(DC26,(SUBSTITUTE(DC27," ","")),DC28)</f>
        <v>UrbanNewConstruction7.3B</v>
      </c>
      <c r="DD23" s="1364" t="str">
        <f>CONCATENATE(DD26,(SUBSTITUTE(DD27," - ","")),DD28)</f>
        <v>UrbanRehabModerate7.3B</v>
      </c>
      <c r="DE23" s="1364" t="str">
        <f>CONCATENATE(DE26,(SUBSTITUTE(DE27," - ","")),DE28)</f>
        <v>UrbanRehabSubstantial7.3B</v>
      </c>
      <c r="DF23" s="1364" t="str">
        <f>CONCATENATE(DF26,(SUBSTITUTE(DF27," ","")),DF28)</f>
        <v>RuralNewConstruction7.3B</v>
      </c>
      <c r="DG23" s="1364" t="str">
        <f>CONCATENATE(DG26,(SUBSTITUTE(DG27," - ","")),DG28)</f>
        <v>RuralRehabModerate7.3B</v>
      </c>
      <c r="DH23" s="1364" t="str">
        <f>CONCATENATE(DH26,(SUBSTITUTE(DH27," - ","")),DH28)</f>
        <v>RuralRehabSubstantial7.3B</v>
      </c>
      <c r="DI23" s="1364" t="str">
        <f>CONCATENATE(DI26,(SUBSTITUTE(DI27," ","")),DI28)</f>
        <v>UrbanNewConstruction7.4A</v>
      </c>
      <c r="DJ23" s="1364" t="str">
        <f>CONCATENATE(DJ26,(SUBSTITUTE(DJ27," - ","")),DJ28)</f>
        <v>UrbanRehabModerate7.4A</v>
      </c>
      <c r="DK23" s="1364" t="str">
        <f>CONCATENATE(DK26,(SUBSTITUTE(DK27," - ","")),DK28)</f>
        <v>UrbanRehabSubstantial7.4A</v>
      </c>
      <c r="DL23" s="1364" t="str">
        <f>CONCATENATE(DL26,(SUBSTITUTE(DL27," ","")),DL28)</f>
        <v>RuralNewConstruction7.4A</v>
      </c>
      <c r="DM23" s="1364" t="str">
        <f>CONCATENATE(DM26,(SUBSTITUTE(DM27," - ","")),DM28)</f>
        <v>RuralRehabModerate7.4A</v>
      </c>
      <c r="DN23" s="1364" t="str">
        <f>CONCATENATE(DN26,(SUBSTITUTE(DN27," - ","")),DN28)</f>
        <v>RuralRehabSubstantial7.4A</v>
      </c>
      <c r="DO23" s="1364" t="str">
        <f>CONCATENATE(DO26,(SUBSTITUTE(DO27," ","")),DO28)</f>
        <v>UrbanNewConstruction7.4B</v>
      </c>
      <c r="DP23" s="1364" t="str">
        <f>CONCATENATE(DP26,(SUBSTITUTE(DP27," - ","")),DP28)</f>
        <v>UrbanRehabModerate7.4B</v>
      </c>
      <c r="DQ23" s="1364" t="str">
        <f>CONCATENATE(DQ26,(SUBSTITUTE(DQ27," - ","")),DQ28)</f>
        <v>UrbanRehabSubstantial7.4B</v>
      </c>
      <c r="DR23" s="1364" t="str">
        <f>CONCATENATE(DR26,(SUBSTITUTE(DR27," ","")),DR28)</f>
        <v>RuralNewConstruction7.4B</v>
      </c>
      <c r="DS23" s="1364" t="str">
        <f>CONCATENATE(DS26,(SUBSTITUTE(DS27," - ","")),DS28)</f>
        <v>RuralRehabModerate7.4B</v>
      </c>
      <c r="DT23" s="1364" t="str">
        <f>CONCATENATE(DT26,(SUBSTITUTE(DT27," - ","")),DT28)</f>
        <v>RuralRehabSubstantial7.4B</v>
      </c>
      <c r="DU23" s="1364" t="str">
        <f>CONCATENATE(DU26,(SUBSTITUTE(DU27," ","")),DU28)</f>
        <v>UrbanNewConstruction7.13A</v>
      </c>
      <c r="DV23" s="1364" t="str">
        <f>CONCATENATE(DV26,(SUBSTITUTE(DV27," - ","")),DV28)</f>
        <v>UrbanRehabModerate7.13A</v>
      </c>
      <c r="DW23" s="1364" t="str">
        <f>CONCATENATE(DW26,(SUBSTITUTE(DW27," - ","")),DW28)</f>
        <v>UrbanRehabSubstantial7.13A</v>
      </c>
      <c r="DX23" s="1364" t="str">
        <f>CONCATENATE(DX26,(SUBSTITUTE(DX27," ","")),DX28)</f>
        <v>RuralNewConstruction7.13A</v>
      </c>
      <c r="DY23" s="1364" t="str">
        <f>CONCATENATE(DY26,(SUBSTITUTE(DY27," - ","")),DY28)</f>
        <v>RuralRehabModerate7.13A</v>
      </c>
      <c r="DZ23" s="1364" t="str">
        <f>CONCATENATE(DZ26,(SUBSTITUTE(DZ27," - ","")),DZ28)</f>
        <v>RuralRehabSubstantial7.13A</v>
      </c>
      <c r="EA23" s="1364" t="str">
        <f>CONCATENATE(EA26,(SUBSTITUTE(EA27," ","")),EA28)</f>
        <v>UrbanNewConstruction7.13B</v>
      </c>
      <c r="EB23" s="1364" t="str">
        <f>CONCATENATE(EB26,(SUBSTITUTE(EB27," - ","")),EB28)</f>
        <v>UrbanRehabModerate7.13B</v>
      </c>
      <c r="EC23" s="1364" t="str">
        <f>CONCATENATE(EC26,(SUBSTITUTE(EC27," - ","")),EC28)</f>
        <v>UrbanRehabSubstantial7.13B</v>
      </c>
      <c r="ED23" s="1364" t="str">
        <f>CONCATENATE(ED26,(SUBSTITUTE(ED27," ","")),ED28)</f>
        <v>RuralNewConstruction7.13B</v>
      </c>
      <c r="EE23" s="1364" t="str">
        <f>CONCATENATE(EE26,(SUBSTITUTE(EE27," - ","")),EE28)</f>
        <v>RuralRehabModerate7.13B</v>
      </c>
      <c r="EF23" s="1364" t="str">
        <f>CONCATENATE(EF26,(SUBSTITUTE(EF27," - ","")),EF28)</f>
        <v>RuralRehabSubstantial7.13B</v>
      </c>
    </row>
    <row r="24" spans="2:136" ht="30" x14ac:dyDescent="0.25">
      <c r="D24" s="1170" t="s">
        <v>1144</v>
      </c>
    </row>
    <row r="25" spans="2:136" x14ac:dyDescent="0.25">
      <c r="D25" s="711" t="s">
        <v>1145</v>
      </c>
    </row>
    <row r="26" spans="2:136" x14ac:dyDescent="0.25">
      <c r="E26" s="1365" t="s">
        <v>854</v>
      </c>
      <c r="F26" s="1365" t="s">
        <v>854</v>
      </c>
      <c r="G26" s="1365" t="s">
        <v>854</v>
      </c>
      <c r="H26" s="1364" t="s">
        <v>853</v>
      </c>
      <c r="I26" s="1364" t="s">
        <v>853</v>
      </c>
      <c r="J26" s="1364" t="s">
        <v>853</v>
      </c>
      <c r="K26" s="1365" t="s">
        <v>854</v>
      </c>
      <c r="L26" s="1365" t="s">
        <v>854</v>
      </c>
      <c r="M26" s="1365" t="s">
        <v>854</v>
      </c>
      <c r="N26" s="1364" t="s">
        <v>853</v>
      </c>
      <c r="O26" s="1364" t="s">
        <v>853</v>
      </c>
      <c r="P26" s="1364" t="s">
        <v>853</v>
      </c>
      <c r="Q26" s="1365" t="s">
        <v>854</v>
      </c>
      <c r="R26" s="1365" t="s">
        <v>854</v>
      </c>
      <c r="S26" s="1365" t="s">
        <v>854</v>
      </c>
      <c r="T26" s="1364" t="s">
        <v>853</v>
      </c>
      <c r="U26" s="1364" t="s">
        <v>853</v>
      </c>
      <c r="V26" s="1364" t="s">
        <v>853</v>
      </c>
      <c r="W26" s="1365" t="s">
        <v>854</v>
      </c>
      <c r="X26" s="1365" t="s">
        <v>854</v>
      </c>
      <c r="Y26" s="1365" t="s">
        <v>854</v>
      </c>
      <c r="Z26" s="1364" t="s">
        <v>853</v>
      </c>
      <c r="AA26" s="1364" t="s">
        <v>853</v>
      </c>
      <c r="AB26" s="1364" t="s">
        <v>853</v>
      </c>
      <c r="AC26" s="1365" t="s">
        <v>854</v>
      </c>
      <c r="AD26" s="1365" t="s">
        <v>854</v>
      </c>
      <c r="AE26" s="1365" t="s">
        <v>854</v>
      </c>
      <c r="AF26" s="1364" t="s">
        <v>853</v>
      </c>
      <c r="AG26" s="1364" t="s">
        <v>853</v>
      </c>
      <c r="AH26" s="1364" t="s">
        <v>853</v>
      </c>
      <c r="AI26" s="1365" t="s">
        <v>854</v>
      </c>
      <c r="AJ26" s="1365" t="s">
        <v>854</v>
      </c>
      <c r="AK26" s="1365" t="s">
        <v>854</v>
      </c>
      <c r="AL26" s="1364" t="s">
        <v>853</v>
      </c>
      <c r="AM26" s="1364" t="s">
        <v>853</v>
      </c>
      <c r="AN26" s="1364" t="s">
        <v>853</v>
      </c>
      <c r="AO26" s="1365" t="s">
        <v>854</v>
      </c>
      <c r="AP26" s="1365" t="s">
        <v>854</v>
      </c>
      <c r="AQ26" s="1365" t="s">
        <v>854</v>
      </c>
      <c r="AR26" s="1364" t="s">
        <v>853</v>
      </c>
      <c r="AS26" s="1364" t="s">
        <v>853</v>
      </c>
      <c r="AT26" s="1364" t="s">
        <v>853</v>
      </c>
      <c r="AU26" s="1365" t="s">
        <v>854</v>
      </c>
      <c r="AV26" s="1365" t="s">
        <v>854</v>
      </c>
      <c r="AW26" s="1365" t="s">
        <v>854</v>
      </c>
      <c r="AX26" s="1364" t="s">
        <v>853</v>
      </c>
      <c r="AY26" s="1364" t="s">
        <v>853</v>
      </c>
      <c r="AZ26" s="1364" t="s">
        <v>853</v>
      </c>
      <c r="BA26" s="1365" t="s">
        <v>854</v>
      </c>
      <c r="BB26" s="1365" t="s">
        <v>854</v>
      </c>
      <c r="BC26" s="1365" t="s">
        <v>854</v>
      </c>
      <c r="BD26" s="1364" t="s">
        <v>853</v>
      </c>
      <c r="BE26" s="1364" t="s">
        <v>853</v>
      </c>
      <c r="BF26" s="1364" t="s">
        <v>853</v>
      </c>
      <c r="BG26" s="1365" t="s">
        <v>854</v>
      </c>
      <c r="BH26" s="1365" t="s">
        <v>854</v>
      </c>
      <c r="BI26" s="1365" t="s">
        <v>854</v>
      </c>
      <c r="BJ26" s="1364" t="s">
        <v>853</v>
      </c>
      <c r="BK26" s="1364" t="s">
        <v>853</v>
      </c>
      <c r="BL26" s="1364" t="s">
        <v>853</v>
      </c>
      <c r="BM26" s="1365" t="s">
        <v>854</v>
      </c>
      <c r="BN26" s="1365" t="s">
        <v>854</v>
      </c>
      <c r="BO26" s="1365" t="s">
        <v>854</v>
      </c>
      <c r="BP26" s="1364" t="s">
        <v>853</v>
      </c>
      <c r="BQ26" s="1364" t="s">
        <v>853</v>
      </c>
      <c r="BR26" s="1364" t="s">
        <v>853</v>
      </c>
      <c r="BS26" s="1365" t="s">
        <v>854</v>
      </c>
      <c r="BT26" s="1365" t="s">
        <v>854</v>
      </c>
      <c r="BU26" s="1365" t="s">
        <v>854</v>
      </c>
      <c r="BV26" s="1364" t="s">
        <v>853</v>
      </c>
      <c r="BW26" s="1364" t="s">
        <v>853</v>
      </c>
      <c r="BX26" s="1364" t="s">
        <v>853</v>
      </c>
      <c r="BY26" s="1365" t="s">
        <v>854</v>
      </c>
      <c r="BZ26" s="1365" t="s">
        <v>854</v>
      </c>
      <c r="CA26" s="1365" t="s">
        <v>854</v>
      </c>
      <c r="CB26" s="1364" t="s">
        <v>853</v>
      </c>
      <c r="CC26" s="1364" t="s">
        <v>853</v>
      </c>
      <c r="CD26" s="1364" t="s">
        <v>853</v>
      </c>
      <c r="CE26" s="1365" t="s">
        <v>854</v>
      </c>
      <c r="CF26" s="1365" t="s">
        <v>854</v>
      </c>
      <c r="CG26" s="1365" t="s">
        <v>854</v>
      </c>
      <c r="CH26" s="1364" t="s">
        <v>853</v>
      </c>
      <c r="CI26" s="1364" t="s">
        <v>853</v>
      </c>
      <c r="CJ26" s="1364" t="s">
        <v>853</v>
      </c>
      <c r="CK26" s="1365" t="s">
        <v>854</v>
      </c>
      <c r="CL26" s="1365" t="s">
        <v>854</v>
      </c>
      <c r="CM26" s="1365" t="s">
        <v>854</v>
      </c>
      <c r="CN26" s="1364" t="s">
        <v>853</v>
      </c>
      <c r="CO26" s="1364" t="s">
        <v>853</v>
      </c>
      <c r="CP26" s="1364" t="s">
        <v>853</v>
      </c>
      <c r="CQ26" s="1365" t="s">
        <v>854</v>
      </c>
      <c r="CR26" s="1365" t="s">
        <v>854</v>
      </c>
      <c r="CS26" s="1365" t="s">
        <v>854</v>
      </c>
      <c r="CT26" s="1364" t="s">
        <v>853</v>
      </c>
      <c r="CU26" s="1364" t="s">
        <v>853</v>
      </c>
      <c r="CV26" s="1364" t="s">
        <v>853</v>
      </c>
      <c r="CW26" s="1365" t="s">
        <v>854</v>
      </c>
      <c r="CX26" s="1365" t="s">
        <v>854</v>
      </c>
      <c r="CY26" s="1365" t="s">
        <v>854</v>
      </c>
      <c r="CZ26" s="1364" t="s">
        <v>853</v>
      </c>
      <c r="DA26" s="1364" t="s">
        <v>853</v>
      </c>
      <c r="DB26" s="1364" t="s">
        <v>853</v>
      </c>
      <c r="DC26" s="1365" t="s">
        <v>854</v>
      </c>
      <c r="DD26" s="1365" t="s">
        <v>854</v>
      </c>
      <c r="DE26" s="1365" t="s">
        <v>854</v>
      </c>
      <c r="DF26" s="1364" t="s">
        <v>853</v>
      </c>
      <c r="DG26" s="1364" t="s">
        <v>853</v>
      </c>
      <c r="DH26" s="1364" t="s">
        <v>853</v>
      </c>
      <c r="DI26" s="1365" t="s">
        <v>854</v>
      </c>
      <c r="DJ26" s="1365" t="s">
        <v>854</v>
      </c>
      <c r="DK26" s="1365" t="s">
        <v>854</v>
      </c>
      <c r="DL26" s="1364" t="s">
        <v>853</v>
      </c>
      <c r="DM26" s="1364" t="s">
        <v>853</v>
      </c>
      <c r="DN26" s="1364" t="s">
        <v>853</v>
      </c>
      <c r="DO26" s="1365" t="s">
        <v>854</v>
      </c>
      <c r="DP26" s="1365" t="s">
        <v>854</v>
      </c>
      <c r="DQ26" s="1365" t="s">
        <v>854</v>
      </c>
      <c r="DR26" s="1364" t="s">
        <v>853</v>
      </c>
      <c r="DS26" s="1364" t="s">
        <v>853</v>
      </c>
      <c r="DT26" s="1364" t="s">
        <v>853</v>
      </c>
      <c r="DU26" s="1365" t="s">
        <v>854</v>
      </c>
      <c r="DV26" s="1365" t="s">
        <v>854</v>
      </c>
      <c r="DW26" s="1365" t="s">
        <v>854</v>
      </c>
      <c r="DX26" s="1364" t="s">
        <v>853</v>
      </c>
      <c r="DY26" s="1364" t="s">
        <v>853</v>
      </c>
      <c r="DZ26" s="1364" t="s">
        <v>853</v>
      </c>
      <c r="EA26" s="1365" t="s">
        <v>854</v>
      </c>
      <c r="EB26" s="1365" t="s">
        <v>854</v>
      </c>
      <c r="EC26" s="1365" t="s">
        <v>854</v>
      </c>
      <c r="ED26" s="1364" t="s">
        <v>853</v>
      </c>
      <c r="EE26" s="1364" t="s">
        <v>853</v>
      </c>
      <c r="EF26" s="1364" t="s">
        <v>853</v>
      </c>
    </row>
    <row r="27" spans="2:136" x14ac:dyDescent="0.25">
      <c r="E27" s="711" t="s">
        <v>28</v>
      </c>
      <c r="F27" s="711" t="s">
        <v>1146</v>
      </c>
      <c r="G27" s="711" t="s">
        <v>1147</v>
      </c>
      <c r="H27" s="711" t="s">
        <v>28</v>
      </c>
      <c r="I27" s="711" t="s">
        <v>1146</v>
      </c>
      <c r="J27" s="711" t="s">
        <v>1147</v>
      </c>
      <c r="K27" s="711" t="s">
        <v>28</v>
      </c>
      <c r="L27" s="711" t="s">
        <v>1146</v>
      </c>
      <c r="M27" s="711" t="s">
        <v>1147</v>
      </c>
      <c r="N27" s="711" t="s">
        <v>28</v>
      </c>
      <c r="O27" s="711" t="s">
        <v>1146</v>
      </c>
      <c r="P27" s="711" t="s">
        <v>1147</v>
      </c>
      <c r="Q27" s="711" t="s">
        <v>28</v>
      </c>
      <c r="R27" s="711" t="s">
        <v>1146</v>
      </c>
      <c r="S27" s="711" t="s">
        <v>1147</v>
      </c>
      <c r="T27" s="711" t="s">
        <v>28</v>
      </c>
      <c r="U27" s="711" t="s">
        <v>1146</v>
      </c>
      <c r="V27" s="711" t="s">
        <v>1147</v>
      </c>
      <c r="W27" s="711" t="s">
        <v>28</v>
      </c>
      <c r="X27" s="711" t="s">
        <v>1146</v>
      </c>
      <c r="Y27" s="711" t="s">
        <v>1147</v>
      </c>
      <c r="Z27" s="711" t="s">
        <v>28</v>
      </c>
      <c r="AA27" s="711" t="s">
        <v>1146</v>
      </c>
      <c r="AB27" s="711" t="s">
        <v>1147</v>
      </c>
      <c r="AC27" s="711" t="s">
        <v>28</v>
      </c>
      <c r="AD27" s="711" t="s">
        <v>1146</v>
      </c>
      <c r="AE27" s="711" t="s">
        <v>1147</v>
      </c>
      <c r="AF27" s="711" t="s">
        <v>28</v>
      </c>
      <c r="AG27" s="711" t="s">
        <v>1146</v>
      </c>
      <c r="AH27" s="711" t="s">
        <v>1147</v>
      </c>
      <c r="AI27" s="711" t="s">
        <v>28</v>
      </c>
      <c r="AJ27" s="711" t="s">
        <v>1146</v>
      </c>
      <c r="AK27" s="711" t="s">
        <v>1147</v>
      </c>
      <c r="AL27" s="711" t="s">
        <v>28</v>
      </c>
      <c r="AM27" s="711" t="s">
        <v>1146</v>
      </c>
      <c r="AN27" s="711" t="s">
        <v>1147</v>
      </c>
      <c r="AO27" s="711" t="s">
        <v>28</v>
      </c>
      <c r="AP27" s="711" t="s">
        <v>1146</v>
      </c>
      <c r="AQ27" s="711" t="s">
        <v>1147</v>
      </c>
      <c r="AR27" s="711" t="s">
        <v>28</v>
      </c>
      <c r="AS27" s="711" t="s">
        <v>1146</v>
      </c>
      <c r="AT27" s="711" t="s">
        <v>1147</v>
      </c>
      <c r="AU27" s="711" t="s">
        <v>28</v>
      </c>
      <c r="AV27" s="711" t="s">
        <v>1146</v>
      </c>
      <c r="AW27" s="711" t="s">
        <v>1147</v>
      </c>
      <c r="AX27" s="711" t="s">
        <v>28</v>
      </c>
      <c r="AY27" s="711" t="s">
        <v>1146</v>
      </c>
      <c r="AZ27" s="711" t="s">
        <v>1147</v>
      </c>
      <c r="BA27" s="711" t="s">
        <v>28</v>
      </c>
      <c r="BB27" s="711" t="s">
        <v>1146</v>
      </c>
      <c r="BC27" s="711" t="s">
        <v>1147</v>
      </c>
      <c r="BD27" s="711" t="s">
        <v>28</v>
      </c>
      <c r="BE27" s="711" t="s">
        <v>1146</v>
      </c>
      <c r="BF27" s="711" t="s">
        <v>1147</v>
      </c>
      <c r="BG27" s="711" t="s">
        <v>28</v>
      </c>
      <c r="BH27" s="711" t="s">
        <v>1146</v>
      </c>
      <c r="BI27" s="711" t="s">
        <v>1147</v>
      </c>
      <c r="BJ27" s="711" t="s">
        <v>28</v>
      </c>
      <c r="BK27" s="711" t="s">
        <v>1146</v>
      </c>
      <c r="BL27" s="711" t="s">
        <v>1147</v>
      </c>
      <c r="BM27" s="711" t="s">
        <v>28</v>
      </c>
      <c r="BN27" s="711" t="s">
        <v>1146</v>
      </c>
      <c r="BO27" s="711" t="s">
        <v>1147</v>
      </c>
      <c r="BP27" s="711" t="s">
        <v>28</v>
      </c>
      <c r="BQ27" s="711" t="s">
        <v>1146</v>
      </c>
      <c r="BR27" s="711" t="s">
        <v>1147</v>
      </c>
      <c r="BS27" s="711" t="s">
        <v>28</v>
      </c>
      <c r="BT27" s="711" t="s">
        <v>1146</v>
      </c>
      <c r="BU27" s="711" t="s">
        <v>1147</v>
      </c>
      <c r="BV27" s="711" t="s">
        <v>28</v>
      </c>
      <c r="BW27" s="711" t="s">
        <v>1146</v>
      </c>
      <c r="BX27" s="711" t="s">
        <v>1147</v>
      </c>
      <c r="BY27" s="711" t="s">
        <v>28</v>
      </c>
      <c r="BZ27" s="711" t="s">
        <v>1146</v>
      </c>
      <c r="CA27" s="711" t="s">
        <v>1147</v>
      </c>
      <c r="CB27" s="711" t="s">
        <v>28</v>
      </c>
      <c r="CC27" s="711" t="s">
        <v>1146</v>
      </c>
      <c r="CD27" s="711" t="s">
        <v>1147</v>
      </c>
      <c r="CE27" s="711" t="s">
        <v>28</v>
      </c>
      <c r="CF27" s="711" t="s">
        <v>1146</v>
      </c>
      <c r="CG27" s="711" t="s">
        <v>1147</v>
      </c>
      <c r="CH27" s="711" t="s">
        <v>28</v>
      </c>
      <c r="CI27" s="711" t="s">
        <v>1146</v>
      </c>
      <c r="CJ27" s="711" t="s">
        <v>1147</v>
      </c>
      <c r="CK27" s="711" t="s">
        <v>28</v>
      </c>
      <c r="CL27" s="711" t="s">
        <v>1146</v>
      </c>
      <c r="CM27" s="711" t="s">
        <v>1147</v>
      </c>
      <c r="CN27" s="711" t="s">
        <v>28</v>
      </c>
      <c r="CO27" s="711" t="s">
        <v>1146</v>
      </c>
      <c r="CP27" s="711" t="s">
        <v>1147</v>
      </c>
      <c r="CQ27" s="711" t="s">
        <v>28</v>
      </c>
      <c r="CR27" s="711" t="s">
        <v>1146</v>
      </c>
      <c r="CS27" s="711" t="s">
        <v>1147</v>
      </c>
      <c r="CT27" s="711" t="s">
        <v>28</v>
      </c>
      <c r="CU27" s="711" t="s">
        <v>1146</v>
      </c>
      <c r="CV27" s="711" t="s">
        <v>1147</v>
      </c>
      <c r="CW27" s="711" t="s">
        <v>28</v>
      </c>
      <c r="CX27" s="711" t="s">
        <v>1146</v>
      </c>
      <c r="CY27" s="711" t="s">
        <v>1147</v>
      </c>
      <c r="CZ27" s="711" t="s">
        <v>28</v>
      </c>
      <c r="DA27" s="711" t="s">
        <v>1146</v>
      </c>
      <c r="DB27" s="711" t="s">
        <v>1147</v>
      </c>
      <c r="DC27" s="711" t="s">
        <v>28</v>
      </c>
      <c r="DD27" s="711" t="s">
        <v>1146</v>
      </c>
      <c r="DE27" s="711" t="s">
        <v>1147</v>
      </c>
      <c r="DF27" s="711" t="s">
        <v>28</v>
      </c>
      <c r="DG27" s="711" t="s">
        <v>1146</v>
      </c>
      <c r="DH27" s="711" t="s">
        <v>1147</v>
      </c>
      <c r="DI27" s="711" t="s">
        <v>28</v>
      </c>
      <c r="DJ27" s="711" t="s">
        <v>1146</v>
      </c>
      <c r="DK27" s="711" t="s">
        <v>1147</v>
      </c>
      <c r="DL27" s="711" t="s">
        <v>28</v>
      </c>
      <c r="DM27" s="711" t="s">
        <v>1146</v>
      </c>
      <c r="DN27" s="711" t="s">
        <v>1147</v>
      </c>
      <c r="DO27" s="711" t="s">
        <v>28</v>
      </c>
      <c r="DP27" s="711" t="s">
        <v>1146</v>
      </c>
      <c r="DQ27" s="711" t="s">
        <v>1147</v>
      </c>
      <c r="DR27" s="711" t="s">
        <v>28</v>
      </c>
      <c r="DS27" s="711" t="s">
        <v>1146</v>
      </c>
      <c r="DT27" s="711" t="s">
        <v>1147</v>
      </c>
      <c r="DU27" s="711" t="s">
        <v>28</v>
      </c>
      <c r="DV27" s="711" t="s">
        <v>1146</v>
      </c>
      <c r="DW27" s="711" t="s">
        <v>1147</v>
      </c>
      <c r="DX27" s="711" t="s">
        <v>28</v>
      </c>
      <c r="DY27" s="711" t="s">
        <v>1146</v>
      </c>
      <c r="DZ27" s="711" t="s">
        <v>1147</v>
      </c>
      <c r="EA27" s="711" t="s">
        <v>28</v>
      </c>
      <c r="EB27" s="711" t="s">
        <v>1146</v>
      </c>
      <c r="EC27" s="711" t="s">
        <v>1147</v>
      </c>
      <c r="ED27" s="711" t="s">
        <v>28</v>
      </c>
      <c r="EE27" s="711" t="s">
        <v>1146</v>
      </c>
      <c r="EF27" s="711" t="s">
        <v>1147</v>
      </c>
    </row>
    <row r="28" spans="2:136" x14ac:dyDescent="0.25">
      <c r="E28" s="711">
        <v>2.2000000000000002</v>
      </c>
      <c r="F28" s="711">
        <v>2.2000000000000002</v>
      </c>
      <c r="G28" s="711">
        <v>2.2000000000000002</v>
      </c>
      <c r="H28" s="711">
        <v>2.2000000000000002</v>
      </c>
      <c r="I28" s="711">
        <v>2.2000000000000002</v>
      </c>
      <c r="J28" s="711">
        <v>2.2000000000000002</v>
      </c>
      <c r="K28" s="711" t="s">
        <v>729</v>
      </c>
      <c r="L28" s="711" t="s">
        <v>729</v>
      </c>
      <c r="M28" s="711" t="s">
        <v>729</v>
      </c>
      <c r="N28" s="711" t="s">
        <v>729</v>
      </c>
      <c r="O28" s="711" t="s">
        <v>729</v>
      </c>
      <c r="P28" s="711" t="s">
        <v>729</v>
      </c>
      <c r="Q28" s="711" t="s">
        <v>731</v>
      </c>
      <c r="R28" s="711" t="s">
        <v>731</v>
      </c>
      <c r="S28" s="711" t="s">
        <v>731</v>
      </c>
      <c r="T28" s="711" t="s">
        <v>731</v>
      </c>
      <c r="U28" s="711" t="s">
        <v>731</v>
      </c>
      <c r="V28" s="711" t="s">
        <v>731</v>
      </c>
      <c r="W28" s="711">
        <v>4.2</v>
      </c>
      <c r="X28" s="711">
        <v>4.2</v>
      </c>
      <c r="Y28" s="711">
        <v>4.2</v>
      </c>
      <c r="Z28" s="711">
        <v>4.2</v>
      </c>
      <c r="AA28" s="711">
        <v>4.2</v>
      </c>
      <c r="AB28" s="711">
        <v>4.2</v>
      </c>
      <c r="AC28" s="711" t="s">
        <v>759</v>
      </c>
      <c r="AD28" s="711" t="s">
        <v>759</v>
      </c>
      <c r="AE28" s="711" t="s">
        <v>759</v>
      </c>
      <c r="AF28" s="711" t="s">
        <v>759</v>
      </c>
      <c r="AG28" s="711" t="s">
        <v>759</v>
      </c>
      <c r="AH28" s="711" t="s">
        <v>759</v>
      </c>
      <c r="AI28" s="711" t="s">
        <v>761</v>
      </c>
      <c r="AJ28" s="711" t="s">
        <v>761</v>
      </c>
      <c r="AK28" s="711" t="s">
        <v>761</v>
      </c>
      <c r="AL28" s="711" t="s">
        <v>761</v>
      </c>
      <c r="AM28" s="711" t="s">
        <v>761</v>
      </c>
      <c r="AN28" s="711" t="s">
        <v>761</v>
      </c>
      <c r="AO28" s="711" t="s">
        <v>763</v>
      </c>
      <c r="AP28" s="711" t="s">
        <v>763</v>
      </c>
      <c r="AQ28" s="711" t="s">
        <v>763</v>
      </c>
      <c r="AR28" s="711" t="s">
        <v>763</v>
      </c>
      <c r="AS28" s="711" t="s">
        <v>763</v>
      </c>
      <c r="AT28" s="711" t="s">
        <v>763</v>
      </c>
      <c r="AU28" s="711" t="s">
        <v>765</v>
      </c>
      <c r="AV28" s="711" t="s">
        <v>765</v>
      </c>
      <c r="AW28" s="711" t="s">
        <v>765</v>
      </c>
      <c r="AX28" s="711" t="s">
        <v>765</v>
      </c>
      <c r="AY28" s="711" t="s">
        <v>765</v>
      </c>
      <c r="AZ28" s="711" t="s">
        <v>765</v>
      </c>
      <c r="BA28" s="711" t="s">
        <v>771</v>
      </c>
      <c r="BB28" s="711" t="s">
        <v>771</v>
      </c>
      <c r="BC28" s="711" t="s">
        <v>771</v>
      </c>
      <c r="BD28" s="711" t="s">
        <v>771</v>
      </c>
      <c r="BE28" s="711" t="s">
        <v>771</v>
      </c>
      <c r="BF28" s="711" t="s">
        <v>771</v>
      </c>
      <c r="BG28" s="711" t="s">
        <v>773</v>
      </c>
      <c r="BH28" s="711" t="s">
        <v>773</v>
      </c>
      <c r="BI28" s="711" t="s">
        <v>773</v>
      </c>
      <c r="BJ28" s="711" t="s">
        <v>773</v>
      </c>
      <c r="BK28" s="711" t="s">
        <v>773</v>
      </c>
      <c r="BL28" s="711" t="s">
        <v>773</v>
      </c>
      <c r="BM28" s="711" t="s">
        <v>775</v>
      </c>
      <c r="BN28" s="711" t="s">
        <v>775</v>
      </c>
      <c r="BO28" s="711" t="s">
        <v>775</v>
      </c>
      <c r="BP28" s="711" t="s">
        <v>775</v>
      </c>
      <c r="BQ28" s="711" t="s">
        <v>775</v>
      </c>
      <c r="BR28" s="711" t="s">
        <v>775</v>
      </c>
      <c r="BS28" s="711" t="s">
        <v>779</v>
      </c>
      <c r="BT28" s="711" t="s">
        <v>779</v>
      </c>
      <c r="BU28" s="711" t="s">
        <v>779</v>
      </c>
      <c r="BV28" s="711" t="s">
        <v>779</v>
      </c>
      <c r="BW28" s="711" t="s">
        <v>779</v>
      </c>
      <c r="BX28" s="711" t="s">
        <v>779</v>
      </c>
      <c r="BY28" s="1359">
        <v>5.0999999999999996</v>
      </c>
      <c r="BZ28" s="1359">
        <v>5.0999999999999996</v>
      </c>
      <c r="CA28" s="1359">
        <v>5.0999999999999996</v>
      </c>
      <c r="CB28" s="1359">
        <v>5.0999999999999996</v>
      </c>
      <c r="CC28" s="1359">
        <v>5.0999999999999996</v>
      </c>
      <c r="CD28" s="1359">
        <v>5.0999999999999996</v>
      </c>
      <c r="CE28" s="711">
        <v>5.1100000000000003</v>
      </c>
      <c r="CF28" s="711">
        <v>5.1100000000000003</v>
      </c>
      <c r="CG28" s="711">
        <v>5.1100000000000003</v>
      </c>
      <c r="CH28" s="711">
        <v>5.1100000000000003</v>
      </c>
      <c r="CI28" s="711">
        <v>5.1100000000000003</v>
      </c>
      <c r="CJ28" s="711">
        <v>5.1100000000000003</v>
      </c>
      <c r="CK28" s="711">
        <v>5.12</v>
      </c>
      <c r="CL28" s="711">
        <v>5.12</v>
      </c>
      <c r="CM28" s="711">
        <v>5.12</v>
      </c>
      <c r="CN28" s="711">
        <v>5.12</v>
      </c>
      <c r="CO28" s="711">
        <v>5.12</v>
      </c>
      <c r="CP28" s="711">
        <v>5.12</v>
      </c>
      <c r="CQ28" s="711">
        <v>5.13</v>
      </c>
      <c r="CR28" s="711">
        <v>5.13</v>
      </c>
      <c r="CS28" s="711">
        <v>5.13</v>
      </c>
      <c r="CT28" s="711">
        <v>5.13</v>
      </c>
      <c r="CU28" s="711">
        <v>5.13</v>
      </c>
      <c r="CV28" s="711">
        <v>5.13</v>
      </c>
      <c r="CW28" s="711" t="s">
        <v>803</v>
      </c>
      <c r="CX28" s="711" t="s">
        <v>803</v>
      </c>
      <c r="CY28" s="711" t="s">
        <v>803</v>
      </c>
      <c r="CZ28" s="711" t="s">
        <v>803</v>
      </c>
      <c r="DA28" s="711" t="s">
        <v>803</v>
      </c>
      <c r="DB28" s="711" t="s">
        <v>803</v>
      </c>
      <c r="DC28" s="711" t="s">
        <v>805</v>
      </c>
      <c r="DD28" s="711" t="s">
        <v>805</v>
      </c>
      <c r="DE28" s="711" t="s">
        <v>805</v>
      </c>
      <c r="DF28" s="711" t="s">
        <v>805</v>
      </c>
      <c r="DG28" s="711" t="s">
        <v>805</v>
      </c>
      <c r="DH28" s="711" t="s">
        <v>805</v>
      </c>
      <c r="DI28" s="711" t="s">
        <v>806</v>
      </c>
      <c r="DJ28" s="711" t="s">
        <v>806</v>
      </c>
      <c r="DK28" s="711" t="s">
        <v>806</v>
      </c>
      <c r="DL28" s="711" t="s">
        <v>806</v>
      </c>
      <c r="DM28" s="711" t="s">
        <v>806</v>
      </c>
      <c r="DN28" s="711" t="s">
        <v>806</v>
      </c>
      <c r="DO28" s="711" t="s">
        <v>808</v>
      </c>
      <c r="DP28" s="711" t="s">
        <v>808</v>
      </c>
      <c r="DQ28" s="711" t="s">
        <v>808</v>
      </c>
      <c r="DR28" s="711" t="s">
        <v>808</v>
      </c>
      <c r="DS28" s="711" t="s">
        <v>808</v>
      </c>
      <c r="DT28" s="711" t="s">
        <v>808</v>
      </c>
      <c r="DU28" s="711" t="s">
        <v>818</v>
      </c>
      <c r="DV28" s="711" t="s">
        <v>818</v>
      </c>
      <c r="DW28" s="711" t="s">
        <v>818</v>
      </c>
      <c r="DX28" s="711" t="s">
        <v>818</v>
      </c>
      <c r="DY28" s="711" t="s">
        <v>818</v>
      </c>
      <c r="DZ28" s="711" t="s">
        <v>818</v>
      </c>
      <c r="EA28" s="711" t="s">
        <v>820</v>
      </c>
      <c r="EB28" s="711" t="s">
        <v>820</v>
      </c>
      <c r="EC28" s="711" t="s">
        <v>820</v>
      </c>
      <c r="ED28" s="711" t="s">
        <v>820</v>
      </c>
      <c r="EE28" s="711" t="s">
        <v>820</v>
      </c>
      <c r="EF28" s="711" t="s">
        <v>820</v>
      </c>
    </row>
  </sheetData>
  <sheetProtection password="D666" sheet="1" objects="1" scenarios="1"/>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workbookViewId="0">
      <selection activeCell="C85" sqref="C85"/>
    </sheetView>
  </sheetViews>
  <sheetFormatPr defaultColWidth="8.85546875" defaultRowHeight="12.75" x14ac:dyDescent="0.2"/>
  <cols>
    <col min="1" max="2" width="1.7109375" style="1373" customWidth="1"/>
    <col min="3" max="3" width="29.140625" style="1373" bestFit="1" customWidth="1"/>
    <col min="4" max="4" width="68.85546875" style="1373" bestFit="1" customWidth="1"/>
    <col min="5" max="5" width="6.42578125" style="1373" bestFit="1" customWidth="1"/>
    <col min="6" max="6" width="1.7109375" style="1373" customWidth="1"/>
    <col min="7" max="16384" width="8.85546875" style="1373"/>
  </cols>
  <sheetData>
    <row r="2" spans="2:6" ht="9" customHeight="1" thickBot="1" x14ac:dyDescent="0.25"/>
    <row r="3" spans="2:6" ht="9" customHeight="1" thickBot="1" x14ac:dyDescent="0.25">
      <c r="B3" s="1374"/>
      <c r="C3" s="1375"/>
      <c r="D3" s="1375"/>
      <c r="E3" s="1375"/>
      <c r="F3" s="1376"/>
    </row>
    <row r="4" spans="2:6" ht="13.5" thickBot="1" x14ac:dyDescent="0.25">
      <c r="B4" s="1377"/>
      <c r="C4" s="1378" t="s">
        <v>1156</v>
      </c>
      <c r="D4" s="1379"/>
      <c r="E4" s="1380"/>
      <c r="F4" s="1381"/>
    </row>
    <row r="5" spans="2:6" ht="13.5" thickBot="1" x14ac:dyDescent="0.25">
      <c r="B5" s="1377"/>
      <c r="C5" s="1382"/>
      <c r="D5" s="1382"/>
      <c r="E5" s="1382"/>
      <c r="F5" s="1381"/>
    </row>
    <row r="6" spans="2:6" ht="13.5" thickBot="1" x14ac:dyDescent="0.25">
      <c r="B6" s="1377"/>
      <c r="C6" s="1383" t="s">
        <v>88</v>
      </c>
      <c r="D6" s="1384" t="s">
        <v>89</v>
      </c>
      <c r="E6" s="1385"/>
      <c r="F6" s="1381"/>
    </row>
    <row r="7" spans="2:6" x14ac:dyDescent="0.2">
      <c r="B7" s="1377"/>
      <c r="C7" s="1386" t="s">
        <v>90</v>
      </c>
      <c r="D7" s="1386" t="s">
        <v>91</v>
      </c>
      <c r="E7" s="1386" t="b">
        <f>IF((IFERROR(MATCH(D7,'5'!$D$16:$D$77,0),0))&lt;&gt;0,TRUE,FALSE)</f>
        <v>0</v>
      </c>
      <c r="F7" s="1381"/>
    </row>
    <row r="8" spans="2:6" x14ac:dyDescent="0.2">
      <c r="B8" s="1377"/>
      <c r="C8" s="1386" t="s">
        <v>92</v>
      </c>
      <c r="D8" s="1386" t="s">
        <v>93</v>
      </c>
      <c r="E8" s="1386" t="b">
        <f>IF((IFERROR(MATCH(D8,'5'!$D$16:$D$77,0),0))&lt;&gt;0,TRUE,FALSE)</f>
        <v>1</v>
      </c>
      <c r="F8" s="1381"/>
    </row>
    <row r="9" spans="2:6" x14ac:dyDescent="0.2">
      <c r="B9" s="1377"/>
      <c r="C9" s="1386" t="s">
        <v>92</v>
      </c>
      <c r="D9" s="1386" t="s">
        <v>94</v>
      </c>
      <c r="E9" s="1386" t="b">
        <f>IF((IFERROR(MATCH(D9,'5'!$D$16:$D$77,0),0))&lt;&gt;0,TRUE,FALSE)</f>
        <v>1</v>
      </c>
      <c r="F9" s="1381"/>
    </row>
    <row r="10" spans="2:6" x14ac:dyDescent="0.2">
      <c r="B10" s="1377"/>
      <c r="C10" s="1386" t="s">
        <v>1157</v>
      </c>
      <c r="D10" s="1386" t="s">
        <v>96</v>
      </c>
      <c r="E10" s="1386" t="b">
        <f>IF((IFERROR(MATCH(D10,'5'!$D$16:$D$77,0),0))&lt;&gt;0,TRUE,FALSE)</f>
        <v>1</v>
      </c>
      <c r="F10" s="1381"/>
    </row>
    <row r="11" spans="2:6" x14ac:dyDescent="0.2">
      <c r="B11" s="1377"/>
      <c r="C11" s="1386" t="s">
        <v>1157</v>
      </c>
      <c r="D11" s="1386" t="s">
        <v>97</v>
      </c>
      <c r="E11" s="1386" t="b">
        <f>IF((IFERROR(MATCH(D11,'5'!$D$16:$D$77,0),0))&lt;&gt;0,TRUE,FALSE)</f>
        <v>1</v>
      </c>
      <c r="F11" s="1381"/>
    </row>
    <row r="12" spans="2:6" x14ac:dyDescent="0.2">
      <c r="B12" s="1377"/>
      <c r="C12" s="1386" t="s">
        <v>1157</v>
      </c>
      <c r="D12" s="1386" t="s">
        <v>98</v>
      </c>
      <c r="E12" s="1386" t="b">
        <f>IF((IFERROR(MATCH(D12,'5'!$D$16:$D$77,0),0))&lt;&gt;0,TRUE,FALSE)</f>
        <v>1</v>
      </c>
      <c r="F12" s="1381"/>
    </row>
    <row r="13" spans="2:6" x14ac:dyDescent="0.2">
      <c r="B13" s="1377"/>
      <c r="C13" s="1386" t="s">
        <v>1157</v>
      </c>
      <c r="D13" s="1386" t="s">
        <v>99</v>
      </c>
      <c r="E13" s="1386" t="b">
        <f>IF((IFERROR(MATCH(D13,'5'!$D$16:$D$77,0),0))&lt;&gt;0,TRUE,FALSE)</f>
        <v>1</v>
      </c>
      <c r="F13" s="1381"/>
    </row>
    <row r="14" spans="2:6" x14ac:dyDescent="0.2">
      <c r="B14" s="1377"/>
      <c r="C14" s="1386" t="s">
        <v>1157</v>
      </c>
      <c r="D14" s="1386" t="s">
        <v>100</v>
      </c>
      <c r="E14" s="1386" t="b">
        <f>IF((IFERROR(MATCH(D14,'5'!$D$16:$D$77,0),0))&lt;&gt;0,TRUE,FALSE)</f>
        <v>0</v>
      </c>
      <c r="F14" s="1381"/>
    </row>
    <row r="15" spans="2:6" x14ac:dyDescent="0.2">
      <c r="B15" s="1377"/>
      <c r="C15" s="1386" t="s">
        <v>1157</v>
      </c>
      <c r="D15" s="1386" t="s">
        <v>101</v>
      </c>
      <c r="E15" s="1386" t="b">
        <f>IF((IFERROR(MATCH(D15,'5'!$D$16:$D$77,0),0))&lt;&gt;0,TRUE,FALSE)</f>
        <v>1</v>
      </c>
      <c r="F15" s="1381"/>
    </row>
    <row r="16" spans="2:6" x14ac:dyDescent="0.2">
      <c r="B16" s="1377"/>
      <c r="C16" s="1386" t="s">
        <v>1157</v>
      </c>
      <c r="D16" s="1386" t="s">
        <v>102</v>
      </c>
      <c r="E16" s="1386" t="b">
        <f>IF((IFERROR(MATCH(D16,'5'!$D$16:$D$77,0),0))&lt;&gt;0,TRUE,FALSE)</f>
        <v>1</v>
      </c>
      <c r="F16" s="1381"/>
    </row>
    <row r="17" spans="2:8" x14ac:dyDescent="0.2">
      <c r="B17" s="1377"/>
      <c r="C17" s="1386" t="s">
        <v>1157</v>
      </c>
      <c r="D17" s="1386" t="s">
        <v>103</v>
      </c>
      <c r="E17" s="1386" t="b">
        <f>IF((IFERROR(MATCH(D17,'5'!$D$16:$D$77,0),0))&lt;&gt;0,TRUE,FALSE)</f>
        <v>1</v>
      </c>
      <c r="F17" s="1381"/>
    </row>
    <row r="18" spans="2:8" x14ac:dyDescent="0.2">
      <c r="B18" s="1377"/>
      <c r="C18" s="1386" t="s">
        <v>1157</v>
      </c>
      <c r="D18" s="1386" t="s">
        <v>104</v>
      </c>
      <c r="E18" s="1386" t="b">
        <f>IF((IFERROR(MATCH(D18,'5'!$D$16:$D$77,0),0))&lt;&gt;0,TRUE,FALSE)</f>
        <v>1</v>
      </c>
      <c r="F18" s="1381"/>
    </row>
    <row r="19" spans="2:8" x14ac:dyDescent="0.2">
      <c r="B19" s="1377"/>
      <c r="C19" s="1386" t="s">
        <v>1157</v>
      </c>
      <c r="D19" s="1386" t="s">
        <v>105</v>
      </c>
      <c r="E19" s="1386" t="b">
        <f>IF((IFERROR(MATCH(D19,'5'!$D$16:$D$77,0),0))&lt;&gt;0,TRUE,FALSE)</f>
        <v>1</v>
      </c>
      <c r="F19" s="1381"/>
    </row>
    <row r="20" spans="2:8" x14ac:dyDescent="0.2">
      <c r="B20" s="1377"/>
      <c r="C20" s="1386" t="s">
        <v>106</v>
      </c>
      <c r="D20" s="1386" t="s">
        <v>107</v>
      </c>
      <c r="E20" s="1386" t="b">
        <f>IF((IFERROR(MATCH(D20,'5'!$D$16:$D$77,0),0))&lt;&gt;0,TRUE,FALSE)</f>
        <v>1</v>
      </c>
      <c r="F20" s="1381"/>
    </row>
    <row r="21" spans="2:8" x14ac:dyDescent="0.2">
      <c r="B21" s="1377"/>
      <c r="C21" s="1386" t="s">
        <v>106</v>
      </c>
      <c r="D21" s="1386" t="s">
        <v>108</v>
      </c>
      <c r="E21" s="1386" t="b">
        <f>IF((IFERROR(MATCH(D21,'5'!$D$16:$D$77,0),0))&lt;&gt;0,TRUE,FALSE)</f>
        <v>1</v>
      </c>
      <c r="F21" s="1381"/>
    </row>
    <row r="22" spans="2:8" x14ac:dyDescent="0.2">
      <c r="B22" s="1377"/>
      <c r="C22" s="1386" t="s">
        <v>106</v>
      </c>
      <c r="D22" s="1386" t="s">
        <v>109</v>
      </c>
      <c r="E22" s="1386" t="b">
        <f>IF((IFERROR(MATCH(D22,'5'!$D$16:$D$77,0),0))&lt;&gt;0,TRUE,FALSE)</f>
        <v>1</v>
      </c>
      <c r="F22" s="1381"/>
      <c r="H22" s="1387"/>
    </row>
    <row r="23" spans="2:8" x14ac:dyDescent="0.2">
      <c r="B23" s="1377"/>
      <c r="C23" s="1386" t="s">
        <v>106</v>
      </c>
      <c r="D23" s="1386" t="s">
        <v>110</v>
      </c>
      <c r="E23" s="1386" t="b">
        <f>IF((IFERROR(MATCH(D23,'5'!$D$16:$D$77,0),0))&lt;&gt;0,TRUE,FALSE)</f>
        <v>1</v>
      </c>
      <c r="F23" s="1381"/>
    </row>
    <row r="24" spans="2:8" x14ac:dyDescent="0.2">
      <c r="B24" s="1377"/>
      <c r="C24" s="1386" t="s">
        <v>106</v>
      </c>
      <c r="D24" s="1386" t="s">
        <v>111</v>
      </c>
      <c r="E24" s="1386" t="b">
        <f>IF((IFERROR(MATCH(D24,'5'!$D$16:$D$77,0),0))&lt;&gt;0,TRUE,FALSE)</f>
        <v>1</v>
      </c>
      <c r="F24" s="1381"/>
    </row>
    <row r="25" spans="2:8" x14ac:dyDescent="0.2">
      <c r="B25" s="1377"/>
      <c r="C25" s="1386" t="s">
        <v>106</v>
      </c>
      <c r="D25" s="1386" t="s">
        <v>112</v>
      </c>
      <c r="E25" s="1386" t="b">
        <f>IF((IFERROR(MATCH(D25,'5'!$D$16:$D$77,0),0))&lt;&gt;0,TRUE,FALSE)</f>
        <v>1</v>
      </c>
      <c r="F25" s="1381"/>
    </row>
    <row r="26" spans="2:8" x14ac:dyDescent="0.2">
      <c r="B26" s="1377"/>
      <c r="C26" s="1386" t="s">
        <v>106</v>
      </c>
      <c r="D26" s="1386" t="s">
        <v>113</v>
      </c>
      <c r="E26" s="1386" t="b">
        <f>IF((IFERROR(MATCH(D26,'5'!$D$16:$D$77,0),0))&lt;&gt;0,TRUE,FALSE)</f>
        <v>1</v>
      </c>
      <c r="F26" s="1381"/>
    </row>
    <row r="27" spans="2:8" x14ac:dyDescent="0.2">
      <c r="B27" s="1377"/>
      <c r="C27" s="1386" t="s">
        <v>106</v>
      </c>
      <c r="D27" s="1386" t="s">
        <v>114</v>
      </c>
      <c r="E27" s="1386" t="b">
        <f>IF((IFERROR(MATCH(D27,'5'!$D$16:$D$77,0),0))&lt;&gt;0,TRUE,FALSE)</f>
        <v>1</v>
      </c>
      <c r="F27" s="1381"/>
    </row>
    <row r="28" spans="2:8" x14ac:dyDescent="0.2">
      <c r="B28" s="1377"/>
      <c r="C28" s="1386" t="s">
        <v>115</v>
      </c>
      <c r="D28" s="1386" t="s">
        <v>116</v>
      </c>
      <c r="E28" s="1386" t="b">
        <f>IF((IFERROR(MATCH(D28,'5'!$D$16:$D$77,0),0))&lt;&gt;0,TRUE,FALSE)</f>
        <v>1</v>
      </c>
      <c r="F28" s="1381"/>
    </row>
    <row r="29" spans="2:8" x14ac:dyDescent="0.2">
      <c r="B29" s="1377"/>
      <c r="C29" s="1386" t="s">
        <v>117</v>
      </c>
      <c r="D29" s="1386" t="s">
        <v>118</v>
      </c>
      <c r="E29" s="1386" t="b">
        <f>IF((IFERROR(MATCH(D29,'5'!$D$16:$D$77,0),0))&lt;&gt;0,TRUE,FALSE)</f>
        <v>1</v>
      </c>
      <c r="F29" s="1381"/>
    </row>
    <row r="30" spans="2:8" x14ac:dyDescent="0.2">
      <c r="B30" s="1377"/>
      <c r="C30" s="1386" t="s">
        <v>115</v>
      </c>
      <c r="D30" s="1386" t="s">
        <v>119</v>
      </c>
      <c r="E30" s="1386" t="b">
        <f>IF((IFERROR(MATCH(D30,'5'!$D$16:$D$77,0),0))&lt;&gt;0,TRUE,FALSE)</f>
        <v>1</v>
      </c>
      <c r="F30" s="1381"/>
    </row>
    <row r="31" spans="2:8" x14ac:dyDescent="0.2">
      <c r="B31" s="1377"/>
      <c r="C31" s="1386" t="s">
        <v>115</v>
      </c>
      <c r="D31" s="1386" t="s">
        <v>119</v>
      </c>
      <c r="E31" s="1386" t="b">
        <f>IF((IFERROR(MATCH(D31,'5'!$D$16:$D$77,0),0))&lt;&gt;0,TRUE,FALSE)</f>
        <v>1</v>
      </c>
      <c r="F31" s="1381"/>
    </row>
    <row r="32" spans="2:8" x14ac:dyDescent="0.2">
      <c r="B32" s="1377"/>
      <c r="C32" s="1386" t="s">
        <v>115</v>
      </c>
      <c r="D32" s="1386" t="s">
        <v>119</v>
      </c>
      <c r="E32" s="1386" t="b">
        <f>IF((IFERROR(MATCH(D32,'5'!$D$16:$D$77,0),0))&lt;&gt;0,TRUE,FALSE)</f>
        <v>1</v>
      </c>
      <c r="F32" s="1381"/>
    </row>
    <row r="33" spans="2:6" x14ac:dyDescent="0.2">
      <c r="B33" s="1377"/>
      <c r="C33" s="1386" t="s">
        <v>117</v>
      </c>
      <c r="D33" s="1386" t="s">
        <v>696</v>
      </c>
      <c r="E33" s="1386" t="b">
        <f>IF((IFERROR(MATCH(D33,'5'!$D$16:$D$77,0),0))&lt;&gt;0,TRUE,FALSE)</f>
        <v>0</v>
      </c>
      <c r="F33" s="1381"/>
    </row>
    <row r="34" spans="2:6" x14ac:dyDescent="0.2">
      <c r="B34" s="1377"/>
      <c r="C34" s="1386" t="s">
        <v>115</v>
      </c>
      <c r="D34" s="1386" t="s">
        <v>120</v>
      </c>
      <c r="E34" s="1386" t="b">
        <f>IF((IFERROR(MATCH(D34,'5'!$D$16:$D$77,0),0))&lt;&gt;0,TRUE,FALSE)</f>
        <v>1</v>
      </c>
      <c r="F34" s="1381"/>
    </row>
    <row r="35" spans="2:6" x14ac:dyDescent="0.2">
      <c r="B35" s="1377"/>
      <c r="C35" s="1386" t="s">
        <v>115</v>
      </c>
      <c r="D35" s="1386" t="s">
        <v>121</v>
      </c>
      <c r="E35" s="1386" t="b">
        <f>IF((IFERROR(MATCH(D35,'5'!$D$16:$D$77,0),0))&lt;&gt;0,TRUE,FALSE)</f>
        <v>0</v>
      </c>
      <c r="F35" s="1381"/>
    </row>
    <row r="36" spans="2:6" x14ac:dyDescent="0.2">
      <c r="B36" s="1377"/>
      <c r="C36" s="1386" t="s">
        <v>117</v>
      </c>
      <c r="D36" s="1386" t="s">
        <v>695</v>
      </c>
      <c r="E36" s="1386" t="b">
        <f>IF((IFERROR(MATCH(D36,'5'!$D$16:$D$77,0),0))&lt;&gt;0,TRUE,FALSE)</f>
        <v>0</v>
      </c>
      <c r="F36" s="1381"/>
    </row>
    <row r="37" spans="2:6" x14ac:dyDescent="0.2">
      <c r="B37" s="1377"/>
      <c r="C37" s="1386" t="s">
        <v>115</v>
      </c>
      <c r="D37" s="1386" t="s">
        <v>122</v>
      </c>
      <c r="E37" s="1386" t="b">
        <f>IF((IFERROR(MATCH(D37,'5'!$D$16:$D$77,0),0))&lt;&gt;0,TRUE,FALSE)</f>
        <v>1</v>
      </c>
      <c r="F37" s="1381"/>
    </row>
    <row r="38" spans="2:6" x14ac:dyDescent="0.2">
      <c r="B38" s="1377"/>
      <c r="C38" s="1386" t="s">
        <v>115</v>
      </c>
      <c r="D38" s="1386" t="s">
        <v>122</v>
      </c>
      <c r="E38" s="1386" t="b">
        <f>IF((IFERROR(MATCH(D38,'5'!$D$16:$D$77,0),0))&lt;&gt;0,TRUE,FALSE)</f>
        <v>1</v>
      </c>
      <c r="F38" s="1381"/>
    </row>
    <row r="39" spans="2:6" x14ac:dyDescent="0.2">
      <c r="B39" s="1377"/>
      <c r="C39" s="1386" t="s">
        <v>115</v>
      </c>
      <c r="D39" s="1386" t="s">
        <v>122</v>
      </c>
      <c r="E39" s="1386" t="b">
        <f>IF((IFERROR(MATCH(D39,'5'!$D$16:$D$77,0),0))&lt;&gt;0,TRUE,FALSE)</f>
        <v>1</v>
      </c>
      <c r="F39" s="1381"/>
    </row>
    <row r="40" spans="2:6" x14ac:dyDescent="0.2">
      <c r="B40" s="1377"/>
      <c r="C40" s="1386" t="s">
        <v>115</v>
      </c>
      <c r="D40" s="1386" t="s">
        <v>123</v>
      </c>
      <c r="E40" s="1386" t="b">
        <f>IF((IFERROR(MATCH(D40,'5'!$D$16:$D$77,0),0))&lt;&gt;0,TRUE,FALSE)</f>
        <v>1</v>
      </c>
      <c r="F40" s="1381"/>
    </row>
    <row r="41" spans="2:6" x14ac:dyDescent="0.2">
      <c r="B41" s="1377"/>
      <c r="C41" s="1386" t="s">
        <v>115</v>
      </c>
      <c r="D41" s="1386" t="s">
        <v>697</v>
      </c>
      <c r="E41" s="1386" t="b">
        <f>IF((IFERROR(MATCH(D41,'5'!$D$16:$D$77,0),0))&lt;&gt;0,TRUE,FALSE)</f>
        <v>1</v>
      </c>
      <c r="F41" s="1381"/>
    </row>
    <row r="42" spans="2:6" x14ac:dyDescent="0.2">
      <c r="B42" s="1377"/>
      <c r="C42" s="1386" t="s">
        <v>124</v>
      </c>
      <c r="D42" s="1386" t="s">
        <v>125</v>
      </c>
      <c r="E42" s="1386" t="b">
        <f>IF((IFERROR(MATCH(D42,'5'!$D$16:$D$77,0),0))&lt;&gt;0,TRUE,FALSE)</f>
        <v>1</v>
      </c>
      <c r="F42" s="1381"/>
    </row>
    <row r="43" spans="2:6" x14ac:dyDescent="0.2">
      <c r="B43" s="1377"/>
      <c r="C43" s="1386" t="s">
        <v>124</v>
      </c>
      <c r="D43" s="1386" t="s">
        <v>126</v>
      </c>
      <c r="E43" s="1386" t="b">
        <f>IF((IFERROR(MATCH(D43,'5'!$D$16:$D$77,0),0))&lt;&gt;0,TRUE,FALSE)</f>
        <v>1</v>
      </c>
      <c r="F43" s="1381"/>
    </row>
    <row r="44" spans="2:6" x14ac:dyDescent="0.2">
      <c r="B44" s="1377"/>
      <c r="C44" s="1386" t="s">
        <v>124</v>
      </c>
      <c r="D44" s="1386" t="s">
        <v>127</v>
      </c>
      <c r="E44" s="1386" t="b">
        <f>IF((IFERROR(MATCH(D44,'5'!$D$16:$D$77,0),0))&lt;&gt;0,TRUE,FALSE)</f>
        <v>1</v>
      </c>
      <c r="F44" s="1381"/>
    </row>
    <row r="45" spans="2:6" x14ac:dyDescent="0.2">
      <c r="B45" s="1377"/>
      <c r="C45" s="1386" t="s">
        <v>124</v>
      </c>
      <c r="D45" s="1386" t="s">
        <v>128</v>
      </c>
      <c r="E45" s="1386" t="b">
        <f>IF((IFERROR(MATCH(D45,'5'!$D$16:$D$77,0),0))&lt;&gt;0,TRUE,FALSE)</f>
        <v>1</v>
      </c>
      <c r="F45" s="1381"/>
    </row>
    <row r="46" spans="2:6" x14ac:dyDescent="0.2">
      <c r="B46" s="1377"/>
      <c r="C46" s="1386" t="s">
        <v>124</v>
      </c>
      <c r="D46" s="1386" t="s">
        <v>129</v>
      </c>
      <c r="E46" s="1386" t="b">
        <f>IF((IFERROR(MATCH(D46,'5'!$D$16:$D$77,0),0))&lt;&gt;0,TRUE,FALSE)</f>
        <v>1</v>
      </c>
      <c r="F46" s="1381"/>
    </row>
    <row r="47" spans="2:6" ht="15" customHeight="1" x14ac:dyDescent="0.2">
      <c r="B47" s="1377"/>
      <c r="C47" s="1386" t="s">
        <v>124</v>
      </c>
      <c r="D47" s="1386" t="s">
        <v>130</v>
      </c>
      <c r="E47" s="1386" t="b">
        <f>IF((IFERROR(MATCH(D47,'5'!$D$16:$D$77,0),0))&lt;&gt;0,TRUE,FALSE)</f>
        <v>1</v>
      </c>
      <c r="F47" s="1381"/>
    </row>
    <row r="48" spans="2:6" ht="15.75" customHeight="1" x14ac:dyDescent="0.2">
      <c r="B48" s="1377"/>
      <c r="C48" s="1386" t="s">
        <v>124</v>
      </c>
      <c r="D48" s="1386" t="s">
        <v>131</v>
      </c>
      <c r="E48" s="1386" t="b">
        <f>IF((IFERROR(MATCH(D48,'5'!$D$16:$D$77,0),0))&lt;&gt;0,TRUE,FALSE)</f>
        <v>1</v>
      </c>
      <c r="F48" s="1381"/>
    </row>
    <row r="49" spans="2:6" x14ac:dyDescent="0.2">
      <c r="B49" s="1377"/>
      <c r="C49" s="1386" t="s">
        <v>132</v>
      </c>
      <c r="D49" s="1386" t="s">
        <v>133</v>
      </c>
      <c r="E49" s="1386" t="b">
        <f>IF((IFERROR(MATCH(D49,'5'!$D$16:$D$77,0),0))&lt;&gt;0,TRUE,FALSE)</f>
        <v>1</v>
      </c>
      <c r="F49" s="1381"/>
    </row>
    <row r="50" spans="2:6" x14ac:dyDescent="0.2">
      <c r="B50" s="1377"/>
      <c r="C50" s="1386" t="s">
        <v>132</v>
      </c>
      <c r="D50" s="1386" t="s">
        <v>698</v>
      </c>
      <c r="E50" s="1386" t="b">
        <f>IF((IFERROR(MATCH(D50,'5'!$D$16:$D$77,0),0))&lt;&gt;0,TRUE,FALSE)</f>
        <v>1</v>
      </c>
      <c r="F50" s="1381"/>
    </row>
    <row r="51" spans="2:6" x14ac:dyDescent="0.2">
      <c r="B51" s="1377"/>
      <c r="C51" s="1386" t="s">
        <v>132</v>
      </c>
      <c r="D51" s="1386" t="s">
        <v>134</v>
      </c>
      <c r="E51" s="1386" t="b">
        <f>IF((IFERROR(MATCH(D51,'5'!$D$16:$D$77,0),0))&lt;&gt;0,TRUE,FALSE)</f>
        <v>1</v>
      </c>
      <c r="F51" s="1381"/>
    </row>
    <row r="52" spans="2:6" x14ac:dyDescent="0.2">
      <c r="B52" s="1377"/>
      <c r="C52" s="1386" t="s">
        <v>135</v>
      </c>
      <c r="D52" s="1386" t="s">
        <v>136</v>
      </c>
      <c r="E52" s="1386" t="b">
        <f>IF((IFERROR(MATCH(D52,'5'!$D$16:$D$77,0),0))&lt;&gt;0,TRUE,FALSE)</f>
        <v>1</v>
      </c>
      <c r="F52" s="1381"/>
    </row>
    <row r="53" spans="2:6" x14ac:dyDescent="0.2">
      <c r="B53" s="1377"/>
      <c r="C53" s="1386" t="s">
        <v>135</v>
      </c>
      <c r="D53" s="1386" t="s">
        <v>137</v>
      </c>
      <c r="E53" s="1386" t="b">
        <f>IF((IFERROR(MATCH(D53,'5'!$D$16:$D$77,0),0))&lt;&gt;0,TRUE,FALSE)</f>
        <v>1</v>
      </c>
      <c r="F53" s="1381"/>
    </row>
    <row r="54" spans="2:6" x14ac:dyDescent="0.2">
      <c r="B54" s="1377"/>
      <c r="C54" s="1386" t="s">
        <v>135</v>
      </c>
      <c r="D54" s="1386" t="s">
        <v>138</v>
      </c>
      <c r="E54" s="1386" t="b">
        <f>IF((IFERROR(MATCH(D54,'5'!$D$16:$D$77,0),0))&lt;&gt;0,TRUE,FALSE)</f>
        <v>1</v>
      </c>
      <c r="F54" s="1381"/>
    </row>
    <row r="55" spans="2:6" x14ac:dyDescent="0.2">
      <c r="B55" s="1377"/>
      <c r="C55" s="1386" t="s">
        <v>135</v>
      </c>
      <c r="D55" s="1386" t="s">
        <v>139</v>
      </c>
      <c r="E55" s="1386" t="b">
        <f>IF((IFERROR(MATCH(D55,'5'!$D$16:$D$77,0),0))&lt;&gt;0,TRUE,FALSE)</f>
        <v>1</v>
      </c>
      <c r="F55" s="1381"/>
    </row>
    <row r="56" spans="2:6" x14ac:dyDescent="0.2">
      <c r="B56" s="1377"/>
      <c r="C56" s="1386" t="s">
        <v>135</v>
      </c>
      <c r="D56" s="1386" t="s">
        <v>140</v>
      </c>
      <c r="E56" s="1386" t="b">
        <f>IF((IFERROR(MATCH(D56,'5'!$D$16:$D$77,0),0))&lt;&gt;0,TRUE,FALSE)</f>
        <v>1</v>
      </c>
      <c r="F56" s="1381"/>
    </row>
    <row r="57" spans="2:6" x14ac:dyDescent="0.2">
      <c r="B57" s="1377"/>
      <c r="C57" s="1386" t="s">
        <v>135</v>
      </c>
      <c r="D57" s="1386" t="s">
        <v>141</v>
      </c>
      <c r="E57" s="1386" t="b">
        <f>IF((IFERROR(MATCH(D57,'5'!$D$16:$D$77,0),0))&lt;&gt;0,TRUE,FALSE)</f>
        <v>1</v>
      </c>
      <c r="F57" s="1381"/>
    </row>
    <row r="58" spans="2:6" x14ac:dyDescent="0.2">
      <c r="B58" s="1377"/>
      <c r="C58" s="1386" t="s">
        <v>135</v>
      </c>
      <c r="D58" s="1386" t="s">
        <v>142</v>
      </c>
      <c r="E58" s="1386" t="b">
        <f>IF((IFERROR(MATCH(D58,'5'!$D$16:$D$77,0),0))&lt;&gt;0,TRUE,FALSE)</f>
        <v>1</v>
      </c>
      <c r="F58" s="1381"/>
    </row>
    <row r="59" spans="2:6" x14ac:dyDescent="0.2">
      <c r="B59" s="1377"/>
      <c r="C59" s="1386" t="s">
        <v>135</v>
      </c>
      <c r="D59" s="1386" t="s">
        <v>143</v>
      </c>
      <c r="E59" s="1386" t="b">
        <f>IF((IFERROR(MATCH(D59,'5'!$D$16:$D$77,0),0))&lt;&gt;0,TRUE,FALSE)</f>
        <v>1</v>
      </c>
      <c r="F59" s="1381"/>
    </row>
    <row r="60" spans="2:6" x14ac:dyDescent="0.2">
      <c r="B60" s="1377"/>
      <c r="C60" s="1386" t="s">
        <v>135</v>
      </c>
      <c r="D60" s="1386" t="s">
        <v>694</v>
      </c>
      <c r="E60" s="1386" t="b">
        <f>IF((IFERROR(MATCH(D60,'5'!$D$16:$D$77,0),0))&lt;&gt;0,TRUE,FALSE)</f>
        <v>0</v>
      </c>
      <c r="F60" s="1381"/>
    </row>
    <row r="61" spans="2:6" ht="13.5" thickBot="1" x14ac:dyDescent="0.25">
      <c r="B61" s="1388"/>
      <c r="C61" s="1389"/>
      <c r="D61" s="1389"/>
      <c r="E61" s="1389"/>
      <c r="F61" s="1390"/>
    </row>
    <row r="62" spans="2:6" ht="9" customHeight="1" x14ac:dyDescent="0.2"/>
    <row r="64" spans="2:6" ht="13.5" thickBot="1" x14ac:dyDescent="0.25"/>
    <row r="65" spans="5:5" ht="13.5" thickBot="1" x14ac:dyDescent="0.25">
      <c r="E65" s="1391">
        <f>COUNTIF(E7:E60,TRUE)</f>
        <v>48</v>
      </c>
    </row>
  </sheetData>
  <sheetProtection password="D666" sheet="1" objects="1" scenarios="1" formatCells="0" formatColumns="0" formatRows="0" insertRows="0"/>
  <pageMargins left="0.7" right="0.7" top="0.75" bottom="0.75" header="0.3" footer="0.3"/>
  <pageSetup scale="72" orientation="portrait"/>
  <headerFooter>
    <oddFooter>&amp;LForm 5
Project Schedule&amp;CCFA Forms&amp;REdition: 2015
Version: 1.1</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91"/>
  <sheetViews>
    <sheetView topLeftCell="A364" workbookViewId="0">
      <selection activeCell="R25" sqref="R25"/>
    </sheetView>
  </sheetViews>
  <sheetFormatPr defaultColWidth="9.140625" defaultRowHeight="15" x14ac:dyDescent="0.25"/>
  <cols>
    <col min="1" max="1" width="42" style="1429" customWidth="1"/>
    <col min="2" max="2" width="83" style="1429" bestFit="1" customWidth="1"/>
    <col min="3" max="16384" width="9.140625" style="1429"/>
  </cols>
  <sheetData>
    <row r="1" spans="1:2" x14ac:dyDescent="0.25">
      <c r="A1" s="1428"/>
    </row>
    <row r="2" spans="1:2" x14ac:dyDescent="0.25">
      <c r="A2" s="1428" t="s">
        <v>1287</v>
      </c>
      <c r="B2" s="1432" t="s">
        <v>1174</v>
      </c>
    </row>
    <row r="3" spans="1:2" x14ac:dyDescent="0.25">
      <c r="A3" s="1429" t="s">
        <v>1288</v>
      </c>
      <c r="B3" s="1433" t="s">
        <v>1289</v>
      </c>
    </row>
    <row r="4" spans="1:2" x14ac:dyDescent="0.25">
      <c r="B4" s="1433" t="s">
        <v>1290</v>
      </c>
    </row>
    <row r="5" spans="1:2" x14ac:dyDescent="0.25">
      <c r="B5" s="1433" t="s">
        <v>1291</v>
      </c>
    </row>
    <row r="6" spans="1:2" x14ac:dyDescent="0.25">
      <c r="A6" s="1428"/>
      <c r="B6" s="1433" t="s">
        <v>1292</v>
      </c>
    </row>
    <row r="7" spans="1:2" x14ac:dyDescent="0.25">
      <c r="A7" s="1428"/>
      <c r="B7" s="1433" t="s">
        <v>1293</v>
      </c>
    </row>
    <row r="8" spans="1:2" x14ac:dyDescent="0.25">
      <c r="A8" s="1428"/>
      <c r="B8" s="1433" t="s">
        <v>1294</v>
      </c>
    </row>
    <row r="9" spans="1:2" x14ac:dyDescent="0.25">
      <c r="A9" s="1428"/>
      <c r="B9" s="1433" t="s">
        <v>1295</v>
      </c>
    </row>
    <row r="10" spans="1:2" x14ac:dyDescent="0.25">
      <c r="A10" s="1428"/>
      <c r="B10" s="1433" t="s">
        <v>1296</v>
      </c>
    </row>
    <row r="11" spans="1:2" x14ac:dyDescent="0.25">
      <c r="A11" s="1428"/>
      <c r="B11" s="1433" t="s">
        <v>1297</v>
      </c>
    </row>
    <row r="12" spans="1:2" x14ac:dyDescent="0.25">
      <c r="A12" s="1428"/>
      <c r="B12" s="1433" t="s">
        <v>1298</v>
      </c>
    </row>
    <row r="13" spans="1:2" x14ac:dyDescent="0.25">
      <c r="A13" s="1428"/>
      <c r="B13" s="1433" t="s">
        <v>1299</v>
      </c>
    </row>
    <row r="14" spans="1:2" x14ac:dyDescent="0.25">
      <c r="A14" s="1428"/>
      <c r="B14" s="1433" t="s">
        <v>1300</v>
      </c>
    </row>
    <row r="15" spans="1:2" x14ac:dyDescent="0.25">
      <c r="A15" s="1428"/>
      <c r="B15" s="1433" t="s">
        <v>1301</v>
      </c>
    </row>
    <row r="16" spans="1:2" x14ac:dyDescent="0.25">
      <c r="A16" s="1428"/>
      <c r="B16" s="1434" t="s">
        <v>1302</v>
      </c>
    </row>
    <row r="17" spans="1:2" x14ac:dyDescent="0.25">
      <c r="A17" s="1428"/>
    </row>
    <row r="18" spans="1:2" x14ac:dyDescent="0.25">
      <c r="A18" s="1428" t="s">
        <v>1303</v>
      </c>
      <c r="B18" s="1432" t="s">
        <v>1172</v>
      </c>
    </row>
    <row r="19" spans="1:2" x14ac:dyDescent="0.25">
      <c r="A19" s="1429" t="s">
        <v>1304</v>
      </c>
      <c r="B19" s="1433" t="s">
        <v>1305</v>
      </c>
    </row>
    <row r="20" spans="1:2" x14ac:dyDescent="0.25">
      <c r="B20" s="1433" t="s">
        <v>1306</v>
      </c>
    </row>
    <row r="21" spans="1:2" x14ac:dyDescent="0.25">
      <c r="B21" s="1433" t="s">
        <v>1307</v>
      </c>
    </row>
    <row r="22" spans="1:2" x14ac:dyDescent="0.25">
      <c r="B22" s="1433" t="s">
        <v>1308</v>
      </c>
    </row>
    <row r="23" spans="1:2" x14ac:dyDescent="0.25">
      <c r="B23" s="1433" t="s">
        <v>1309</v>
      </c>
    </row>
    <row r="24" spans="1:2" x14ac:dyDescent="0.25">
      <c r="B24" s="1433" t="s">
        <v>1310</v>
      </c>
    </row>
    <row r="25" spans="1:2" x14ac:dyDescent="0.25">
      <c r="B25" s="1433" t="s">
        <v>1311</v>
      </c>
    </row>
    <row r="26" spans="1:2" x14ac:dyDescent="0.25">
      <c r="B26" s="1433" t="s">
        <v>1312</v>
      </c>
    </row>
    <row r="27" spans="1:2" x14ac:dyDescent="0.25">
      <c r="B27" s="1433" t="s">
        <v>1313</v>
      </c>
    </row>
    <row r="28" spans="1:2" x14ac:dyDescent="0.25">
      <c r="B28" s="1433" t="s">
        <v>1314</v>
      </c>
    </row>
    <row r="29" spans="1:2" x14ac:dyDescent="0.25">
      <c r="B29" s="1433" t="s">
        <v>1315</v>
      </c>
    </row>
    <row r="30" spans="1:2" x14ac:dyDescent="0.25">
      <c r="B30" s="1433" t="s">
        <v>1316</v>
      </c>
    </row>
    <row r="31" spans="1:2" x14ac:dyDescent="0.25">
      <c r="B31" s="1433" t="s">
        <v>1317</v>
      </c>
    </row>
    <row r="32" spans="1:2" x14ac:dyDescent="0.25">
      <c r="B32" s="1433" t="s">
        <v>1318</v>
      </c>
    </row>
    <row r="33" spans="1:2" x14ac:dyDescent="0.25">
      <c r="B33" s="1433" t="s">
        <v>1319</v>
      </c>
    </row>
    <row r="34" spans="1:2" x14ac:dyDescent="0.25">
      <c r="B34" s="1433" t="s">
        <v>1320</v>
      </c>
    </row>
    <row r="35" spans="1:2" x14ac:dyDescent="0.25">
      <c r="B35" s="1433" t="s">
        <v>1321</v>
      </c>
    </row>
    <row r="36" spans="1:2" x14ac:dyDescent="0.25">
      <c r="B36" s="1433" t="s">
        <v>1322</v>
      </c>
    </row>
    <row r="37" spans="1:2" x14ac:dyDescent="0.25">
      <c r="B37" s="1433" t="s">
        <v>1323</v>
      </c>
    </row>
    <row r="38" spans="1:2" x14ac:dyDescent="0.25">
      <c r="B38" s="1434" t="s">
        <v>1324</v>
      </c>
    </row>
    <row r="40" spans="1:2" x14ac:dyDescent="0.25">
      <c r="A40" s="1428" t="s">
        <v>1325</v>
      </c>
      <c r="B40" s="1432" t="s">
        <v>1170</v>
      </c>
    </row>
    <row r="41" spans="1:2" x14ac:dyDescent="0.25">
      <c r="A41" s="1429" t="s">
        <v>1326</v>
      </c>
      <c r="B41" s="1433" t="s">
        <v>1327</v>
      </c>
    </row>
    <row r="42" spans="1:2" x14ac:dyDescent="0.25">
      <c r="B42" s="1433" t="s">
        <v>1328</v>
      </c>
    </row>
    <row r="43" spans="1:2" x14ac:dyDescent="0.25">
      <c r="B43" s="1433" t="s">
        <v>1329</v>
      </c>
    </row>
    <row r="44" spans="1:2" x14ac:dyDescent="0.25">
      <c r="B44" s="1433" t="s">
        <v>1330</v>
      </c>
    </row>
    <row r="45" spans="1:2" x14ac:dyDescent="0.25">
      <c r="B45" s="1433" t="s">
        <v>1331</v>
      </c>
    </row>
    <row r="46" spans="1:2" x14ac:dyDescent="0.25">
      <c r="B46" s="1433" t="s">
        <v>1332</v>
      </c>
    </row>
    <row r="47" spans="1:2" x14ac:dyDescent="0.25">
      <c r="B47" s="1433" t="s">
        <v>1333</v>
      </c>
    </row>
    <row r="48" spans="1:2" x14ac:dyDescent="0.25">
      <c r="B48" s="1433" t="s">
        <v>1334</v>
      </c>
    </row>
    <row r="49" spans="2:2" x14ac:dyDescent="0.25">
      <c r="B49" s="1433" t="s">
        <v>1335</v>
      </c>
    </row>
    <row r="50" spans="2:2" x14ac:dyDescent="0.25">
      <c r="B50" s="1433" t="s">
        <v>1336</v>
      </c>
    </row>
    <row r="51" spans="2:2" x14ac:dyDescent="0.25">
      <c r="B51" s="1433" t="s">
        <v>533</v>
      </c>
    </row>
    <row r="52" spans="2:2" x14ac:dyDescent="0.25">
      <c r="B52" s="1433" t="s">
        <v>1337</v>
      </c>
    </row>
    <row r="53" spans="2:2" x14ac:dyDescent="0.25">
      <c r="B53" s="1433" t="s">
        <v>1338</v>
      </c>
    </row>
    <row r="54" spans="2:2" x14ac:dyDescent="0.25">
      <c r="B54" s="1433" t="s">
        <v>1339</v>
      </c>
    </row>
    <row r="55" spans="2:2" x14ac:dyDescent="0.25">
      <c r="B55" s="1433" t="s">
        <v>1340</v>
      </c>
    </row>
    <row r="56" spans="2:2" x14ac:dyDescent="0.25">
      <c r="B56" s="1433" t="s">
        <v>1341</v>
      </c>
    </row>
    <row r="57" spans="2:2" x14ac:dyDescent="0.25">
      <c r="B57" s="1433" t="s">
        <v>1342</v>
      </c>
    </row>
    <row r="58" spans="2:2" x14ac:dyDescent="0.25">
      <c r="B58" s="1433" t="s">
        <v>1343</v>
      </c>
    </row>
    <row r="59" spans="2:2" x14ac:dyDescent="0.25">
      <c r="B59" s="1433" t="s">
        <v>1344</v>
      </c>
    </row>
    <row r="60" spans="2:2" x14ac:dyDescent="0.25">
      <c r="B60" s="1433" t="s">
        <v>1345</v>
      </c>
    </row>
    <row r="61" spans="2:2" x14ac:dyDescent="0.25">
      <c r="B61" s="1433" t="s">
        <v>1346</v>
      </c>
    </row>
    <row r="62" spans="2:2" x14ac:dyDescent="0.25">
      <c r="B62" s="1433" t="s">
        <v>1347</v>
      </c>
    </row>
    <row r="63" spans="2:2" x14ac:dyDescent="0.25">
      <c r="B63" s="1433" t="s">
        <v>1348</v>
      </c>
    </row>
    <row r="64" spans="2:2" x14ac:dyDescent="0.25">
      <c r="B64" s="1433" t="s">
        <v>1349</v>
      </c>
    </row>
    <row r="65" spans="1:2" x14ac:dyDescent="0.25">
      <c r="B65" s="1433" t="s">
        <v>1350</v>
      </c>
    </row>
    <row r="66" spans="1:2" x14ac:dyDescent="0.25">
      <c r="B66" s="1433" t="s">
        <v>1351</v>
      </c>
    </row>
    <row r="67" spans="1:2" x14ac:dyDescent="0.25">
      <c r="B67" s="1434" t="s">
        <v>1352</v>
      </c>
    </row>
    <row r="69" spans="1:2" x14ac:dyDescent="0.25">
      <c r="A69" s="1428" t="s">
        <v>1353</v>
      </c>
      <c r="B69" s="1432" t="s">
        <v>1172</v>
      </c>
    </row>
    <row r="70" spans="1:2" x14ac:dyDescent="0.25">
      <c r="A70" s="1429" t="s">
        <v>1354</v>
      </c>
      <c r="B70" s="1433" t="s">
        <v>1355</v>
      </c>
    </row>
    <row r="71" spans="1:2" x14ac:dyDescent="0.25">
      <c r="B71" s="1433" t="s">
        <v>1356</v>
      </c>
    </row>
    <row r="72" spans="1:2" x14ac:dyDescent="0.25">
      <c r="B72" s="1433" t="s">
        <v>1357</v>
      </c>
    </row>
    <row r="73" spans="1:2" x14ac:dyDescent="0.25">
      <c r="B73" s="1433" t="s">
        <v>1358</v>
      </c>
    </row>
    <row r="74" spans="1:2" x14ac:dyDescent="0.25">
      <c r="B74" s="1433" t="s">
        <v>1359</v>
      </c>
    </row>
    <row r="75" spans="1:2" x14ac:dyDescent="0.25">
      <c r="B75" s="1433" t="s">
        <v>1360</v>
      </c>
    </row>
    <row r="76" spans="1:2" x14ac:dyDescent="0.25">
      <c r="B76" s="1433" t="s">
        <v>1361</v>
      </c>
    </row>
    <row r="77" spans="1:2" x14ac:dyDescent="0.25">
      <c r="B77" s="1433" t="s">
        <v>1362</v>
      </c>
    </row>
    <row r="78" spans="1:2" x14ac:dyDescent="0.25">
      <c r="B78" s="1433" t="s">
        <v>1363</v>
      </c>
    </row>
    <row r="79" spans="1:2" x14ac:dyDescent="0.25">
      <c r="B79" s="1433" t="s">
        <v>1364</v>
      </c>
    </row>
    <row r="80" spans="1:2" x14ac:dyDescent="0.25">
      <c r="B80" s="1433" t="s">
        <v>1365</v>
      </c>
    </row>
    <row r="81" spans="1:2" x14ac:dyDescent="0.25">
      <c r="B81" s="1433" t="s">
        <v>1366</v>
      </c>
    </row>
    <row r="82" spans="1:2" x14ac:dyDescent="0.25">
      <c r="B82" s="1433" t="s">
        <v>1367</v>
      </c>
    </row>
    <row r="83" spans="1:2" x14ac:dyDescent="0.25">
      <c r="B83" s="1433" t="s">
        <v>1368</v>
      </c>
    </row>
    <row r="84" spans="1:2" x14ac:dyDescent="0.25">
      <c r="B84" s="1433" t="s">
        <v>1369</v>
      </c>
    </row>
    <row r="85" spans="1:2" x14ac:dyDescent="0.25">
      <c r="B85" s="1433" t="s">
        <v>1370</v>
      </c>
    </row>
    <row r="86" spans="1:2" x14ac:dyDescent="0.25">
      <c r="B86" s="1433" t="s">
        <v>1371</v>
      </c>
    </row>
    <row r="87" spans="1:2" x14ac:dyDescent="0.25">
      <c r="B87" s="1433" t="s">
        <v>1372</v>
      </c>
    </row>
    <row r="88" spans="1:2" x14ac:dyDescent="0.25">
      <c r="B88" s="1433" t="s">
        <v>1373</v>
      </c>
    </row>
    <row r="89" spans="1:2" x14ac:dyDescent="0.25">
      <c r="B89" s="1434" t="s">
        <v>1374</v>
      </c>
    </row>
    <row r="91" spans="1:2" x14ac:dyDescent="0.25">
      <c r="A91" s="1428" t="s">
        <v>1375</v>
      </c>
      <c r="B91" s="1435">
        <v>0</v>
      </c>
    </row>
    <row r="92" spans="1:2" x14ac:dyDescent="0.25">
      <c r="A92" s="1429" t="s">
        <v>1376</v>
      </c>
      <c r="B92" s="1436">
        <v>0.1</v>
      </c>
    </row>
    <row r="93" spans="1:2" x14ac:dyDescent="0.25">
      <c r="B93" s="1436">
        <v>0.2</v>
      </c>
    </row>
    <row r="94" spans="1:2" x14ac:dyDescent="0.25">
      <c r="B94" s="1436">
        <v>0.25</v>
      </c>
    </row>
    <row r="95" spans="1:2" x14ac:dyDescent="0.25">
      <c r="B95" s="1436">
        <v>0.3</v>
      </c>
    </row>
    <row r="96" spans="1:2" x14ac:dyDescent="0.25">
      <c r="B96" s="1436">
        <v>0.4</v>
      </c>
    </row>
    <row r="97" spans="1:2" x14ac:dyDescent="0.25">
      <c r="B97" s="1436">
        <v>0.5</v>
      </c>
    </row>
    <row r="98" spans="1:2" x14ac:dyDescent="0.25">
      <c r="B98" s="1436">
        <v>0.6</v>
      </c>
    </row>
    <row r="99" spans="1:2" x14ac:dyDescent="0.25">
      <c r="B99" s="1436">
        <v>0.75</v>
      </c>
    </row>
    <row r="100" spans="1:2" x14ac:dyDescent="0.25">
      <c r="B100" s="1437">
        <v>1</v>
      </c>
    </row>
    <row r="102" spans="1:2" x14ac:dyDescent="0.25">
      <c r="A102" s="1428" t="s">
        <v>1377</v>
      </c>
      <c r="B102" s="1432" t="s">
        <v>1187</v>
      </c>
    </row>
    <row r="103" spans="1:2" x14ac:dyDescent="0.25">
      <c r="B103" s="1438" t="s">
        <v>1378</v>
      </c>
    </row>
    <row r="104" spans="1:2" x14ac:dyDescent="0.25">
      <c r="B104" s="1438" t="s">
        <v>1379</v>
      </c>
    </row>
    <row r="105" spans="1:2" x14ac:dyDescent="0.25">
      <c r="B105" s="1438" t="s">
        <v>1380</v>
      </c>
    </row>
    <row r="106" spans="1:2" x14ac:dyDescent="0.25">
      <c r="B106" s="1438" t="s">
        <v>1381</v>
      </c>
    </row>
    <row r="107" spans="1:2" x14ac:dyDescent="0.25">
      <c r="B107" s="1438" t="s">
        <v>1382</v>
      </c>
    </row>
    <row r="108" spans="1:2" x14ac:dyDescent="0.25">
      <c r="B108" s="1438" t="s">
        <v>1383</v>
      </c>
    </row>
    <row r="109" spans="1:2" x14ac:dyDescent="0.25">
      <c r="B109" s="1438" t="s">
        <v>1384</v>
      </c>
    </row>
    <row r="110" spans="1:2" x14ac:dyDescent="0.25">
      <c r="B110" s="1438" t="s">
        <v>1385</v>
      </c>
    </row>
    <row r="111" spans="1:2" x14ac:dyDescent="0.25">
      <c r="B111" s="1438" t="s">
        <v>1386</v>
      </c>
    </row>
    <row r="112" spans="1:2" x14ac:dyDescent="0.25">
      <c r="B112" s="1438" t="s">
        <v>1387</v>
      </c>
    </row>
    <row r="113" spans="1:2" x14ac:dyDescent="0.25">
      <c r="B113" s="1438" t="s">
        <v>1388</v>
      </c>
    </row>
    <row r="114" spans="1:2" x14ac:dyDescent="0.25">
      <c r="B114" s="1438" t="s">
        <v>1389</v>
      </c>
    </row>
    <row r="115" spans="1:2" x14ac:dyDescent="0.25">
      <c r="B115" s="1438" t="s">
        <v>1390</v>
      </c>
    </row>
    <row r="116" spans="1:2" x14ac:dyDescent="0.25">
      <c r="B116" s="1438" t="s">
        <v>1391</v>
      </c>
    </row>
    <row r="117" spans="1:2" x14ac:dyDescent="0.25">
      <c r="B117" s="1438" t="s">
        <v>1392</v>
      </c>
    </row>
    <row r="118" spans="1:2" x14ac:dyDescent="0.25">
      <c r="B118" s="1438" t="s">
        <v>1393</v>
      </c>
    </row>
    <row r="119" spans="1:2" x14ac:dyDescent="0.25">
      <c r="B119" s="1438" t="s">
        <v>1394</v>
      </c>
    </row>
    <row r="120" spans="1:2" x14ac:dyDescent="0.25">
      <c r="B120" s="1438" t="s">
        <v>1395</v>
      </c>
    </row>
    <row r="121" spans="1:2" x14ac:dyDescent="0.25">
      <c r="B121" s="1438" t="s">
        <v>1396</v>
      </c>
    </row>
    <row r="122" spans="1:2" x14ac:dyDescent="0.25">
      <c r="B122" s="1438" t="s">
        <v>1397</v>
      </c>
    </row>
    <row r="123" spans="1:2" x14ac:dyDescent="0.25">
      <c r="B123" s="1438" t="s">
        <v>1398</v>
      </c>
    </row>
    <row r="124" spans="1:2" x14ac:dyDescent="0.25">
      <c r="B124" s="1439" t="s">
        <v>1399</v>
      </c>
    </row>
    <row r="126" spans="1:2" x14ac:dyDescent="0.25">
      <c r="A126" s="1430" t="s">
        <v>1400</v>
      </c>
      <c r="B126" s="1440" t="s">
        <v>1187</v>
      </c>
    </row>
    <row r="127" spans="1:2" x14ac:dyDescent="0.25">
      <c r="A127" s="1430"/>
      <c r="B127" s="1441" t="s">
        <v>1401</v>
      </c>
    </row>
    <row r="128" spans="1:2" x14ac:dyDescent="0.25">
      <c r="A128" s="1430"/>
      <c r="B128" s="1431"/>
    </row>
    <row r="129" spans="1:2" x14ac:dyDescent="0.25">
      <c r="A129" s="1430"/>
      <c r="B129" s="1430"/>
    </row>
    <row r="130" spans="1:2" x14ac:dyDescent="0.25">
      <c r="A130" s="1430" t="s">
        <v>1402</v>
      </c>
      <c r="B130" s="1440" t="s">
        <v>1187</v>
      </c>
    </row>
    <row r="131" spans="1:2" x14ac:dyDescent="0.25">
      <c r="A131" s="1430"/>
      <c r="B131" s="1438" t="s">
        <v>1403</v>
      </c>
    </row>
    <row r="132" spans="1:2" x14ac:dyDescent="0.25">
      <c r="A132" s="1430"/>
      <c r="B132" s="1442" t="s">
        <v>1404</v>
      </c>
    </row>
    <row r="133" spans="1:2" x14ac:dyDescent="0.25">
      <c r="A133" s="1430"/>
      <c r="B133" s="1442" t="s">
        <v>1405</v>
      </c>
    </row>
    <row r="134" spans="1:2" x14ac:dyDescent="0.25">
      <c r="A134" s="1430"/>
      <c r="B134" s="1442" t="s">
        <v>1406</v>
      </c>
    </row>
    <row r="135" spans="1:2" x14ac:dyDescent="0.25">
      <c r="A135" s="1430"/>
      <c r="B135" s="1442" t="s">
        <v>1407</v>
      </c>
    </row>
    <row r="136" spans="1:2" x14ac:dyDescent="0.25">
      <c r="A136" s="1430"/>
      <c r="B136" s="1443" t="s">
        <v>1408</v>
      </c>
    </row>
    <row r="137" spans="1:2" x14ac:dyDescent="0.25">
      <c r="A137" s="1430"/>
      <c r="B137" s="1443" t="s">
        <v>1409</v>
      </c>
    </row>
    <row r="138" spans="1:2" x14ac:dyDescent="0.25">
      <c r="A138" s="1430"/>
      <c r="B138" s="1444" t="s">
        <v>1410</v>
      </c>
    </row>
    <row r="139" spans="1:2" x14ac:dyDescent="0.25">
      <c r="A139" s="1430"/>
      <c r="B139" s="1430"/>
    </row>
    <row r="140" spans="1:2" x14ac:dyDescent="0.25">
      <c r="A140" s="1430" t="s">
        <v>1411</v>
      </c>
      <c r="B140" s="1440" t="s">
        <v>1203</v>
      </c>
    </row>
    <row r="141" spans="1:2" x14ac:dyDescent="0.25">
      <c r="A141" s="1430" t="s">
        <v>1412</v>
      </c>
      <c r="B141" s="1438" t="s">
        <v>1413</v>
      </c>
    </row>
    <row r="142" spans="1:2" x14ac:dyDescent="0.25">
      <c r="B142" s="1438" t="s">
        <v>1414</v>
      </c>
    </row>
    <row r="143" spans="1:2" x14ac:dyDescent="0.25">
      <c r="A143" s="1430"/>
      <c r="B143" s="1438" t="s">
        <v>1415</v>
      </c>
    </row>
    <row r="144" spans="1:2" x14ac:dyDescent="0.25">
      <c r="A144" s="1430"/>
      <c r="B144" s="1438" t="s">
        <v>1416</v>
      </c>
    </row>
    <row r="145" spans="1:2" x14ac:dyDescent="0.25">
      <c r="A145" s="1430"/>
      <c r="B145" s="1438" t="s">
        <v>1417</v>
      </c>
    </row>
    <row r="146" spans="1:2" x14ac:dyDescent="0.25">
      <c r="A146" s="1430"/>
      <c r="B146" s="1438" t="s">
        <v>1418</v>
      </c>
    </row>
    <row r="147" spans="1:2" x14ac:dyDescent="0.25">
      <c r="A147" s="1430"/>
      <c r="B147" s="1439" t="s">
        <v>1419</v>
      </c>
    </row>
    <row r="148" spans="1:2" x14ac:dyDescent="0.25">
      <c r="A148" s="1430"/>
    </row>
    <row r="149" spans="1:2" x14ac:dyDescent="0.25">
      <c r="A149" s="1430" t="s">
        <v>1420</v>
      </c>
      <c r="B149" s="1432" t="s">
        <v>1421</v>
      </c>
    </row>
    <row r="150" spans="1:2" x14ac:dyDescent="0.25">
      <c r="A150" s="1430" t="s">
        <v>1422</v>
      </c>
      <c r="B150" s="1443" t="s">
        <v>1423</v>
      </c>
    </row>
    <row r="151" spans="1:2" x14ac:dyDescent="0.25">
      <c r="B151" s="1443" t="s">
        <v>1424</v>
      </c>
    </row>
    <row r="152" spans="1:2" x14ac:dyDescent="0.25">
      <c r="A152" s="1430"/>
      <c r="B152" s="1443">
        <v>2060</v>
      </c>
    </row>
    <row r="153" spans="1:2" x14ac:dyDescent="0.25">
      <c r="A153" s="1430"/>
      <c r="B153" s="1443">
        <v>2163</v>
      </c>
    </row>
    <row r="154" spans="1:2" x14ac:dyDescent="0.25">
      <c r="A154" s="1430"/>
      <c r="B154" s="1443" t="s">
        <v>1425</v>
      </c>
    </row>
    <row r="155" spans="1:2" x14ac:dyDescent="0.25">
      <c r="A155" s="1430"/>
      <c r="B155" s="1438" t="s">
        <v>1426</v>
      </c>
    </row>
    <row r="156" spans="1:2" x14ac:dyDescent="0.25">
      <c r="A156" s="1430"/>
      <c r="B156" s="1438" t="s">
        <v>1427</v>
      </c>
    </row>
    <row r="157" spans="1:2" x14ac:dyDescent="0.25">
      <c r="A157" s="1430"/>
      <c r="B157" s="1438" t="s">
        <v>1428</v>
      </c>
    </row>
    <row r="158" spans="1:2" x14ac:dyDescent="0.25">
      <c r="A158" s="1430"/>
      <c r="B158" s="1438" t="s">
        <v>1429</v>
      </c>
    </row>
    <row r="159" spans="1:2" x14ac:dyDescent="0.25">
      <c r="A159" s="1430"/>
      <c r="B159" s="1438" t="s">
        <v>1430</v>
      </c>
    </row>
    <row r="160" spans="1:2" x14ac:dyDescent="0.25">
      <c r="A160" s="1430"/>
      <c r="B160" s="1438" t="s">
        <v>1431</v>
      </c>
    </row>
    <row r="161" spans="1:2" x14ac:dyDescent="0.25">
      <c r="A161" s="1430"/>
      <c r="B161" s="1439" t="s">
        <v>1432</v>
      </c>
    </row>
    <row r="162" spans="1:2" x14ac:dyDescent="0.25">
      <c r="A162" s="1430"/>
      <c r="B162" s="1430"/>
    </row>
    <row r="163" spans="1:2" x14ac:dyDescent="0.25">
      <c r="A163" s="1430" t="s">
        <v>1433</v>
      </c>
      <c r="B163" s="1440" t="s">
        <v>1421</v>
      </c>
    </row>
    <row r="164" spans="1:2" x14ac:dyDescent="0.25">
      <c r="A164" s="1430" t="s">
        <v>1434</v>
      </c>
      <c r="B164" s="1438" t="s">
        <v>196</v>
      </c>
    </row>
    <row r="165" spans="1:2" x14ac:dyDescent="0.25">
      <c r="B165" s="1438" t="s">
        <v>1435</v>
      </c>
    </row>
    <row r="166" spans="1:2" x14ac:dyDescent="0.25">
      <c r="A166" s="1430"/>
      <c r="B166" s="1438" t="s">
        <v>1425</v>
      </c>
    </row>
    <row r="167" spans="1:2" x14ac:dyDescent="0.25">
      <c r="A167" s="1430"/>
      <c r="B167" s="1438" t="s">
        <v>1436</v>
      </c>
    </row>
    <row r="168" spans="1:2" x14ac:dyDescent="0.25">
      <c r="A168" s="1430"/>
      <c r="B168" s="1438" t="s">
        <v>1437</v>
      </c>
    </row>
    <row r="169" spans="1:2" x14ac:dyDescent="0.25">
      <c r="A169" s="1430"/>
      <c r="B169" s="1439" t="s">
        <v>1438</v>
      </c>
    </row>
    <row r="170" spans="1:2" x14ac:dyDescent="0.25">
      <c r="A170" s="1430"/>
      <c r="B170" s="1430"/>
    </row>
    <row r="171" spans="1:2" x14ac:dyDescent="0.25">
      <c r="A171" s="1430" t="s">
        <v>1439</v>
      </c>
      <c r="B171" s="1432" t="s">
        <v>1172</v>
      </c>
    </row>
    <row r="172" spans="1:2" x14ac:dyDescent="0.25">
      <c r="A172" s="1430" t="s">
        <v>1440</v>
      </c>
      <c r="B172" s="1443" t="s">
        <v>1441</v>
      </c>
    </row>
    <row r="173" spans="1:2" x14ac:dyDescent="0.25">
      <c r="A173" s="1430"/>
      <c r="B173" s="1443" t="s">
        <v>1442</v>
      </c>
    </row>
    <row r="174" spans="1:2" x14ac:dyDescent="0.25">
      <c r="A174" s="1430"/>
      <c r="B174" s="1443" t="s">
        <v>1443</v>
      </c>
    </row>
    <row r="175" spans="1:2" x14ac:dyDescent="0.25">
      <c r="A175" s="1430"/>
      <c r="B175" s="1443" t="s">
        <v>1444</v>
      </c>
    </row>
    <row r="176" spans="1:2" x14ac:dyDescent="0.25">
      <c r="A176" s="1430"/>
      <c r="B176" s="1443" t="s">
        <v>1445</v>
      </c>
    </row>
    <row r="177" spans="1:2" x14ac:dyDescent="0.25">
      <c r="A177" s="1430"/>
      <c r="B177" s="1439" t="s">
        <v>1446</v>
      </c>
    </row>
    <row r="178" spans="1:2" x14ac:dyDescent="0.25">
      <c r="A178" s="1430"/>
      <c r="B178" s="1430"/>
    </row>
    <row r="179" spans="1:2" x14ac:dyDescent="0.25">
      <c r="A179" s="1430" t="s">
        <v>1447</v>
      </c>
      <c r="B179" s="1440" t="s">
        <v>1448</v>
      </c>
    </row>
    <row r="180" spans="1:2" x14ac:dyDescent="0.25">
      <c r="A180" s="1430" t="s">
        <v>1449</v>
      </c>
      <c r="B180" s="1438" t="s">
        <v>1450</v>
      </c>
    </row>
    <row r="181" spans="1:2" x14ac:dyDescent="0.25">
      <c r="A181" s="1430"/>
      <c r="B181" s="1439" t="s">
        <v>1451</v>
      </c>
    </row>
    <row r="182" spans="1:2" x14ac:dyDescent="0.25">
      <c r="A182" s="1430"/>
      <c r="B182" s="1430"/>
    </row>
    <row r="183" spans="1:2" x14ac:dyDescent="0.25">
      <c r="A183" s="1430"/>
      <c r="B183" s="1430"/>
    </row>
    <row r="184" spans="1:2" x14ac:dyDescent="0.25">
      <c r="A184" s="1430" t="s">
        <v>1452</v>
      </c>
      <c r="B184" s="1440" t="s">
        <v>1453</v>
      </c>
    </row>
    <row r="185" spans="1:2" x14ac:dyDescent="0.25">
      <c r="A185" s="1430"/>
      <c r="B185" s="1438" t="s">
        <v>1454</v>
      </c>
    </row>
    <row r="186" spans="1:2" x14ac:dyDescent="0.25">
      <c r="A186" s="1430"/>
      <c r="B186" s="1438" t="s">
        <v>1455</v>
      </c>
    </row>
    <row r="187" spans="1:2" x14ac:dyDescent="0.25">
      <c r="A187" s="1430"/>
      <c r="B187" s="1438" t="s">
        <v>1456</v>
      </c>
    </row>
    <row r="188" spans="1:2" x14ac:dyDescent="0.25">
      <c r="A188" s="1430"/>
      <c r="B188" s="1438" t="s">
        <v>1457</v>
      </c>
    </row>
    <row r="189" spans="1:2" x14ac:dyDescent="0.25">
      <c r="A189" s="1430"/>
      <c r="B189" s="1439" t="s">
        <v>1226</v>
      </c>
    </row>
    <row r="190" spans="1:2" x14ac:dyDescent="0.25">
      <c r="A190" s="1430"/>
      <c r="B190" s="1430"/>
    </row>
    <row r="191" spans="1:2" x14ac:dyDescent="0.25">
      <c r="A191" s="1430"/>
      <c r="B191" s="1430"/>
    </row>
    <row r="192" spans="1:2" x14ac:dyDescent="0.25">
      <c r="A192" s="1430" t="s">
        <v>1458</v>
      </c>
      <c r="B192" s="1440" t="s">
        <v>1240</v>
      </c>
    </row>
    <row r="193" spans="1:2" x14ac:dyDescent="0.25">
      <c r="A193" s="1430"/>
      <c r="B193" s="1438" t="s">
        <v>1459</v>
      </c>
    </row>
    <row r="194" spans="1:2" x14ac:dyDescent="0.25">
      <c r="A194" s="1430"/>
      <c r="B194" s="1439" t="s">
        <v>1460</v>
      </c>
    </row>
    <row r="195" spans="1:2" x14ac:dyDescent="0.25">
      <c r="A195" s="1430"/>
      <c r="B195" s="1430"/>
    </row>
    <row r="196" spans="1:2" x14ac:dyDescent="0.25">
      <c r="A196" s="1430" t="s">
        <v>1461</v>
      </c>
      <c r="B196" s="1440" t="s">
        <v>1462</v>
      </c>
    </row>
    <row r="197" spans="1:2" x14ac:dyDescent="0.25">
      <c r="A197" s="1430" t="s">
        <v>1463</v>
      </c>
      <c r="B197" s="1438" t="s">
        <v>1464</v>
      </c>
    </row>
    <row r="198" spans="1:2" x14ac:dyDescent="0.25">
      <c r="A198" s="1430"/>
      <c r="B198" s="1438" t="s">
        <v>1465</v>
      </c>
    </row>
    <row r="199" spans="1:2" x14ac:dyDescent="0.25">
      <c r="A199" s="1430"/>
      <c r="B199" s="1438" t="s">
        <v>1466</v>
      </c>
    </row>
    <row r="200" spans="1:2" x14ac:dyDescent="0.25">
      <c r="A200" s="1430"/>
      <c r="B200" s="1438" t="s">
        <v>1467</v>
      </c>
    </row>
    <row r="201" spans="1:2" x14ac:dyDescent="0.25">
      <c r="A201" s="1430"/>
      <c r="B201" s="1438" t="s">
        <v>1468</v>
      </c>
    </row>
    <row r="202" spans="1:2" x14ac:dyDescent="0.25">
      <c r="A202" s="1430"/>
      <c r="B202" s="1438" t="s">
        <v>1469</v>
      </c>
    </row>
    <row r="203" spans="1:2" x14ac:dyDescent="0.25">
      <c r="A203" s="1430"/>
      <c r="B203" s="1438" t="s">
        <v>1470</v>
      </c>
    </row>
    <row r="204" spans="1:2" x14ac:dyDescent="0.25">
      <c r="A204" s="1430"/>
      <c r="B204" s="1438" t="s">
        <v>1471</v>
      </c>
    </row>
    <row r="205" spans="1:2" x14ac:dyDescent="0.25">
      <c r="A205" s="1430"/>
      <c r="B205" s="1438" t="s">
        <v>1472</v>
      </c>
    </row>
    <row r="206" spans="1:2" x14ac:dyDescent="0.25">
      <c r="A206" s="1430"/>
      <c r="B206" s="1438" t="s">
        <v>1473</v>
      </c>
    </row>
    <row r="207" spans="1:2" x14ac:dyDescent="0.25">
      <c r="A207" s="1430"/>
      <c r="B207" s="1438" t="s">
        <v>1474</v>
      </c>
    </row>
    <row r="208" spans="1:2" x14ac:dyDescent="0.25">
      <c r="A208" s="1430"/>
      <c r="B208" s="1438" t="s">
        <v>1475</v>
      </c>
    </row>
    <row r="209" spans="1:2" x14ac:dyDescent="0.25">
      <c r="A209" s="1430"/>
      <c r="B209" s="1439" t="s">
        <v>1476</v>
      </c>
    </row>
    <row r="210" spans="1:2" x14ac:dyDescent="0.25">
      <c r="A210" s="1430"/>
      <c r="B210" s="1430"/>
    </row>
    <row r="211" spans="1:2" x14ac:dyDescent="0.25">
      <c r="A211" s="1430" t="s">
        <v>1477</v>
      </c>
      <c r="B211" s="1432" t="s">
        <v>1187</v>
      </c>
    </row>
    <row r="212" spans="1:2" x14ac:dyDescent="0.25">
      <c r="A212" s="1430" t="s">
        <v>1478</v>
      </c>
      <c r="B212" s="1438" t="s">
        <v>1479</v>
      </c>
    </row>
    <row r="213" spans="1:2" x14ac:dyDescent="0.25">
      <c r="A213" s="1430"/>
      <c r="B213" s="1438" t="s">
        <v>1480</v>
      </c>
    </row>
    <row r="214" spans="1:2" x14ac:dyDescent="0.25">
      <c r="A214" s="1430"/>
      <c r="B214" s="1439" t="s">
        <v>1481</v>
      </c>
    </row>
    <row r="215" spans="1:2" x14ac:dyDescent="0.25">
      <c r="A215" s="1430"/>
      <c r="B215" s="1430"/>
    </row>
    <row r="216" spans="1:2" x14ac:dyDescent="0.25">
      <c r="A216" s="1430" t="s">
        <v>1482</v>
      </c>
      <c r="B216" s="1440" t="s">
        <v>1483</v>
      </c>
    </row>
    <row r="217" spans="1:2" x14ac:dyDescent="0.25">
      <c r="A217" s="1430" t="s">
        <v>1484</v>
      </c>
      <c r="B217" s="1438" t="s">
        <v>1485</v>
      </c>
    </row>
    <row r="218" spans="1:2" x14ac:dyDescent="0.25">
      <c r="A218" s="1430"/>
      <c r="B218" s="1439" t="s">
        <v>1419</v>
      </c>
    </row>
    <row r="219" spans="1:2" x14ac:dyDescent="0.25">
      <c r="A219" s="1430"/>
      <c r="B219" s="1430"/>
    </row>
    <row r="220" spans="1:2" x14ac:dyDescent="0.25">
      <c r="A220" s="1430" t="s">
        <v>1486</v>
      </c>
      <c r="B220" s="1440" t="s">
        <v>1487</v>
      </c>
    </row>
    <row r="221" spans="1:2" x14ac:dyDescent="0.25">
      <c r="A221" s="1430" t="s">
        <v>1488</v>
      </c>
      <c r="B221" s="1438" t="s">
        <v>1485</v>
      </c>
    </row>
    <row r="222" spans="1:2" x14ac:dyDescent="0.25">
      <c r="A222" s="1430"/>
      <c r="B222" s="1439" t="s">
        <v>1419</v>
      </c>
    </row>
    <row r="223" spans="1:2" x14ac:dyDescent="0.25">
      <c r="A223" s="1430"/>
      <c r="B223" s="1430"/>
    </row>
    <row r="224" spans="1:2" x14ac:dyDescent="0.25">
      <c r="A224" s="1430" t="s">
        <v>1489</v>
      </c>
      <c r="B224" s="1440" t="s">
        <v>1263</v>
      </c>
    </row>
    <row r="225" spans="1:2" x14ac:dyDescent="0.25">
      <c r="A225" s="1430" t="s">
        <v>1490</v>
      </c>
      <c r="B225" s="1438" t="s">
        <v>1491</v>
      </c>
    </row>
    <row r="226" spans="1:2" x14ac:dyDescent="0.25">
      <c r="B226" s="1438" t="s">
        <v>1492</v>
      </c>
    </row>
    <row r="227" spans="1:2" x14ac:dyDescent="0.25">
      <c r="A227" s="1430"/>
      <c r="B227" s="1433" t="s">
        <v>1493</v>
      </c>
    </row>
    <row r="228" spans="1:2" x14ac:dyDescent="0.25">
      <c r="A228" s="1430"/>
      <c r="B228" s="1434" t="s">
        <v>1494</v>
      </c>
    </row>
    <row r="229" spans="1:2" x14ac:dyDescent="0.25">
      <c r="A229" s="1430"/>
      <c r="B229" s="1430"/>
    </row>
    <row r="230" spans="1:2" x14ac:dyDescent="0.25">
      <c r="A230" s="1430" t="s">
        <v>1489</v>
      </c>
      <c r="B230" s="1440" t="s">
        <v>1264</v>
      </c>
    </row>
    <row r="231" spans="1:2" x14ac:dyDescent="0.25">
      <c r="A231" s="1430" t="s">
        <v>1495</v>
      </c>
      <c r="B231" s="1438" t="s">
        <v>1496</v>
      </c>
    </row>
    <row r="232" spans="1:2" x14ac:dyDescent="0.25">
      <c r="B232" s="1438" t="s">
        <v>1497</v>
      </c>
    </row>
    <row r="233" spans="1:2" x14ac:dyDescent="0.25">
      <c r="A233" s="1430"/>
      <c r="B233" s="1438" t="s">
        <v>1498</v>
      </c>
    </row>
    <row r="234" spans="1:2" x14ac:dyDescent="0.25">
      <c r="A234" s="1430"/>
      <c r="B234" s="1438" t="s">
        <v>1499</v>
      </c>
    </row>
    <row r="235" spans="1:2" x14ac:dyDescent="0.25">
      <c r="A235" s="1430"/>
      <c r="B235" s="1438" t="s">
        <v>1500</v>
      </c>
    </row>
    <row r="236" spans="1:2" x14ac:dyDescent="0.25">
      <c r="A236" s="1430"/>
      <c r="B236" s="1438" t="s">
        <v>1501</v>
      </c>
    </row>
    <row r="237" spans="1:2" x14ac:dyDescent="0.25">
      <c r="A237" s="1430"/>
      <c r="B237" s="1438" t="s">
        <v>1502</v>
      </c>
    </row>
    <row r="238" spans="1:2" x14ac:dyDescent="0.25">
      <c r="A238" s="1430"/>
      <c r="B238" s="1438" t="s">
        <v>1503</v>
      </c>
    </row>
    <row r="239" spans="1:2" x14ac:dyDescent="0.25">
      <c r="A239" s="1430"/>
      <c r="B239" s="1438" t="s">
        <v>1504</v>
      </c>
    </row>
    <row r="240" spans="1:2" x14ac:dyDescent="0.25">
      <c r="A240" s="1430"/>
      <c r="B240" s="1438" t="s">
        <v>1505</v>
      </c>
    </row>
    <row r="241" spans="1:2" x14ac:dyDescent="0.25">
      <c r="A241" s="1430"/>
      <c r="B241" s="1438" t="s">
        <v>1506</v>
      </c>
    </row>
    <row r="242" spans="1:2" x14ac:dyDescent="0.25">
      <c r="A242" s="1430"/>
      <c r="B242" s="1438" t="s">
        <v>1507</v>
      </c>
    </row>
    <row r="243" spans="1:2" x14ac:dyDescent="0.25">
      <c r="A243" s="1430"/>
      <c r="B243" s="1438" t="s">
        <v>1508</v>
      </c>
    </row>
    <row r="244" spans="1:2" x14ac:dyDescent="0.25">
      <c r="A244" s="1430"/>
      <c r="B244" s="1438" t="s">
        <v>1509</v>
      </c>
    </row>
    <row r="245" spans="1:2" x14ac:dyDescent="0.25">
      <c r="A245" s="1430"/>
      <c r="B245" s="1438" t="s">
        <v>1510</v>
      </c>
    </row>
    <row r="246" spans="1:2" x14ac:dyDescent="0.25">
      <c r="A246" s="1430"/>
      <c r="B246" s="1438" t="s">
        <v>1511</v>
      </c>
    </row>
    <row r="247" spans="1:2" x14ac:dyDescent="0.25">
      <c r="A247" s="1430"/>
      <c r="B247" s="1438" t="s">
        <v>1512</v>
      </c>
    </row>
    <row r="248" spans="1:2" x14ac:dyDescent="0.25">
      <c r="A248" s="1430"/>
      <c r="B248" s="1438" t="s">
        <v>1513</v>
      </c>
    </row>
    <row r="249" spans="1:2" x14ac:dyDescent="0.25">
      <c r="A249" s="1430"/>
      <c r="B249" s="1438" t="s">
        <v>1514</v>
      </c>
    </row>
    <row r="250" spans="1:2" x14ac:dyDescent="0.25">
      <c r="A250" s="1430"/>
      <c r="B250" s="1438" t="s">
        <v>1515</v>
      </c>
    </row>
    <row r="251" spans="1:2" x14ac:dyDescent="0.25">
      <c r="A251" s="1430"/>
      <c r="B251" s="1438" t="s">
        <v>1516</v>
      </c>
    </row>
    <row r="252" spans="1:2" x14ac:dyDescent="0.25">
      <c r="A252" s="1430"/>
      <c r="B252" s="1438" t="s">
        <v>1517</v>
      </c>
    </row>
    <row r="253" spans="1:2" x14ac:dyDescent="0.25">
      <c r="A253" s="1430"/>
      <c r="B253" s="1438" t="s">
        <v>1518</v>
      </c>
    </row>
    <row r="254" spans="1:2" x14ac:dyDescent="0.25">
      <c r="A254" s="1430"/>
      <c r="B254" s="1438" t="s">
        <v>1519</v>
      </c>
    </row>
    <row r="255" spans="1:2" x14ac:dyDescent="0.25">
      <c r="A255" s="1430"/>
      <c r="B255" s="1438" t="s">
        <v>1520</v>
      </c>
    </row>
    <row r="256" spans="1:2" x14ac:dyDescent="0.25">
      <c r="A256" s="1430"/>
      <c r="B256" s="1438" t="s">
        <v>1521</v>
      </c>
    </row>
    <row r="257" spans="1:2" x14ac:dyDescent="0.25">
      <c r="A257" s="1430"/>
      <c r="B257" s="1438" t="s">
        <v>1522</v>
      </c>
    </row>
    <row r="258" spans="1:2" x14ac:dyDescent="0.25">
      <c r="A258" s="1430"/>
      <c r="B258" s="1438" t="s">
        <v>1523</v>
      </c>
    </row>
    <row r="259" spans="1:2" x14ac:dyDescent="0.25">
      <c r="A259" s="1430"/>
      <c r="B259" s="1438" t="s">
        <v>1524</v>
      </c>
    </row>
    <row r="260" spans="1:2" x14ac:dyDescent="0.25">
      <c r="A260" s="1430"/>
      <c r="B260" s="1438" t="s">
        <v>1525</v>
      </c>
    </row>
    <row r="261" spans="1:2" x14ac:dyDescent="0.25">
      <c r="A261" s="1430"/>
      <c r="B261" s="1438" t="s">
        <v>1526</v>
      </c>
    </row>
    <row r="262" spans="1:2" x14ac:dyDescent="0.25">
      <c r="A262" s="1430"/>
      <c r="B262" s="1438" t="s">
        <v>1527</v>
      </c>
    </row>
    <row r="263" spans="1:2" x14ac:dyDescent="0.25">
      <c r="A263" s="1430"/>
      <c r="B263" s="1438" t="s">
        <v>1528</v>
      </c>
    </row>
    <row r="264" spans="1:2" x14ac:dyDescent="0.25">
      <c r="A264" s="1430"/>
      <c r="B264" s="1438" t="s">
        <v>1529</v>
      </c>
    </row>
    <row r="265" spans="1:2" x14ac:dyDescent="0.25">
      <c r="A265" s="1430"/>
      <c r="B265" s="1438" t="s">
        <v>1530</v>
      </c>
    </row>
    <row r="266" spans="1:2" x14ac:dyDescent="0.25">
      <c r="A266" s="1430"/>
      <c r="B266" s="1438" t="s">
        <v>1531</v>
      </c>
    </row>
    <row r="267" spans="1:2" x14ac:dyDescent="0.25">
      <c r="A267" s="1430"/>
      <c r="B267" s="1438" t="s">
        <v>1532</v>
      </c>
    </row>
    <row r="268" spans="1:2" x14ac:dyDescent="0.25">
      <c r="A268" s="1430"/>
      <c r="B268" s="1438" t="s">
        <v>1533</v>
      </c>
    </row>
    <row r="269" spans="1:2" x14ac:dyDescent="0.25">
      <c r="A269" s="1430"/>
      <c r="B269" s="1438" t="s">
        <v>1347</v>
      </c>
    </row>
    <row r="270" spans="1:2" x14ac:dyDescent="0.25">
      <c r="A270" s="1430"/>
      <c r="B270" s="1438" t="s">
        <v>1534</v>
      </c>
    </row>
    <row r="271" spans="1:2" x14ac:dyDescent="0.25">
      <c r="A271" s="1430"/>
      <c r="B271" s="1438" t="s">
        <v>1535</v>
      </c>
    </row>
    <row r="272" spans="1:2" x14ac:dyDescent="0.25">
      <c r="A272" s="1430"/>
      <c r="B272" s="1438" t="s">
        <v>1536</v>
      </c>
    </row>
    <row r="273" spans="1:3" x14ac:dyDescent="0.25">
      <c r="A273" s="1430"/>
      <c r="B273" s="1438" t="s">
        <v>1537</v>
      </c>
    </row>
    <row r="274" spans="1:3" x14ac:dyDescent="0.25">
      <c r="A274" s="1430"/>
      <c r="B274" s="1438" t="s">
        <v>1538</v>
      </c>
    </row>
    <row r="275" spans="1:3" x14ac:dyDescent="0.25">
      <c r="A275" s="1430"/>
      <c r="B275" s="1438" t="s">
        <v>1539</v>
      </c>
    </row>
    <row r="276" spans="1:3" x14ac:dyDescent="0.25">
      <c r="A276" s="1430"/>
      <c r="B276" s="1438" t="s">
        <v>1540</v>
      </c>
    </row>
    <row r="277" spans="1:3" x14ac:dyDescent="0.25">
      <c r="A277" s="1430"/>
      <c r="B277" s="1438" t="s">
        <v>1350</v>
      </c>
    </row>
    <row r="278" spans="1:3" x14ac:dyDescent="0.25">
      <c r="A278" s="1430"/>
      <c r="B278" s="1438" t="s">
        <v>1541</v>
      </c>
    </row>
    <row r="279" spans="1:3" x14ac:dyDescent="0.25">
      <c r="A279" s="1430"/>
      <c r="B279" s="1439" t="s">
        <v>1542</v>
      </c>
    </row>
    <row r="280" spans="1:3" x14ac:dyDescent="0.25">
      <c r="A280" s="1430"/>
      <c r="B280" s="1430"/>
    </row>
    <row r="281" spans="1:3" x14ac:dyDescent="0.25">
      <c r="A281" s="1430" t="s">
        <v>1543</v>
      </c>
      <c r="B281" s="1432" t="s">
        <v>1187</v>
      </c>
    </row>
    <row r="282" spans="1:3" x14ac:dyDescent="0.25">
      <c r="A282" s="1430"/>
      <c r="B282" s="1438" t="s">
        <v>1544</v>
      </c>
    </row>
    <row r="283" spans="1:3" x14ac:dyDescent="0.25">
      <c r="A283" s="1430"/>
      <c r="B283" s="1438" t="s">
        <v>1545</v>
      </c>
    </row>
    <row r="284" spans="1:3" x14ac:dyDescent="0.25">
      <c r="A284" s="1430"/>
      <c r="B284" s="1439" t="s">
        <v>1546</v>
      </c>
    </row>
    <row r="285" spans="1:3" x14ac:dyDescent="0.25">
      <c r="A285" s="1430"/>
      <c r="B285" s="1430"/>
    </row>
    <row r="286" spans="1:3" x14ac:dyDescent="0.25">
      <c r="A286" s="1457"/>
      <c r="B286" s="1458"/>
      <c r="C286" s="1455"/>
    </row>
    <row r="287" spans="1:3" x14ac:dyDescent="0.25">
      <c r="A287" s="1455"/>
      <c r="B287" s="1455"/>
      <c r="C287" s="1455"/>
    </row>
    <row r="288" spans="1:3" x14ac:dyDescent="0.25">
      <c r="A288" s="1456" t="s">
        <v>1602</v>
      </c>
      <c r="B288" s="1507" t="s">
        <v>1547</v>
      </c>
    </row>
    <row r="289" spans="1:2" x14ac:dyDescent="0.25">
      <c r="A289" s="1455" t="s">
        <v>1603</v>
      </c>
      <c r="B289" s="1508" t="s">
        <v>1604</v>
      </c>
    </row>
    <row r="290" spans="1:2" x14ac:dyDescent="0.25">
      <c r="A290" s="1455"/>
      <c r="B290" s="1508" t="s">
        <v>1605</v>
      </c>
    </row>
    <row r="291" spans="1:2" x14ac:dyDescent="0.25">
      <c r="A291" s="1455"/>
      <c r="B291" s="1508" t="s">
        <v>1606</v>
      </c>
    </row>
    <row r="292" spans="1:2" x14ac:dyDescent="0.25">
      <c r="A292" s="1455"/>
      <c r="B292" s="1508" t="s">
        <v>1607</v>
      </c>
    </row>
    <row r="293" spans="1:2" x14ac:dyDescent="0.25">
      <c r="A293" s="1455"/>
      <c r="B293" s="1508" t="s">
        <v>1608</v>
      </c>
    </row>
    <row r="294" spans="1:2" x14ac:dyDescent="0.25">
      <c r="A294" s="1455"/>
      <c r="B294" s="1509" t="s">
        <v>1609</v>
      </c>
    </row>
    <row r="295" spans="1:2" x14ac:dyDescent="0.25">
      <c r="A295" s="1455"/>
      <c r="B295" s="1455"/>
    </row>
    <row r="296" spans="1:2" x14ac:dyDescent="0.25">
      <c r="A296" s="1456" t="s">
        <v>1377</v>
      </c>
      <c r="B296" s="1507" t="s">
        <v>1187</v>
      </c>
    </row>
    <row r="297" spans="1:2" x14ac:dyDescent="0.25">
      <c r="A297" s="1455" t="s">
        <v>1610</v>
      </c>
      <c r="B297" s="1438" t="s">
        <v>1611</v>
      </c>
    </row>
    <row r="298" spans="1:2" x14ac:dyDescent="0.25">
      <c r="A298" s="1455"/>
      <c r="B298" s="1438" t="s">
        <v>1612</v>
      </c>
    </row>
    <row r="299" spans="1:2" x14ac:dyDescent="0.25">
      <c r="A299" s="1455"/>
      <c r="B299" s="1438" t="s">
        <v>1613</v>
      </c>
    </row>
    <row r="300" spans="1:2" x14ac:dyDescent="0.25">
      <c r="A300" s="1455"/>
      <c r="B300" s="1438" t="s">
        <v>1614</v>
      </c>
    </row>
    <row r="301" spans="1:2" x14ac:dyDescent="0.25">
      <c r="A301" s="1455"/>
      <c r="B301" s="1438" t="s">
        <v>1615</v>
      </c>
    </row>
    <row r="302" spans="1:2" x14ac:dyDescent="0.25">
      <c r="A302" s="1455"/>
      <c r="B302" s="1438" t="s">
        <v>1616</v>
      </c>
    </row>
    <row r="303" spans="1:2" x14ac:dyDescent="0.25">
      <c r="A303" s="1455"/>
      <c r="B303" s="1438" t="s">
        <v>1617</v>
      </c>
    </row>
    <row r="304" spans="1:2" x14ac:dyDescent="0.25">
      <c r="A304" s="1455"/>
      <c r="B304" s="1438" t="s">
        <v>1618</v>
      </c>
    </row>
    <row r="305" spans="1:2" x14ac:dyDescent="0.25">
      <c r="A305" s="1455"/>
      <c r="B305" s="1438" t="s">
        <v>1619</v>
      </c>
    </row>
    <row r="306" spans="1:2" x14ac:dyDescent="0.25">
      <c r="A306" s="1455"/>
      <c r="B306" s="1438" t="s">
        <v>1620</v>
      </c>
    </row>
    <row r="307" spans="1:2" x14ac:dyDescent="0.25">
      <c r="A307" s="1455"/>
      <c r="B307" s="1439" t="s">
        <v>1621</v>
      </c>
    </row>
    <row r="308" spans="1:2" x14ac:dyDescent="0.25">
      <c r="A308" s="1455"/>
      <c r="B308" s="1455"/>
    </row>
    <row r="309" spans="1:2" x14ac:dyDescent="0.25">
      <c r="A309" s="1430" t="s">
        <v>1622</v>
      </c>
      <c r="B309" s="1440" t="s">
        <v>1187</v>
      </c>
    </row>
    <row r="310" spans="1:2" x14ac:dyDescent="0.25">
      <c r="A310" s="1430"/>
      <c r="B310" s="1442" t="s">
        <v>1623</v>
      </c>
    </row>
    <row r="311" spans="1:2" x14ac:dyDescent="0.25">
      <c r="A311" s="1430"/>
      <c r="B311" s="1442" t="s">
        <v>1624</v>
      </c>
    </row>
    <row r="312" spans="1:2" x14ac:dyDescent="0.25">
      <c r="A312" s="1430"/>
      <c r="B312" s="1441" t="s">
        <v>1625</v>
      </c>
    </row>
    <row r="313" spans="1:2" x14ac:dyDescent="0.25">
      <c r="A313" s="1430"/>
      <c r="B313" s="1442"/>
    </row>
    <row r="314" spans="1:2" x14ac:dyDescent="0.25">
      <c r="A314" s="1430" t="s">
        <v>1626</v>
      </c>
      <c r="B314" s="1440" t="s">
        <v>1187</v>
      </c>
    </row>
    <row r="315" spans="1:2" x14ac:dyDescent="0.25">
      <c r="A315" s="1430"/>
      <c r="B315" s="1442" t="s">
        <v>1627</v>
      </c>
    </row>
    <row r="316" spans="1:2" x14ac:dyDescent="0.25">
      <c r="A316" s="1430"/>
      <c r="B316" s="1442" t="s">
        <v>1628</v>
      </c>
    </row>
    <row r="317" spans="1:2" x14ac:dyDescent="0.25">
      <c r="A317" s="1430"/>
      <c r="B317" s="1441" t="s">
        <v>1629</v>
      </c>
    </row>
    <row r="318" spans="1:2" x14ac:dyDescent="0.25">
      <c r="A318" s="1430"/>
      <c r="B318" s="1442"/>
    </row>
    <row r="319" spans="1:2" x14ac:dyDescent="0.25">
      <c r="A319" s="1430" t="s">
        <v>1630</v>
      </c>
      <c r="B319" s="1440" t="s">
        <v>1187</v>
      </c>
    </row>
    <row r="320" spans="1:2" x14ac:dyDescent="0.25">
      <c r="A320" s="1430"/>
      <c r="B320" s="1442" t="s">
        <v>1631</v>
      </c>
    </row>
    <row r="321" spans="1:2" x14ac:dyDescent="0.25">
      <c r="A321" s="1430"/>
      <c r="B321" s="1508" t="s">
        <v>1632</v>
      </c>
    </row>
    <row r="322" spans="1:2" x14ac:dyDescent="0.25">
      <c r="A322" s="1430"/>
      <c r="B322" s="1509" t="s">
        <v>1633</v>
      </c>
    </row>
    <row r="323" spans="1:2" x14ac:dyDescent="0.25">
      <c r="A323" s="1430"/>
      <c r="B323" s="1430"/>
    </row>
    <row r="324" spans="1:2" x14ac:dyDescent="0.25">
      <c r="A324" s="1430" t="s">
        <v>1436</v>
      </c>
      <c r="B324" s="1440" t="s">
        <v>1187</v>
      </c>
    </row>
    <row r="325" spans="1:2" x14ac:dyDescent="0.25">
      <c r="A325" s="1430" t="s">
        <v>1634</v>
      </c>
      <c r="B325" s="1438" t="s">
        <v>1635</v>
      </c>
    </row>
    <row r="326" spans="1:2" x14ac:dyDescent="0.25">
      <c r="A326" s="1455"/>
      <c r="B326" s="1438" t="s">
        <v>1636</v>
      </c>
    </row>
    <row r="327" spans="1:2" x14ac:dyDescent="0.25">
      <c r="A327" s="1430"/>
      <c r="B327" s="1438" t="s">
        <v>1637</v>
      </c>
    </row>
    <row r="328" spans="1:2" x14ac:dyDescent="0.25">
      <c r="A328" s="1430"/>
      <c r="B328" s="1439" t="s">
        <v>1638</v>
      </c>
    </row>
    <row r="329" spans="1:2" x14ac:dyDescent="0.25">
      <c r="A329" s="1430"/>
      <c r="B329" s="1430"/>
    </row>
    <row r="330" spans="1:2" x14ac:dyDescent="0.25">
      <c r="A330" s="1430"/>
      <c r="B330" s="1430"/>
    </row>
    <row r="331" spans="1:2" x14ac:dyDescent="0.25">
      <c r="A331" s="1455" t="s">
        <v>1639</v>
      </c>
      <c r="B331" s="1507" t="s">
        <v>1187</v>
      </c>
    </row>
    <row r="332" spans="1:2" x14ac:dyDescent="0.25">
      <c r="A332" s="1455" t="s">
        <v>1640</v>
      </c>
      <c r="B332" s="1508" t="s">
        <v>1641</v>
      </c>
    </row>
    <row r="333" spans="1:2" x14ac:dyDescent="0.25">
      <c r="A333" s="1455"/>
      <c r="B333" s="1508" t="s">
        <v>1642</v>
      </c>
    </row>
    <row r="334" spans="1:2" x14ac:dyDescent="0.25">
      <c r="A334" s="1455"/>
      <c r="B334" s="1509" t="s">
        <v>1643</v>
      </c>
    </row>
    <row r="335" spans="1:2" x14ac:dyDescent="0.25">
      <c r="A335" s="1455"/>
      <c r="B335" s="1455"/>
    </row>
    <row r="336" spans="1:2" x14ac:dyDescent="0.25">
      <c r="A336" s="1455" t="s">
        <v>1644</v>
      </c>
      <c r="B336" s="1507" t="s">
        <v>1187</v>
      </c>
    </row>
    <row r="337" spans="1:2" x14ac:dyDescent="0.25">
      <c r="A337" s="1455" t="s">
        <v>1645</v>
      </c>
      <c r="B337" s="1508" t="s">
        <v>1646</v>
      </c>
    </row>
    <row r="338" spans="1:2" x14ac:dyDescent="0.25">
      <c r="A338" s="1455"/>
      <c r="B338" s="1508" t="s">
        <v>1647</v>
      </c>
    </row>
    <row r="339" spans="1:2" x14ac:dyDescent="0.25">
      <c r="A339" s="1455"/>
      <c r="B339" s="1508" t="s">
        <v>1648</v>
      </c>
    </row>
    <row r="340" spans="1:2" x14ac:dyDescent="0.25">
      <c r="A340" s="1455"/>
      <c r="B340" s="1508" t="s">
        <v>1649</v>
      </c>
    </row>
    <row r="341" spans="1:2" x14ac:dyDescent="0.25">
      <c r="A341" s="1455"/>
      <c r="B341" s="1508" t="s">
        <v>1650</v>
      </c>
    </row>
    <row r="342" spans="1:2" x14ac:dyDescent="0.25">
      <c r="A342" s="1455"/>
      <c r="B342" s="1508" t="s">
        <v>1651</v>
      </c>
    </row>
    <row r="343" spans="1:2" x14ac:dyDescent="0.25">
      <c r="A343" s="1455"/>
      <c r="B343" s="1509" t="s">
        <v>1652</v>
      </c>
    </row>
    <row r="344" spans="1:2" x14ac:dyDescent="0.25">
      <c r="A344" s="1455"/>
      <c r="B344" s="1455"/>
    </row>
    <row r="345" spans="1:2" x14ac:dyDescent="0.25">
      <c r="A345" s="1455"/>
      <c r="B345" s="1455"/>
    </row>
    <row r="346" spans="1:2" x14ac:dyDescent="0.25">
      <c r="A346" s="1455" t="s">
        <v>1452</v>
      </c>
      <c r="B346" s="1507" t="s">
        <v>1653</v>
      </c>
    </row>
    <row r="347" spans="1:2" x14ac:dyDescent="0.25">
      <c r="A347" s="1455" t="s">
        <v>1654</v>
      </c>
      <c r="B347" s="1508" t="s">
        <v>1655</v>
      </c>
    </row>
    <row r="348" spans="1:2" x14ac:dyDescent="0.25">
      <c r="A348" s="1455"/>
      <c r="B348" s="1508" t="s">
        <v>1656</v>
      </c>
    </row>
    <row r="349" spans="1:2" x14ac:dyDescent="0.25">
      <c r="A349" s="1455"/>
      <c r="B349" s="1508" t="s">
        <v>1657</v>
      </c>
    </row>
    <row r="350" spans="1:2" x14ac:dyDescent="0.25">
      <c r="A350" s="1455"/>
      <c r="B350" s="1508" t="s">
        <v>1658</v>
      </c>
    </row>
    <row r="351" spans="1:2" x14ac:dyDescent="0.25">
      <c r="A351" s="1455"/>
      <c r="B351" s="1509" t="s">
        <v>1576</v>
      </c>
    </row>
    <row r="352" spans="1:2" x14ac:dyDescent="0.25">
      <c r="A352" s="1430"/>
      <c r="B352" s="1430"/>
    </row>
    <row r="353" spans="1:2" x14ac:dyDescent="0.25">
      <c r="A353" s="1455"/>
      <c r="B353" s="1455"/>
    </row>
    <row r="354" spans="1:2" x14ac:dyDescent="0.25">
      <c r="A354" s="1455" t="s">
        <v>1659</v>
      </c>
      <c r="B354" s="1507" t="s">
        <v>1187</v>
      </c>
    </row>
    <row r="355" spans="1:2" x14ac:dyDescent="0.25">
      <c r="A355" s="1455" t="s">
        <v>1660</v>
      </c>
      <c r="B355" s="1508" t="s">
        <v>1661</v>
      </c>
    </row>
    <row r="356" spans="1:2" x14ac:dyDescent="0.25">
      <c r="A356" s="1455"/>
      <c r="B356" s="1508" t="s">
        <v>1662</v>
      </c>
    </row>
    <row r="357" spans="1:2" x14ac:dyDescent="0.25">
      <c r="A357" s="1455"/>
      <c r="B357" s="1508" t="s">
        <v>1663</v>
      </c>
    </row>
    <row r="358" spans="1:2" x14ac:dyDescent="0.25">
      <c r="A358" s="1455"/>
      <c r="B358" s="1509" t="s">
        <v>1664</v>
      </c>
    </row>
    <row r="359" spans="1:2" x14ac:dyDescent="0.25">
      <c r="A359" s="1455"/>
      <c r="B359" s="1455"/>
    </row>
    <row r="360" spans="1:2" x14ac:dyDescent="0.25">
      <c r="A360" s="1430"/>
      <c r="B360" s="1430"/>
    </row>
    <row r="361" spans="1:2" x14ac:dyDescent="0.25">
      <c r="A361" s="1430" t="s">
        <v>1543</v>
      </c>
      <c r="B361" s="1507" t="s">
        <v>1187</v>
      </c>
    </row>
    <row r="362" spans="1:2" x14ac:dyDescent="0.25">
      <c r="A362" s="1430" t="s">
        <v>1665</v>
      </c>
      <c r="B362" s="1438" t="s">
        <v>1666</v>
      </c>
    </row>
    <row r="363" spans="1:2" x14ac:dyDescent="0.25">
      <c r="A363" s="1430"/>
      <c r="B363" s="1439" t="s">
        <v>1667</v>
      </c>
    </row>
    <row r="364" spans="1:2" x14ac:dyDescent="0.25">
      <c r="A364" s="1455"/>
      <c r="B364" s="1455"/>
    </row>
    <row r="365" spans="1:2" x14ac:dyDescent="0.25">
      <c r="A365" s="1455"/>
      <c r="B365" s="1455"/>
    </row>
    <row r="366" spans="1:2" x14ac:dyDescent="0.25">
      <c r="A366" s="1455" t="s">
        <v>1668</v>
      </c>
      <c r="B366" s="1510">
        <v>0</v>
      </c>
    </row>
    <row r="367" spans="1:2" x14ac:dyDescent="0.25">
      <c r="A367" s="1455"/>
      <c r="B367" s="1511">
        <v>0.1</v>
      </c>
    </row>
    <row r="368" spans="1:2" x14ac:dyDescent="0.25">
      <c r="A368" s="1455"/>
      <c r="B368" s="1455"/>
    </row>
    <row r="369" spans="1:2" x14ac:dyDescent="0.25">
      <c r="A369" s="1455" t="s">
        <v>1669</v>
      </c>
      <c r="B369" s="1510">
        <v>0</v>
      </c>
    </row>
    <row r="370" spans="1:2" x14ac:dyDescent="0.25">
      <c r="A370" s="1455"/>
      <c r="B370" s="1512">
        <v>0.3</v>
      </c>
    </row>
    <row r="371" spans="1:2" x14ac:dyDescent="0.25">
      <c r="A371" s="1455"/>
      <c r="B371" s="1512">
        <v>0.5</v>
      </c>
    </row>
    <row r="372" spans="1:2" x14ac:dyDescent="0.25">
      <c r="A372" s="1455"/>
      <c r="B372" s="1512">
        <v>0.7</v>
      </c>
    </row>
    <row r="373" spans="1:2" x14ac:dyDescent="0.25">
      <c r="A373" s="1455"/>
      <c r="B373" s="1511">
        <v>1</v>
      </c>
    </row>
    <row r="374" spans="1:2" x14ac:dyDescent="0.25">
      <c r="A374" s="1455"/>
      <c r="B374" s="1455"/>
    </row>
    <row r="375" spans="1:2" x14ac:dyDescent="0.25">
      <c r="A375" s="1455" t="s">
        <v>1670</v>
      </c>
      <c r="B375" s="1510">
        <v>1</v>
      </c>
    </row>
    <row r="376" spans="1:2" x14ac:dyDescent="0.25">
      <c r="A376" s="1455"/>
      <c r="B376" s="1512">
        <v>0.9</v>
      </c>
    </row>
    <row r="377" spans="1:2" x14ac:dyDescent="0.25">
      <c r="A377" s="1455"/>
      <c r="B377" s="1512">
        <v>0.7</v>
      </c>
    </row>
    <row r="378" spans="1:2" x14ac:dyDescent="0.25">
      <c r="A378" s="1455"/>
      <c r="B378" s="1512">
        <v>0.5</v>
      </c>
    </row>
    <row r="379" spans="1:2" x14ac:dyDescent="0.25">
      <c r="A379" s="1455"/>
      <c r="B379" s="1512">
        <v>0.3</v>
      </c>
    </row>
    <row r="380" spans="1:2" x14ac:dyDescent="0.25">
      <c r="A380" s="1455"/>
      <c r="B380" s="1511">
        <v>0</v>
      </c>
    </row>
    <row r="381" spans="1:2" x14ac:dyDescent="0.25">
      <c r="A381" s="1455"/>
      <c r="B381" s="1455"/>
    </row>
    <row r="382" spans="1:2" x14ac:dyDescent="0.25">
      <c r="A382" s="1455" t="s">
        <v>1671</v>
      </c>
      <c r="B382" s="1507" t="s">
        <v>1187</v>
      </c>
    </row>
    <row r="383" spans="1:2" x14ac:dyDescent="0.25">
      <c r="A383" s="1455"/>
      <c r="B383" s="1508" t="s">
        <v>1672</v>
      </c>
    </row>
    <row r="384" spans="1:2" x14ac:dyDescent="0.25">
      <c r="A384" s="1455"/>
      <c r="B384" s="1509" t="s">
        <v>1673</v>
      </c>
    </row>
    <row r="387" spans="1:2" x14ac:dyDescent="0.25">
      <c r="A387" s="1429" t="s">
        <v>1720</v>
      </c>
      <c r="B387" s="1507" t="s">
        <v>541</v>
      </c>
    </row>
    <row r="388" spans="1:2" s="1455" customFormat="1" x14ac:dyDescent="0.25">
      <c r="B388" s="1508" t="s">
        <v>1413</v>
      </c>
    </row>
    <row r="389" spans="1:2" x14ac:dyDescent="0.25">
      <c r="B389" s="1508" t="s">
        <v>1717</v>
      </c>
    </row>
    <row r="390" spans="1:2" x14ac:dyDescent="0.25">
      <c r="B390" s="1508" t="s">
        <v>1718</v>
      </c>
    </row>
    <row r="391" spans="1:2" x14ac:dyDescent="0.25">
      <c r="B391" s="1509" t="s">
        <v>1719</v>
      </c>
    </row>
  </sheetData>
  <sheetProtection password="D666" sheet="1" objects="1" scenarios="1"/>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125" zoomScaleNormal="125" zoomScalePageLayoutView="125" workbookViewId="0">
      <selection activeCell="U35" sqref="U35"/>
    </sheetView>
  </sheetViews>
  <sheetFormatPr defaultColWidth="8.85546875" defaultRowHeight="15" x14ac:dyDescent="0.25"/>
  <sheetData/>
  <sheetProtection password="D666" sheet="1" objects="1" scenarios="1"/>
  <pageMargins left="0.25" right="0.25" top="0.75" bottom="0.75" header="0.3" footer="0.3"/>
  <pageSetup scale="96" orientation="portrait" horizontalDpi="4294967295" verticalDpi="4294967295"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ColWidth="8.85546875" defaultRowHeight="15" x14ac:dyDescent="0.25"/>
  <sheetData/>
  <sheetProtection password="D666" sheet="1" objects="1" scenarios="1"/>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zoomScale="125" zoomScaleNormal="125" zoomScalePageLayoutView="125" workbookViewId="0">
      <selection activeCell="U35" sqref="U35"/>
    </sheetView>
  </sheetViews>
  <sheetFormatPr defaultColWidth="8.85546875" defaultRowHeight="15" x14ac:dyDescent="0.25"/>
  <cols>
    <col min="1" max="2" width="1.7109375" style="394" customWidth="1"/>
    <col min="3" max="3" width="6" style="1847" bestFit="1" customWidth="1"/>
    <col min="4" max="4" width="29" style="1848" bestFit="1" customWidth="1"/>
    <col min="5" max="5" width="21.7109375" style="394" bestFit="1" customWidth="1"/>
    <col min="6" max="6" width="21.7109375" style="394" customWidth="1"/>
    <col min="7" max="7" width="9.7109375" style="394" bestFit="1" customWidth="1"/>
    <col min="8" max="8" width="26.28515625" style="394" customWidth="1"/>
    <col min="9" max="16384" width="8.85546875" style="394"/>
  </cols>
  <sheetData>
    <row r="7" spans="2:12" ht="21.75" thickBot="1" x14ac:dyDescent="0.4">
      <c r="B7" s="1849" t="s">
        <v>687</v>
      </c>
    </row>
    <row r="8" spans="2:12" x14ac:dyDescent="0.25">
      <c r="B8" s="1856"/>
      <c r="C8" s="1857"/>
      <c r="D8" s="1858"/>
      <c r="E8" s="1564"/>
      <c r="F8" s="1564"/>
      <c r="G8" s="1564"/>
      <c r="H8" s="1564"/>
      <c r="I8" s="1565"/>
      <c r="J8" s="1096"/>
      <c r="K8" s="1096"/>
      <c r="L8" s="1096"/>
    </row>
    <row r="9" spans="2:12" ht="30.75" thickBot="1" x14ac:dyDescent="0.3">
      <c r="B9" s="1519"/>
      <c r="C9" s="1098" t="s">
        <v>675</v>
      </c>
      <c r="D9" s="1859" t="s">
        <v>676</v>
      </c>
      <c r="E9" s="1098"/>
      <c r="F9" s="1098"/>
      <c r="G9" s="1860" t="s">
        <v>699</v>
      </c>
      <c r="H9" s="1681" t="s">
        <v>700</v>
      </c>
      <c r="I9" s="1566"/>
      <c r="J9" s="1096"/>
      <c r="K9" s="1096"/>
      <c r="L9" s="1096"/>
    </row>
    <row r="10" spans="2:12" s="1850" customFormat="1" x14ac:dyDescent="0.25">
      <c r="B10" s="1861"/>
      <c r="C10" s="1862">
        <v>3</v>
      </c>
      <c r="D10" s="2272" t="s">
        <v>682</v>
      </c>
      <c r="E10" s="2272"/>
      <c r="F10" s="2272"/>
      <c r="G10" s="1863" t="str">
        <f>IF((COUNTA(Table5[Population Type]))&lt;1,"Concern","OK")</f>
        <v>OK</v>
      </c>
      <c r="H10" s="1851"/>
      <c r="I10" s="1864"/>
      <c r="J10" s="1852"/>
      <c r="K10" s="1852"/>
      <c r="L10" s="1852"/>
    </row>
    <row r="11" spans="2:12" s="1850" customFormat="1" x14ac:dyDescent="0.25">
      <c r="B11" s="1861"/>
      <c r="C11" s="1865"/>
      <c r="D11" s="2273" t="s">
        <v>683</v>
      </c>
      <c r="E11" s="2273"/>
      <c r="F11" s="2273"/>
      <c r="G11" s="1866" t="str">
        <f>IF((COUNTA(Table5[Homeless at Entry?]))&lt;&gt;(COUNTA(Table5[Population Type])),"Concern","OK")</f>
        <v>OK</v>
      </c>
      <c r="H11" s="1853"/>
      <c r="I11" s="1864"/>
      <c r="J11" s="1852"/>
      <c r="K11" s="1852"/>
      <c r="L11" s="1852"/>
    </row>
    <row r="12" spans="2:12" s="1850" customFormat="1" x14ac:dyDescent="0.25">
      <c r="B12" s="1861"/>
      <c r="C12" s="1865"/>
      <c r="D12" s="2273" t="s">
        <v>684</v>
      </c>
      <c r="E12" s="2273"/>
      <c r="F12" s="2273"/>
      <c r="G12" s="1866" t="str">
        <f>IF((COUNTA(Table5[Residency Type]))&lt;&gt;(COUNTA(Table5[Population Type])),"Concern","OK")</f>
        <v>OK</v>
      </c>
      <c r="H12" s="1853"/>
      <c r="I12" s="1864"/>
      <c r="J12" s="1852"/>
      <c r="K12" s="1852"/>
      <c r="L12" s="1852"/>
    </row>
    <row r="13" spans="2:12" s="1850" customFormat="1" x14ac:dyDescent="0.25">
      <c r="B13" s="1861"/>
      <c r="C13" s="1865"/>
      <c r="D13" s="2273" t="s">
        <v>685</v>
      </c>
      <c r="E13" s="2273"/>
      <c r="F13" s="2273"/>
      <c r="G13" s="1866" t="str">
        <f>IF((COUNTA(Table5[Unit 
or Bed]))&lt;1,"Concern","OK")</f>
        <v>OK</v>
      </c>
      <c r="H13" s="1853"/>
      <c r="I13" s="1864"/>
      <c r="J13" s="1852"/>
      <c r="K13" s="1852"/>
      <c r="L13" s="1852"/>
    </row>
    <row r="14" spans="2:12" s="1850" customFormat="1" ht="15.75" thickBot="1" x14ac:dyDescent="0.3">
      <c r="B14" s="1861"/>
      <c r="C14" s="1867"/>
      <c r="D14" s="2276" t="s">
        <v>686</v>
      </c>
      <c r="E14" s="2276"/>
      <c r="F14" s="2276"/>
      <c r="G14" s="1868" t="str">
        <f>IF((COUNTA(Table5[Unit 
or Bed]))&lt;1,"Concern","OK")</f>
        <v>OK</v>
      </c>
      <c r="H14" s="1854"/>
      <c r="I14" s="1864"/>
      <c r="J14" s="1852"/>
      <c r="K14" s="1852"/>
      <c r="L14" s="1852"/>
    </row>
    <row r="15" spans="2:12" s="1850" customFormat="1" ht="15.75" thickBot="1" x14ac:dyDescent="0.3">
      <c r="B15" s="1861"/>
      <c r="C15" s="1865"/>
      <c r="D15" s="2277"/>
      <c r="E15" s="2277"/>
      <c r="F15" s="2277"/>
      <c r="G15" s="1869"/>
      <c r="H15" s="1869"/>
      <c r="I15" s="1864"/>
      <c r="J15" s="1852"/>
      <c r="K15" s="1852"/>
      <c r="L15" s="1852"/>
    </row>
    <row r="16" spans="2:12" x14ac:dyDescent="0.25">
      <c r="B16" s="1519"/>
      <c r="C16" s="1862">
        <v>5</v>
      </c>
      <c r="D16" s="2272" t="s">
        <v>681</v>
      </c>
      <c r="E16" s="2272"/>
      <c r="F16" s="2272"/>
      <c r="G16" s="1863" t="str">
        <f>IF((IFERROR(MATCH("Begin Construction",'5'!D16:D77,0),0))&lt;&gt;0,"OK","Concern")</f>
        <v>OK</v>
      </c>
      <c r="H16" s="1851"/>
      <c r="I16" s="1566"/>
      <c r="J16" s="1096"/>
      <c r="K16" s="1096"/>
      <c r="L16" s="1096"/>
    </row>
    <row r="17" spans="2:12" ht="15.75" thickBot="1" x14ac:dyDescent="0.3">
      <c r="B17" s="1519"/>
      <c r="C17" s="1867"/>
      <c r="D17" s="2276" t="s">
        <v>1155</v>
      </c>
      <c r="E17" s="2276"/>
      <c r="F17" s="2276"/>
      <c r="G17" s="1868" t="str">
        <f>IF('5 Default Check'!E65&gt;=54,"OK","Concern")</f>
        <v>Concern</v>
      </c>
      <c r="H17" s="1854"/>
      <c r="I17" s="1566"/>
      <c r="J17" s="1096"/>
      <c r="K17" s="1096"/>
      <c r="L17" s="1096"/>
    </row>
    <row r="18" spans="2:12" ht="15.75" thickBot="1" x14ac:dyDescent="0.3">
      <c r="B18" s="1519"/>
      <c r="C18" s="1865"/>
      <c r="D18" s="2277"/>
      <c r="E18" s="2277"/>
      <c r="F18" s="2277"/>
      <c r="G18" s="1870"/>
      <c r="H18" s="1870"/>
      <c r="I18" s="1566"/>
      <c r="J18" s="1096"/>
      <c r="K18" s="1096"/>
      <c r="L18" s="1096"/>
    </row>
    <row r="19" spans="2:12" ht="15.75" thickBot="1" x14ac:dyDescent="0.3">
      <c r="B19" s="1519"/>
      <c r="C19" s="1871" t="s">
        <v>677</v>
      </c>
      <c r="D19" s="2277" t="s">
        <v>688</v>
      </c>
      <c r="E19" s="2277"/>
      <c r="F19" s="2277"/>
      <c r="G19" s="1872" t="str">
        <f>IF('6A'!J120&lt;&gt;'6A'!J121,"Concern","OK")</f>
        <v>OK</v>
      </c>
      <c r="H19" s="1855"/>
      <c r="I19" s="1566"/>
      <c r="J19" s="1096"/>
      <c r="K19" s="1096"/>
      <c r="L19" s="1096"/>
    </row>
    <row r="20" spans="2:12" ht="15.75" thickBot="1" x14ac:dyDescent="0.3">
      <c r="B20" s="1519"/>
      <c r="C20" s="1865"/>
      <c r="D20" s="2275"/>
      <c r="E20" s="2275"/>
      <c r="F20" s="2275"/>
      <c r="G20" s="1870"/>
      <c r="H20" s="1870"/>
      <c r="I20" s="1566"/>
      <c r="J20" s="1096"/>
      <c r="K20" s="1096"/>
      <c r="L20" s="1096"/>
    </row>
    <row r="21" spans="2:12" x14ac:dyDescent="0.25">
      <c r="B21" s="1519"/>
      <c r="C21" s="1862" t="s">
        <v>678</v>
      </c>
      <c r="D21" s="2275" t="s">
        <v>679</v>
      </c>
      <c r="E21" s="2275"/>
      <c r="F21" s="2275"/>
      <c r="G21" s="1873" t="str">
        <f>IF((COUNTA(#REF!,#REF!))&gt;(COUNTA(#REF!,#REF!)),"Concern","OK")</f>
        <v>OK</v>
      </c>
      <c r="H21" s="1851"/>
      <c r="I21" s="1566"/>
      <c r="J21" s="1096"/>
      <c r="K21" s="1096"/>
      <c r="L21" s="1096"/>
    </row>
    <row r="22" spans="2:12" x14ac:dyDescent="0.25">
      <c r="B22" s="1519"/>
      <c r="C22" s="1865"/>
      <c r="D22" s="2273" t="s">
        <v>690</v>
      </c>
      <c r="E22" s="2273"/>
      <c r="F22" s="2273"/>
      <c r="G22" s="1866" t="str">
        <f>IF((COUNTA(#REF!,#REF!))&gt;(COUNTA(#REF!,#REF!)),"Concern","OK")</f>
        <v>OK</v>
      </c>
      <c r="H22" s="1853"/>
      <c r="I22" s="1566"/>
      <c r="J22" s="1096"/>
      <c r="K22" s="1096"/>
      <c r="L22" s="1096"/>
    </row>
    <row r="23" spans="2:12" x14ac:dyDescent="0.25">
      <c r="B23" s="1519"/>
      <c r="C23" s="1865"/>
      <c r="D23" s="1894" t="s">
        <v>1693</v>
      </c>
      <c r="E23" s="1894"/>
      <c r="F23" s="1894"/>
      <c r="G23" s="1866" t="str">
        <f>IF(((COUNTIF('7A'!J26:J31,"Loan"))+(COUNTIF('7A'!J42:J44,"Loan")))&gt;(COUNTA('7A'!M26:M31)+COUNTA('7A'!M42:M44)),"Concern","OK")</f>
        <v>OK</v>
      </c>
      <c r="H23" s="1853"/>
      <c r="I23" s="1566"/>
      <c r="J23" s="1096"/>
      <c r="K23" s="1096"/>
      <c r="L23" s="1096"/>
    </row>
    <row r="24" spans="2:12" x14ac:dyDescent="0.25">
      <c r="B24" s="1519"/>
      <c r="C24" s="1874"/>
      <c r="D24" s="2273" t="s">
        <v>680</v>
      </c>
      <c r="E24" s="2273"/>
      <c r="F24" s="2273"/>
      <c r="G24" s="1866" t="str">
        <f>IF((COUNTA(#REF!,#REF!))&gt;(COUNTA(#REF!,#REF!)),"Concern","OK")</f>
        <v>OK</v>
      </c>
      <c r="H24" s="1853"/>
      <c r="I24" s="1566"/>
      <c r="J24" s="1096"/>
      <c r="K24" s="1096"/>
      <c r="L24" s="1096"/>
    </row>
    <row r="25" spans="2:12" ht="15.75" thickBot="1" x14ac:dyDescent="0.3">
      <c r="B25" s="1519"/>
      <c r="C25" s="1875"/>
      <c r="D25" s="2274" t="s">
        <v>689</v>
      </c>
      <c r="E25" s="2274"/>
      <c r="F25" s="2274"/>
      <c r="G25" s="1868" t="str">
        <f>IF('6A'!K121&lt;&gt;'7A'!F49,"Concern","OK")</f>
        <v>Concern</v>
      </c>
      <c r="H25" s="1854"/>
      <c r="I25" s="1566"/>
      <c r="J25" s="1096"/>
      <c r="K25" s="1096"/>
      <c r="L25" s="1096"/>
    </row>
    <row r="26" spans="2:12" ht="15.75" thickBot="1" x14ac:dyDescent="0.3">
      <c r="B26" s="1523"/>
      <c r="C26" s="1876"/>
      <c r="D26" s="1877"/>
      <c r="E26" s="1569"/>
      <c r="F26" s="1569"/>
      <c r="G26" s="1569"/>
      <c r="H26" s="1569"/>
      <c r="I26" s="1524"/>
      <c r="J26" s="1096"/>
      <c r="K26" s="1096"/>
      <c r="L26" s="1096"/>
    </row>
  </sheetData>
  <sheetProtection password="D666" sheet="1" objects="1" scenarios="1"/>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42" priority="17" operator="equal">
      <formula>"OK"</formula>
    </cfRule>
    <cfRule type="cellIs" dxfId="141" priority="18" operator="equal">
      <formula>"FAIL"</formula>
    </cfRule>
  </conditionalFormatting>
  <conditionalFormatting sqref="H24">
    <cfRule type="cellIs" dxfId="140" priority="15" operator="equal">
      <formula>"OK"</formula>
    </cfRule>
    <cfRule type="cellIs" dxfId="139" priority="16" operator="equal">
      <formula>"FAIL"</formula>
    </cfRule>
  </conditionalFormatting>
  <conditionalFormatting sqref="H25">
    <cfRule type="cellIs" dxfId="138" priority="13" operator="equal">
      <formula>"OK"</formula>
    </cfRule>
    <cfRule type="cellIs" dxfId="137" priority="14" operator="equal">
      <formula>"FAIL"</formula>
    </cfRule>
  </conditionalFormatting>
  <conditionalFormatting sqref="H21">
    <cfRule type="cellIs" dxfId="136" priority="11" operator="equal">
      <formula>"OK"</formula>
    </cfRule>
    <cfRule type="cellIs" dxfId="135" priority="12" operator="equal">
      <formula>"FAIL"</formula>
    </cfRule>
  </conditionalFormatting>
  <conditionalFormatting sqref="H19">
    <cfRule type="cellIs" dxfId="134" priority="9" operator="equal">
      <formula>"OK"</formula>
    </cfRule>
    <cfRule type="cellIs" dxfId="133" priority="10" operator="equal">
      <formula>"FAIL"</formula>
    </cfRule>
  </conditionalFormatting>
  <conditionalFormatting sqref="G10:G15 G18:G22 G24:G25">
    <cfRule type="containsText" dxfId="132" priority="7" operator="containsText" text="Concern">
      <formula>NOT(ISERROR(SEARCH("Concern",G10)))</formula>
    </cfRule>
    <cfRule type="containsText" dxfId="131" priority="8" operator="containsText" text="OK">
      <formula>NOT(ISERROR(SEARCH("OK",G10)))</formula>
    </cfRule>
  </conditionalFormatting>
  <conditionalFormatting sqref="G17">
    <cfRule type="containsText" dxfId="130" priority="5" operator="containsText" text="Concern">
      <formula>NOT(ISERROR(SEARCH("Concern",G17)))</formula>
    </cfRule>
    <cfRule type="containsText" dxfId="129" priority="6" operator="containsText" text="OK">
      <formula>NOT(ISERROR(SEARCH("OK",G17)))</formula>
    </cfRule>
  </conditionalFormatting>
  <conditionalFormatting sqref="G16">
    <cfRule type="containsText" dxfId="128" priority="3" operator="containsText" text="Concern">
      <formula>NOT(ISERROR(SEARCH("Concern",G16)))</formula>
    </cfRule>
    <cfRule type="containsText" dxfId="127" priority="4" operator="containsText" text="OK">
      <formula>NOT(ISERROR(SEARCH("OK",G16)))</formula>
    </cfRule>
  </conditionalFormatting>
  <conditionalFormatting sqref="G23">
    <cfRule type="containsText" dxfId="126" priority="1" operator="containsText" text="Concern">
      <formula>NOT(ISERROR(SEARCH("Concern",G23)))</formula>
    </cfRule>
    <cfRule type="containsText" dxfId="125" priority="2" operator="containsText" text="OK">
      <formula>NOT(ISERROR(SEARCH("OK",G23)))</formula>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ColWidth="8.85546875" defaultRowHeight="15" x14ac:dyDescent="0.25"/>
  <cols>
    <col min="1" max="73" width="4.28515625" customWidth="1"/>
    <col min="74" max="76" width="4.28515625" style="711" customWidth="1"/>
    <col min="77" max="82" width="4.28515625" customWidth="1"/>
    <col min="83" max="83" width="4.28515625" style="711" customWidth="1"/>
    <col min="84" max="84" width="4.28515625" customWidth="1"/>
    <col min="85" max="85" width="4.28515625" style="711" customWidth="1"/>
    <col min="86" max="86" width="4.28515625" customWidth="1"/>
    <col min="87" max="87" width="4.28515625" style="711" customWidth="1"/>
    <col min="88" max="88" width="4.28515625" customWidth="1"/>
    <col min="89" max="89" width="4.28515625" style="711" customWidth="1"/>
    <col min="90" max="102" width="4.28515625" customWidth="1"/>
  </cols>
  <sheetData>
    <row r="1" spans="1:103" x14ac:dyDescent="0.25">
      <c r="A1" s="1980" t="s">
        <v>1721</v>
      </c>
      <c r="B1" s="1980" t="s">
        <v>442</v>
      </c>
      <c r="C1" s="1980" t="s">
        <v>1791</v>
      </c>
      <c r="D1" s="1980" t="s">
        <v>1792</v>
      </c>
      <c r="E1" s="1980" t="s">
        <v>1793</v>
      </c>
      <c r="F1" s="1980" t="s">
        <v>1722</v>
      </c>
      <c r="G1" s="1980" t="s">
        <v>1723</v>
      </c>
      <c r="H1" s="1980" t="s">
        <v>626</v>
      </c>
      <c r="I1" s="1980" t="s">
        <v>1724</v>
      </c>
      <c r="J1" s="1980" t="s">
        <v>482</v>
      </c>
      <c r="K1" s="1980" t="s">
        <v>1725</v>
      </c>
      <c r="L1" s="1981">
        <v>0.3</v>
      </c>
      <c r="M1" s="1981">
        <v>0.4</v>
      </c>
      <c r="N1" s="1981">
        <v>0.5</v>
      </c>
      <c r="O1" s="1981">
        <v>0.6</v>
      </c>
      <c r="P1" s="1980" t="s">
        <v>1726</v>
      </c>
      <c r="Q1" s="1980" t="s">
        <v>1727</v>
      </c>
      <c r="R1" s="1980" t="s">
        <v>1728</v>
      </c>
      <c r="S1" s="1980" t="s">
        <v>1729</v>
      </c>
      <c r="T1" s="1980" t="s">
        <v>1730</v>
      </c>
      <c r="U1" s="1980" t="s">
        <v>571</v>
      </c>
      <c r="V1" s="1980" t="s">
        <v>572</v>
      </c>
      <c r="W1" s="1980" t="s">
        <v>573</v>
      </c>
      <c r="X1" s="1980" t="s">
        <v>574</v>
      </c>
      <c r="Y1" s="1980" t="s">
        <v>1731</v>
      </c>
      <c r="Z1" s="1980" t="s">
        <v>37</v>
      </c>
      <c r="AA1" s="1980" t="s">
        <v>1732</v>
      </c>
      <c r="AB1" s="1980" t="s">
        <v>1733</v>
      </c>
      <c r="AC1" s="1980" t="s">
        <v>571</v>
      </c>
      <c r="AD1" s="1980" t="s">
        <v>572</v>
      </c>
      <c r="AE1" s="1980" t="s">
        <v>573</v>
      </c>
      <c r="AF1" s="1980" t="s">
        <v>574</v>
      </c>
      <c r="AG1" s="1980" t="s">
        <v>1731</v>
      </c>
      <c r="AH1" s="1980" t="s">
        <v>37</v>
      </c>
      <c r="AI1" s="1980" t="s">
        <v>1734</v>
      </c>
      <c r="AJ1" s="1980" t="s">
        <v>1735</v>
      </c>
      <c r="AK1" s="1980" t="s">
        <v>1736</v>
      </c>
      <c r="AL1" s="1980" t="s">
        <v>1737</v>
      </c>
      <c r="AM1" s="1980" t="s">
        <v>1738</v>
      </c>
      <c r="AN1" s="1980" t="s">
        <v>1739</v>
      </c>
      <c r="AO1" s="1980" t="s">
        <v>1740</v>
      </c>
      <c r="AP1" s="1980" t="s">
        <v>1741</v>
      </c>
      <c r="AQ1" s="1980" t="s">
        <v>1742</v>
      </c>
      <c r="AR1" s="1980" t="s">
        <v>1743</v>
      </c>
      <c r="AS1" s="1980" t="s">
        <v>1744</v>
      </c>
      <c r="AT1" s="1980" t="s">
        <v>1745</v>
      </c>
      <c r="AU1" s="1980" t="s">
        <v>1746</v>
      </c>
      <c r="AV1" s="1980" t="s">
        <v>1747</v>
      </c>
      <c r="AW1" s="1980" t="s">
        <v>1748</v>
      </c>
      <c r="AX1" s="1980" t="s">
        <v>1749</v>
      </c>
      <c r="AY1" s="1980" t="s">
        <v>1750</v>
      </c>
      <c r="AZ1" s="1980" t="s">
        <v>1751</v>
      </c>
      <c r="BA1" s="1980" t="s">
        <v>1752</v>
      </c>
      <c r="BB1" s="1980" t="s">
        <v>1753</v>
      </c>
      <c r="BC1" s="1980" t="s">
        <v>1754</v>
      </c>
      <c r="BD1" s="1980" t="s">
        <v>1755</v>
      </c>
      <c r="BE1" s="1980" t="s">
        <v>1756</v>
      </c>
      <c r="BF1" s="1980" t="s">
        <v>1757</v>
      </c>
      <c r="BG1" s="1980" t="s">
        <v>1758</v>
      </c>
      <c r="BH1" s="1980" t="s">
        <v>1759</v>
      </c>
      <c r="BI1" s="1980" t="s">
        <v>1760</v>
      </c>
      <c r="BJ1" s="1980" t="s">
        <v>1761</v>
      </c>
      <c r="BK1" s="1980" t="s">
        <v>1762</v>
      </c>
      <c r="BL1" s="1980" t="s">
        <v>1763</v>
      </c>
      <c r="BM1" s="1980" t="s">
        <v>1764</v>
      </c>
      <c r="BN1" s="1980" t="s">
        <v>1765</v>
      </c>
      <c r="BO1" s="1980" t="s">
        <v>1766</v>
      </c>
      <c r="BP1" s="1980" t="s">
        <v>1767</v>
      </c>
      <c r="BQ1" s="1980" t="s">
        <v>1768</v>
      </c>
      <c r="BR1" s="1980" t="s">
        <v>1769</v>
      </c>
      <c r="BS1" s="1980" t="s">
        <v>1770</v>
      </c>
      <c r="BT1" s="1980" t="s">
        <v>1771</v>
      </c>
      <c r="BU1" s="1980" t="s">
        <v>1796</v>
      </c>
      <c r="BV1" s="1980" t="s">
        <v>1797</v>
      </c>
      <c r="BW1" s="1980" t="s">
        <v>1794</v>
      </c>
      <c r="BX1" s="1980" t="s">
        <v>1795</v>
      </c>
      <c r="BY1" s="1980" t="s">
        <v>1772</v>
      </c>
      <c r="BZ1" s="1980" t="s">
        <v>1773</v>
      </c>
      <c r="CA1" s="1980" t="s">
        <v>1774</v>
      </c>
      <c r="CB1" s="1980" t="s">
        <v>1775</v>
      </c>
      <c r="CC1" s="1980" t="s">
        <v>1776</v>
      </c>
      <c r="CD1" s="1980" t="s">
        <v>1777</v>
      </c>
      <c r="CE1" s="1980" t="s">
        <v>1804</v>
      </c>
      <c r="CF1" s="1980" t="s">
        <v>1798</v>
      </c>
      <c r="CG1" s="1980" t="s">
        <v>1799</v>
      </c>
      <c r="CH1" s="1980" t="s">
        <v>1800</v>
      </c>
      <c r="CI1" s="1980" t="s">
        <v>1801</v>
      </c>
      <c r="CJ1" s="1980" t="s">
        <v>1802</v>
      </c>
      <c r="CK1" s="1980" t="s">
        <v>1803</v>
      </c>
      <c r="CL1" s="1980" t="s">
        <v>1778</v>
      </c>
      <c r="CM1" s="1980" t="s">
        <v>1779</v>
      </c>
      <c r="CN1" s="1980" t="s">
        <v>1780</v>
      </c>
      <c r="CO1" s="1980" t="s">
        <v>1781</v>
      </c>
      <c r="CP1" s="1980" t="s">
        <v>1782</v>
      </c>
      <c r="CQ1" s="1980" t="s">
        <v>1783</v>
      </c>
      <c r="CR1" s="1980" t="s">
        <v>1784</v>
      </c>
      <c r="CS1" s="1980" t="s">
        <v>1785</v>
      </c>
      <c r="CT1" s="1980" t="s">
        <v>1786</v>
      </c>
      <c r="CU1" s="1980" t="s">
        <v>1787</v>
      </c>
      <c r="CV1" s="1980" t="s">
        <v>1788</v>
      </c>
      <c r="CW1" s="1980" t="s">
        <v>1789</v>
      </c>
      <c r="CX1" s="1980" t="s">
        <v>1790</v>
      </c>
      <c r="CY1" s="1979"/>
    </row>
    <row r="2" spans="1:103" x14ac:dyDescent="0.25">
      <c r="A2" t="str">
        <f>'1'!G8</f>
        <v>Compass Housing Alliance</v>
      </c>
      <c r="B2" t="str">
        <f>'1'!G15</f>
        <v>Bellwether Housing</v>
      </c>
      <c r="C2" t="str">
        <f>'9A'!D16</f>
        <v>jpope@compasshousingalliance.org</v>
      </c>
      <c r="D2" t="str">
        <f>'1'!G10</f>
        <v>Bill Reddy</v>
      </c>
      <c r="E2" t="str">
        <f>'1'!J19</f>
        <v>jmartin@bellwetherhousing.org</v>
      </c>
      <c r="F2" t="str">
        <f>'1'!G5</f>
        <v>Compass Broadview</v>
      </c>
      <c r="G2" t="str">
        <f>'1'!G29</f>
        <v>Seattle</v>
      </c>
      <c r="H2" t="str">
        <f>'1'!J29</f>
        <v>WA</v>
      </c>
      <c r="I2">
        <f>'1'!G31</f>
        <v>32</v>
      </c>
      <c r="J2" t="str">
        <f>CONCATENATE((IF('1'!F39="X",'1'!E39,"")),", ",(IF('1'!F41="X",'1'!E41,"")),", ",(IF('1'!F43="X",'1'!E43,"")),", ",(IF('1'!F45="X",'1'!E45,"")),", ",(IF('1'!J39="X",'1'!G39,"")),", ",(IF('1'!J41="X",'1'!G41,"")),", ",(IF('1'!J43="X",'1'!G43,"")),", ",(IF('1'!J45="X",'1'!G45,"")),", ",(IF('1'!M39="X",'1'!L39,"")),", ",(IF('1'!M41="X",'1'!L41,"")))</f>
        <v xml:space="preserve">Acquisition, , New Construction, Adaptive Reuse, , , Demolition/Redevelopment, , Mixed Use , </v>
      </c>
      <c r="K2">
        <f>SUM(L2:R2)</f>
        <v>59</v>
      </c>
      <c r="L2">
        <f>'8A'!L35+'8A'!L36</f>
        <v>30</v>
      </c>
      <c r="M2">
        <f>'8A'!L37+'8A'!L38</f>
        <v>0</v>
      </c>
      <c r="N2">
        <f>'8A'!L39+'8A'!L40</f>
        <v>29</v>
      </c>
      <c r="O2">
        <f>'8A'!L41+'8A'!L42</f>
        <v>0</v>
      </c>
      <c r="P2">
        <f>'8A'!L43+'8A'!L44</f>
        <v>0</v>
      </c>
      <c r="Q2">
        <f>'8A'!L47</f>
        <v>0</v>
      </c>
      <c r="R2">
        <f>'8A'!L46</f>
        <v>0</v>
      </c>
      <c r="T2">
        <f>'8A'!E48+'8A'!F48</f>
        <v>15</v>
      </c>
      <c r="U2">
        <f>'8A'!G48</f>
        <v>11</v>
      </c>
      <c r="V2">
        <f>'8A'!H48</f>
        <v>27</v>
      </c>
      <c r="W2">
        <f>'8A'!I48</f>
        <v>6</v>
      </c>
      <c r="X2">
        <f>'8A'!J48</f>
        <v>0</v>
      </c>
      <c r="Y2">
        <f>'8A'!K48</f>
        <v>0</v>
      </c>
      <c r="Z2">
        <f>'8A'!D48</f>
        <v>0</v>
      </c>
      <c r="AB2">
        <f>AVERAGE('8A'!E51+'8A'!F51)</f>
        <v>420</v>
      </c>
      <c r="AC2">
        <f>'8A'!G51</f>
        <v>550</v>
      </c>
      <c r="AD2" s="711">
        <f>'8A'!H51</f>
        <v>825</v>
      </c>
      <c r="AE2" s="711">
        <f>'8A'!I51</f>
        <v>1025</v>
      </c>
      <c r="AF2" s="711">
        <f>'8A'!J51</f>
        <v>0</v>
      </c>
      <c r="AG2" s="711">
        <f>'8A'!K51</f>
        <v>0</v>
      </c>
      <c r="AH2" s="711">
        <f>AVERAGE('8A'!D51+'8A'!E51)</f>
        <v>0</v>
      </c>
      <c r="AI2" s="1973">
        <f>'2B'!K34</f>
        <v>59570</v>
      </c>
      <c r="AJ2" s="1973">
        <f>'2B'!O34</f>
        <v>60530</v>
      </c>
      <c r="AK2">
        <f>'2C'!J142</f>
        <v>5</v>
      </c>
      <c r="AL2" s="711">
        <f>'2C'!J143</f>
        <v>15</v>
      </c>
      <c r="AM2" s="711">
        <f>'2C'!J144</f>
        <v>11</v>
      </c>
      <c r="AN2" s="711">
        <f>'2C'!J145</f>
        <v>2</v>
      </c>
      <c r="AO2" s="711">
        <f>'2C'!J146</f>
        <v>4</v>
      </c>
      <c r="AP2" s="711">
        <f>'2C'!J147</f>
        <v>7</v>
      </c>
      <c r="AQ2" s="711">
        <f>'2C'!J148</f>
        <v>2</v>
      </c>
      <c r="AR2" s="711">
        <f>'2C'!J149</f>
        <v>7</v>
      </c>
      <c r="AT2" s="1974">
        <f>INDEX(Schedule_Dates,MATCH("building permits issued",'5'!D17:D76,0))</f>
        <v>42979</v>
      </c>
      <c r="AU2" s="1974">
        <f>INDEX(Schedule_Dates,MATCH("begin construction",'5'!D17:D76,0))</f>
        <v>43009</v>
      </c>
      <c r="AV2" s="1974">
        <f>INDEX(Schedule_Dates,MATCH("issued certificate of occupancy",'5'!D17:D76,0))</f>
        <v>43466</v>
      </c>
      <c r="AW2" s="1975">
        <f>'6A'!J22</f>
        <v>1800000</v>
      </c>
      <c r="AX2" s="1975">
        <f>'6A'!K22</f>
        <v>1800000</v>
      </c>
      <c r="AY2" s="1975">
        <f>'6A'!J36</f>
        <v>767608.44</v>
      </c>
      <c r="AZ2" s="1975">
        <f>'6A'!J37</f>
        <v>0</v>
      </c>
      <c r="BA2" s="1975">
        <f>'6A'!J32</f>
        <v>12793474</v>
      </c>
      <c r="BB2" s="1975">
        <f>'6A'!J33</f>
        <v>0</v>
      </c>
      <c r="BC2" s="1975">
        <f>'6A'!J47</f>
        <v>15340329.802096</v>
      </c>
      <c r="BD2" s="1975">
        <f>'6A'!K47</f>
        <v>15008574.802096</v>
      </c>
      <c r="BE2" s="1975">
        <f>'6A'!J58</f>
        <v>985031</v>
      </c>
      <c r="BF2" s="1975">
        <f>'6A'!J59</f>
        <v>400000</v>
      </c>
      <c r="BG2" s="1982">
        <f ca="1">SUMIF('6A'!L19:Q20,"*htf*",'6A'!L58:Q58)+SUMIF('6A'!L19:Q20,"*housing trust fund*",'6A'!L58:Q58)</f>
        <v>0</v>
      </c>
      <c r="BH2" s="1982">
        <f ca="1">SUMIF('6A'!L19:Q20,"*htf*",'6A'!L59:Q59)+SUMIF('6A'!L19:Q20,"*housing trust fund*",'6A'!L59:Q59)</f>
        <v>0</v>
      </c>
      <c r="BI2" s="1975">
        <f>'6A'!J90</f>
        <v>236151</v>
      </c>
      <c r="BJ2" s="1975">
        <f>'6A'!K90</f>
        <v>236151</v>
      </c>
      <c r="BK2" s="1975">
        <f>'6A'!J91</f>
        <v>59000</v>
      </c>
      <c r="BL2" s="1975">
        <f>'6A'!K91</f>
        <v>59000</v>
      </c>
      <c r="BM2" s="1975">
        <f>'6A'!J118</f>
        <v>0</v>
      </c>
      <c r="BN2" s="1975">
        <f>'6A'!K118</f>
        <v>0</v>
      </c>
      <c r="BO2" t="str">
        <f>IF(BP2&gt;0,"9%",(IF(AND(BP2=0,BQ2&gt;0),"4%",(IF(AND(BP2=0,BQ2=0),"n/a")))))</f>
        <v>9%</v>
      </c>
      <c r="BP2">
        <f>'11A'!N246</f>
        <v>157</v>
      </c>
      <c r="BQ2">
        <f>'11B'!N183</f>
        <v>0</v>
      </c>
      <c r="BR2">
        <f>'6D'!G40</f>
        <v>1.05</v>
      </c>
      <c r="BS2" t="str">
        <f>IF('7A'!F22&gt;0,"Y","N")</f>
        <v>Y</v>
      </c>
      <c r="BT2" s="1976">
        <f>SUMIF('7A'!D26:D31,"State - Housing Trust Fund",'7A'!E26:E31)+SUMIF('7A'!D26:D31,"State - Housing Trust Fund",'7A'!F26:F31)</f>
        <v>2250000</v>
      </c>
      <c r="BU2" s="1977">
        <f>SUMIF('7A'!$D26:$D31,"City",'7A'!E26:E31)</f>
        <v>5680553</v>
      </c>
      <c r="BV2" s="1977">
        <f>SUMIF('7A'!$D26:$D31,"City",'7A'!F26:F31)</f>
        <v>0</v>
      </c>
      <c r="BW2" s="1977">
        <f>SUMIF('7A'!$D26:$D31,"County",'7A'!E26:E31)</f>
        <v>0</v>
      </c>
      <c r="BX2" s="1977">
        <f>SUMIF('7A'!$D26:$D31,"County",'7A'!F26:F31)</f>
        <v>0</v>
      </c>
      <c r="BY2" s="1977">
        <f>'7A'!F36</f>
        <v>12982861.500000002</v>
      </c>
      <c r="BZ2" s="1976">
        <f>SUMIFS('7A'!E26:E31,'7A'!C26:C31,"*cdbg*",'7A'!D26:D31,"State - Other")+SUMIFS('7A'!F26:F31,'7A'!C26:C31,"*cdbg*",'7A'!D26:D31,"State - Other")</f>
        <v>0</v>
      </c>
      <c r="CA2" s="1976">
        <f>'7A'!F38</f>
        <v>21313414.5</v>
      </c>
      <c r="CB2" s="1976">
        <f>'7A'!F47</f>
        <v>350000</v>
      </c>
      <c r="CC2" s="1976">
        <f>'7A'!E32+'7A'!E45</f>
        <v>7930553</v>
      </c>
      <c r="CD2" s="1976">
        <f>'7A'!F32+'7A'!F45</f>
        <v>750000</v>
      </c>
      <c r="CE2" s="1976">
        <f>((((SUMIFS('7A'!$E26:$E31,'7A'!$D26:$D31,"Bank",'7A'!$D26:$D31,"City",'7A'!$D26:$D31,"County",'7A'!$D26:$D31,"federal",'7A'!$D26:$D31,"GSE*",'7A'!$D26:$D31,"Private",'7A'!$D26:$D31,"Public*",'7A'!$D26:$D31,"Sponsor",'7A'!$D26:$D31,"State - Other",'7A'!$D26:$D31,"historic*",'7A'!$D26:$D31,"other"))+'7A'!F36+(SUMIFS('7A'!$F26:$F31,'7A'!$D26:$D31,"Bank",'7A'!$D26:$D31,"City",'7A'!$D26:$D31,"County",'7A'!$D26:$D31,"federal",'7A'!$D26:$D31,"GSE*",'7A'!$D26:$D31,"Private",'7A'!$D26:$D31,"Public*",'7A'!$D26:$D31,"Sponsor",'7A'!$D26:$D31,"State - Other",'7A'!$D26:$D31,"historic*",'7A'!$D26:$D31,"other"))+(SUMIFS('7A'!E42:E44,'7A'!$D42:$D44,"bank",'7A'!$D42:$D44,"city",'7A'!$D42:$D44,"county",'7A'!$D42:$D44,"federal",'7A'!$D42:$D44,"gse*",'7A'!$D42:$D44,"private",'7A'!$D42:$D44,"public*",'7A'!$D42:$D44,"sponsor",'7A'!$D42:$D44,"state",'7A'!$D42:$D44,"historic*",'7A'!$D42:$D44,"new market*",'7A'!$D42:$D44,"other"))+(SUMIFS('7A'!F42:F44,'7A'!$D42:$D44,"bank",'7A'!$D42:$D44,"city",'7A'!$D42:$D44,"county",'7A'!$D42:$D44,"federal",'7A'!$D42:$D44,"gse*",'7A'!$D42:$D44,"private",'7A'!$D42:$D44,"public*",'7A'!$D42:$D44,"sponsor",'7A'!$D42:$D44,"state",'7A'!$D42:$D44,"historic*",'7A'!$D42:$D44,"new market*",'7A'!$D42:$D44,"other")))))</f>
        <v>12982861.500000002</v>
      </c>
      <c r="CF2" s="1975">
        <f>'8B'!D30</f>
        <v>0</v>
      </c>
      <c r="CG2" s="1975">
        <f>'8B'!E30</f>
        <v>0</v>
      </c>
      <c r="CH2" s="1975">
        <f>'8B'!D21</f>
        <v>0</v>
      </c>
      <c r="CI2" s="1975">
        <f>'8B'!E21</f>
        <v>0</v>
      </c>
      <c r="CJ2" s="1975">
        <f>'8B'!D39</f>
        <v>0</v>
      </c>
      <c r="CK2" s="1975">
        <f>'8B'!E39</f>
        <v>0</v>
      </c>
      <c r="CL2" s="1976">
        <f>'8D'!H39</f>
        <v>677221.75</v>
      </c>
      <c r="CM2" s="1976">
        <f>'8D'!H71</f>
        <v>135000</v>
      </c>
      <c r="CN2" s="1976">
        <f>'8D'!H72</f>
        <v>54177.74</v>
      </c>
      <c r="CO2" s="1976">
        <f>'8D'!H92</f>
        <v>409756.74</v>
      </c>
      <c r="CP2" s="1976">
        <f>'8D'!H94</f>
        <v>29500</v>
      </c>
      <c r="CQ2" s="1976">
        <f>'8D'!H95</f>
        <v>0</v>
      </c>
      <c r="CR2" s="1976">
        <f>'8D'!I95</f>
        <v>0</v>
      </c>
      <c r="CS2" s="1976">
        <f>'8D'!H98</f>
        <v>223313</v>
      </c>
      <c r="CT2" s="1978" t="str">
        <f>'8D'!H50</f>
        <v xml:space="preserve">0 </v>
      </c>
      <c r="CU2" s="1976">
        <f>'8D'!H61</f>
        <v>0</v>
      </c>
      <c r="CV2" s="1976">
        <f>'8D'!I61</f>
        <v>0</v>
      </c>
      <c r="CW2" s="1976">
        <f>'8D'!J61</f>
        <v>0</v>
      </c>
      <c r="CX2" t="str">
        <f>IF(CS2=0,"No","Yes")</f>
        <v>Yes</v>
      </c>
      <c r="CY2" s="1979"/>
    </row>
    <row r="3" spans="1:103" x14ac:dyDescent="0.25">
      <c r="A3" s="1979"/>
      <c r="B3" s="1979"/>
      <c r="C3" s="1979"/>
      <c r="D3" s="1979"/>
      <c r="E3" s="1979"/>
      <c r="F3" s="1979"/>
      <c r="G3" s="1979"/>
      <c r="H3" s="1979"/>
      <c r="I3" s="1979"/>
      <c r="J3" s="1979"/>
      <c r="K3" s="1979"/>
      <c r="L3" s="1979"/>
      <c r="M3" s="1979"/>
      <c r="N3" s="1979"/>
      <c r="O3" s="1979"/>
      <c r="P3" s="1979"/>
      <c r="Q3" s="1979"/>
      <c r="R3" s="1979"/>
      <c r="S3" s="1979"/>
      <c r="T3" s="1979"/>
      <c r="U3" s="1979"/>
      <c r="V3" s="1979"/>
      <c r="W3" s="1979"/>
      <c r="X3" s="1979"/>
      <c r="Y3" s="1979"/>
      <c r="Z3" s="1979"/>
      <c r="AA3" s="1979"/>
      <c r="AB3" s="1979"/>
      <c r="AC3" s="1979"/>
      <c r="AD3" s="1979"/>
      <c r="AE3" s="1979"/>
      <c r="AF3" s="1979"/>
      <c r="AG3" s="1979"/>
      <c r="AH3" s="1979"/>
      <c r="AI3" s="1979"/>
      <c r="AJ3" s="1979"/>
      <c r="AK3" s="1979"/>
      <c r="AL3" s="1979"/>
      <c r="AM3" s="1979"/>
      <c r="AN3" s="1979"/>
      <c r="AO3" s="1979"/>
      <c r="AP3" s="1979"/>
      <c r="AQ3" s="1979"/>
      <c r="AR3" s="1979"/>
      <c r="AS3" s="1979"/>
      <c r="AT3" s="1979"/>
      <c r="AU3" s="1979"/>
      <c r="AV3" s="1979"/>
      <c r="AW3" s="1979"/>
      <c r="AX3" s="1979"/>
      <c r="AY3" s="1979"/>
      <c r="AZ3" s="1979"/>
      <c r="BA3" s="1979"/>
      <c r="BB3" s="1979"/>
      <c r="BC3" s="1979"/>
      <c r="BD3" s="1979"/>
      <c r="BE3" s="1979"/>
      <c r="BF3" s="1979"/>
      <c r="BG3" s="1979"/>
      <c r="BH3" s="1979"/>
      <c r="BI3" s="1979"/>
      <c r="BJ3" s="1979"/>
      <c r="BK3" s="1979"/>
      <c r="BL3" s="1979"/>
      <c r="BM3" s="1979"/>
      <c r="BN3" s="1979"/>
      <c r="BO3" s="1979"/>
      <c r="BP3" s="1979"/>
      <c r="BQ3" s="1979"/>
      <c r="BR3" s="1979"/>
      <c r="BS3" s="1979"/>
      <c r="BT3" s="1979"/>
      <c r="BU3" s="1979"/>
      <c r="BV3" s="1979"/>
      <c r="BW3" s="1979"/>
      <c r="BX3" s="1979"/>
      <c r="BY3" s="1979"/>
      <c r="BZ3" s="1979"/>
      <c r="CA3" s="1979"/>
      <c r="CB3" s="1979"/>
      <c r="CC3" s="1979"/>
      <c r="CD3" s="1979"/>
      <c r="CE3" s="1979"/>
      <c r="CF3" s="1979"/>
      <c r="CG3" s="1979"/>
      <c r="CH3" s="1979"/>
      <c r="CI3" s="1979"/>
      <c r="CJ3" s="1979"/>
      <c r="CK3" s="1979"/>
      <c r="CL3" s="1979"/>
      <c r="CM3" s="1979"/>
      <c r="CN3" s="1979"/>
      <c r="CO3" s="1979"/>
      <c r="CP3" s="1979"/>
      <c r="CQ3" s="1979"/>
      <c r="CR3" s="1979"/>
      <c r="CS3" s="1979"/>
      <c r="CT3" s="1979"/>
      <c r="CU3" s="1979"/>
      <c r="CV3" s="1979"/>
      <c r="CW3" s="1979"/>
      <c r="CX3" s="1979"/>
      <c r="CY3" s="1979"/>
    </row>
    <row r="4" spans="1:103" x14ac:dyDescent="0.25">
      <c r="AC4" s="711"/>
    </row>
    <row r="5" spans="1:103" x14ac:dyDescent="0.25">
      <c r="K5" s="711" t="str">
        <f>IF('1'!I39="X",'1'!H39,"")</f>
        <v/>
      </c>
      <c r="L5" s="711"/>
      <c r="M5" s="711" t="str">
        <f>IF('1'!K39="X",'1'!J39,"")</f>
        <v/>
      </c>
      <c r="N5" s="711" t="str">
        <f>IF('1'!L39="X",'1'!K39,"")</f>
        <v/>
      </c>
      <c r="AC5" s="711"/>
    </row>
    <row r="6" spans="1:103" x14ac:dyDescent="0.25">
      <c r="AC6" s="711"/>
    </row>
    <row r="7" spans="1:103" x14ac:dyDescent="0.25">
      <c r="AC7" s="711"/>
    </row>
    <row r="8" spans="1:103" x14ac:dyDescent="0.25">
      <c r="AC8" s="711"/>
    </row>
    <row r="9" spans="1:103" x14ac:dyDescent="0.25">
      <c r="AC9" s="711"/>
    </row>
    <row r="10" spans="1:103" x14ac:dyDescent="0.25">
      <c r="AC10" s="711"/>
      <c r="AK10" s="711"/>
    </row>
    <row r="11" spans="1:103" x14ac:dyDescent="0.25">
      <c r="AK11" s="711"/>
    </row>
    <row r="12" spans="1:103" x14ac:dyDescent="0.25">
      <c r="AK12" s="711"/>
    </row>
    <row r="13" spans="1:103" x14ac:dyDescent="0.25">
      <c r="BQ13" s="711"/>
    </row>
    <row r="14" spans="1:103" x14ac:dyDescent="0.25">
      <c r="BQ14" s="711"/>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125" zoomScaleNormal="125" zoomScalePageLayoutView="125" workbookViewId="0">
      <selection activeCell="U35" sqref="U35"/>
    </sheetView>
  </sheetViews>
  <sheetFormatPr defaultColWidth="8.85546875" defaultRowHeight="15" x14ac:dyDescent="0.25"/>
  <cols>
    <col min="1" max="1" width="2.85546875" style="394" customWidth="1"/>
    <col min="2" max="3" width="1.42578125" style="394" customWidth="1"/>
    <col min="4" max="4" width="11" style="394" customWidth="1"/>
    <col min="5" max="5" width="8.85546875" style="394"/>
    <col min="6" max="6" width="4" style="394" customWidth="1"/>
    <col min="7" max="9" width="8.85546875" style="394"/>
    <col min="10" max="10" width="4" style="394" customWidth="1"/>
    <col min="11" max="12" width="8.85546875" style="394"/>
    <col min="13" max="13" width="4" style="394" bestFit="1" customWidth="1"/>
    <col min="14" max="14" width="6" style="394" customWidth="1"/>
    <col min="15" max="15" width="8.85546875" style="394"/>
    <col min="16" max="17" width="1.42578125" style="394" customWidth="1"/>
    <col min="18" max="16384" width="8.85546875" style="394"/>
  </cols>
  <sheetData>
    <row r="1" spans="2:17" ht="15.75" thickBot="1" x14ac:dyDescent="0.3"/>
    <row r="2" spans="2:17" ht="7.5" customHeight="1" x14ac:dyDescent="0.25">
      <c r="B2" s="357"/>
      <c r="C2" s="358"/>
      <c r="D2" s="358"/>
      <c r="E2" s="358"/>
      <c r="F2" s="358"/>
      <c r="G2" s="358"/>
      <c r="H2" s="358"/>
      <c r="I2" s="358"/>
      <c r="J2" s="358"/>
      <c r="K2" s="358"/>
      <c r="L2" s="358"/>
      <c r="M2" s="358"/>
      <c r="N2" s="358"/>
      <c r="O2" s="358"/>
      <c r="P2" s="358"/>
      <c r="Q2" s="396"/>
    </row>
    <row r="3" spans="2:17" ht="18.75" x14ac:dyDescent="0.3">
      <c r="B3" s="359"/>
      <c r="C3" s="2283" t="s">
        <v>1165</v>
      </c>
      <c r="D3" s="2283"/>
      <c r="E3" s="2283"/>
      <c r="F3" s="2283"/>
      <c r="G3" s="2283"/>
      <c r="H3" s="2283"/>
      <c r="I3" s="2283"/>
      <c r="J3" s="2283"/>
      <c r="K3" s="2283"/>
      <c r="L3" s="2283"/>
      <c r="M3" s="2283"/>
      <c r="N3" s="2283"/>
      <c r="O3" s="2283"/>
      <c r="P3" s="2283"/>
      <c r="Q3" s="397"/>
    </row>
    <row r="4" spans="2:17" x14ac:dyDescent="0.25">
      <c r="B4" s="359"/>
      <c r="C4" s="129"/>
      <c r="D4" s="129"/>
      <c r="E4" s="129"/>
      <c r="F4" s="129"/>
      <c r="G4" s="129"/>
      <c r="H4" s="129"/>
      <c r="I4" s="129"/>
      <c r="J4" s="129"/>
      <c r="K4" s="129"/>
      <c r="L4" s="129"/>
      <c r="M4" s="129"/>
      <c r="N4" s="129"/>
      <c r="O4" s="129"/>
      <c r="P4" s="129"/>
      <c r="Q4" s="397"/>
    </row>
    <row r="5" spans="2:17" ht="18.75" x14ac:dyDescent="0.3">
      <c r="B5" s="359"/>
      <c r="C5" s="160" t="s">
        <v>0</v>
      </c>
      <c r="D5" s="17"/>
      <c r="E5" s="422"/>
      <c r="F5" s="422"/>
      <c r="G5" s="2280" t="s">
        <v>1805</v>
      </c>
      <c r="H5" s="2280"/>
      <c r="I5" s="2280"/>
      <c r="J5" s="2280"/>
      <c r="K5" s="2280"/>
      <c r="L5" s="2280"/>
      <c r="M5" s="2280"/>
      <c r="N5" s="2280"/>
      <c r="O5" s="2280"/>
      <c r="P5" s="129"/>
      <c r="Q5" s="397"/>
    </row>
    <row r="6" spans="2:17" ht="3.75" customHeight="1" x14ac:dyDescent="0.25">
      <c r="B6" s="359"/>
      <c r="C6" s="133"/>
      <c r="D6" s="422"/>
      <c r="E6" s="422"/>
      <c r="F6" s="422"/>
      <c r="G6" s="360"/>
      <c r="H6" s="360"/>
      <c r="I6" s="360"/>
      <c r="J6" s="360"/>
      <c r="K6" s="360"/>
      <c r="L6" s="360"/>
      <c r="M6" s="360"/>
      <c r="N6" s="360"/>
      <c r="O6" s="360"/>
      <c r="P6" s="129"/>
      <c r="Q6" s="397"/>
    </row>
    <row r="7" spans="2:17" x14ac:dyDescent="0.25">
      <c r="B7" s="359"/>
      <c r="C7" s="361" t="s">
        <v>1</v>
      </c>
      <c r="D7" s="422"/>
      <c r="E7" s="422"/>
      <c r="F7" s="422"/>
      <c r="G7" s="360"/>
      <c r="H7" s="360"/>
      <c r="I7" s="360"/>
      <c r="J7" s="360"/>
      <c r="K7" s="360"/>
      <c r="L7" s="360"/>
      <c r="M7" s="360"/>
      <c r="N7" s="360"/>
      <c r="O7" s="360"/>
      <c r="P7" s="129"/>
      <c r="Q7" s="397"/>
    </row>
    <row r="8" spans="2:17" x14ac:dyDescent="0.25">
      <c r="B8" s="359"/>
      <c r="C8" s="362" t="s">
        <v>2</v>
      </c>
      <c r="D8" s="422"/>
      <c r="E8" s="422"/>
      <c r="F8" s="422"/>
      <c r="G8" s="2281" t="s">
        <v>1806</v>
      </c>
      <c r="H8" s="2281"/>
      <c r="I8" s="2281"/>
      <c r="J8" s="2281"/>
      <c r="K8" s="2281"/>
      <c r="L8" s="2281"/>
      <c r="M8" s="2281"/>
      <c r="N8" s="2281"/>
      <c r="O8" s="2281"/>
      <c r="P8" s="129"/>
      <c r="Q8" s="397"/>
    </row>
    <row r="9" spans="2:17" ht="3.75" customHeight="1" x14ac:dyDescent="0.25">
      <c r="B9" s="359"/>
      <c r="C9" s="362"/>
      <c r="D9" s="422"/>
      <c r="E9" s="422"/>
      <c r="F9" s="422"/>
      <c r="G9" s="360"/>
      <c r="H9" s="360"/>
      <c r="I9" s="360"/>
      <c r="J9" s="360"/>
      <c r="K9" s="360"/>
      <c r="L9" s="360"/>
      <c r="M9" s="360"/>
      <c r="N9" s="360"/>
      <c r="O9" s="360"/>
      <c r="P9" s="129"/>
      <c r="Q9" s="397"/>
    </row>
    <row r="10" spans="2:17" x14ac:dyDescent="0.25">
      <c r="B10" s="359"/>
      <c r="C10" s="362" t="s">
        <v>3</v>
      </c>
      <c r="D10" s="422"/>
      <c r="E10" s="422"/>
      <c r="F10" s="422"/>
      <c r="G10" s="2278" t="s">
        <v>1808</v>
      </c>
      <c r="H10" s="2278"/>
      <c r="I10" s="2278"/>
      <c r="J10" s="2278"/>
      <c r="K10" s="2278"/>
      <c r="L10" s="2278"/>
      <c r="M10" s="2278"/>
      <c r="N10" s="2278"/>
      <c r="O10" s="2278"/>
      <c r="P10" s="129"/>
      <c r="Q10" s="397"/>
    </row>
    <row r="11" spans="2:17" ht="3.75" customHeight="1" x14ac:dyDescent="0.25">
      <c r="B11" s="359"/>
      <c r="C11" s="363"/>
      <c r="D11" s="422"/>
      <c r="E11" s="422"/>
      <c r="F11" s="422"/>
      <c r="G11" s="360"/>
      <c r="H11" s="360"/>
      <c r="I11" s="360"/>
      <c r="J11" s="360"/>
      <c r="K11" s="360"/>
      <c r="L11" s="360"/>
      <c r="M11" s="360"/>
      <c r="N11" s="360"/>
      <c r="O11" s="360"/>
      <c r="P11" s="129"/>
      <c r="Q11" s="397"/>
    </row>
    <row r="12" spans="2:17" x14ac:dyDescent="0.25">
      <c r="B12" s="359"/>
      <c r="C12" s="362" t="s">
        <v>4</v>
      </c>
      <c r="D12" s="422"/>
      <c r="E12" s="422"/>
      <c r="F12" s="422"/>
      <c r="G12" s="2278" t="s">
        <v>1809</v>
      </c>
      <c r="H12" s="2278"/>
      <c r="I12" s="364" t="s">
        <v>5</v>
      </c>
      <c r="J12" s="2282" t="s">
        <v>1810</v>
      </c>
      <c r="K12" s="2282"/>
      <c r="L12" s="2282"/>
      <c r="M12" s="2282"/>
      <c r="N12" s="2282"/>
      <c r="O12" s="2282"/>
      <c r="P12" s="129"/>
      <c r="Q12" s="397"/>
    </row>
    <row r="13" spans="2:17" ht="3.75" customHeight="1" x14ac:dyDescent="0.25">
      <c r="B13" s="359"/>
      <c r="C13" s="362"/>
      <c r="D13" s="422"/>
      <c r="E13" s="422"/>
      <c r="F13" s="422"/>
      <c r="G13" s="360"/>
      <c r="H13" s="360"/>
      <c r="I13" s="360"/>
      <c r="J13" s="360"/>
      <c r="K13" s="360"/>
      <c r="L13" s="360"/>
      <c r="M13" s="360"/>
      <c r="N13" s="360"/>
      <c r="O13" s="360"/>
      <c r="P13" s="129"/>
      <c r="Q13" s="397"/>
    </row>
    <row r="14" spans="2:17" x14ac:dyDescent="0.25">
      <c r="B14" s="359"/>
      <c r="C14" s="361" t="s">
        <v>6</v>
      </c>
      <c r="D14" s="422"/>
      <c r="E14" s="422"/>
      <c r="F14" s="422"/>
      <c r="G14" s="360"/>
      <c r="H14" s="360"/>
      <c r="I14" s="360"/>
      <c r="J14" s="360"/>
      <c r="K14" s="360"/>
      <c r="L14" s="360"/>
      <c r="M14" s="360"/>
      <c r="N14" s="360"/>
      <c r="O14" s="360"/>
      <c r="P14" s="129"/>
      <c r="Q14" s="397"/>
    </row>
    <row r="15" spans="2:17" x14ac:dyDescent="0.25">
      <c r="B15" s="359"/>
      <c r="C15" s="362" t="s">
        <v>7</v>
      </c>
      <c r="D15" s="422"/>
      <c r="E15" s="422"/>
      <c r="F15" s="422"/>
      <c r="G15" s="2281" t="s">
        <v>1811</v>
      </c>
      <c r="H15" s="2281"/>
      <c r="I15" s="2281"/>
      <c r="J15" s="2281"/>
      <c r="K15" s="2281"/>
      <c r="L15" s="2281"/>
      <c r="M15" s="2281"/>
      <c r="N15" s="2281"/>
      <c r="O15" s="2281"/>
      <c r="P15" s="129"/>
      <c r="Q15" s="397"/>
    </row>
    <row r="16" spans="2:17" ht="3.75" customHeight="1" x14ac:dyDescent="0.25">
      <c r="B16" s="359"/>
      <c r="C16" s="362"/>
      <c r="D16" s="422"/>
      <c r="E16" s="422"/>
      <c r="F16" s="422"/>
      <c r="G16" s="366"/>
      <c r="H16" s="366"/>
      <c r="I16" s="360"/>
      <c r="J16" s="366"/>
      <c r="K16" s="360"/>
      <c r="L16" s="360"/>
      <c r="M16" s="360"/>
      <c r="N16" s="360"/>
      <c r="O16" s="360"/>
      <c r="P16" s="129"/>
      <c r="Q16" s="397"/>
    </row>
    <row r="17" spans="2:17" x14ac:dyDescent="0.25">
      <c r="B17" s="359"/>
      <c r="C17" s="362" t="s">
        <v>8</v>
      </c>
      <c r="D17" s="422"/>
      <c r="E17" s="422"/>
      <c r="F17" s="422"/>
      <c r="G17" s="2278" t="s">
        <v>1812</v>
      </c>
      <c r="H17" s="2278"/>
      <c r="I17" s="2278"/>
      <c r="J17" s="2278"/>
      <c r="K17" s="2278"/>
      <c r="L17" s="2278"/>
      <c r="M17" s="2278"/>
      <c r="N17" s="2278"/>
      <c r="O17" s="2278"/>
      <c r="P17" s="129"/>
      <c r="Q17" s="397"/>
    </row>
    <row r="18" spans="2:17" ht="3.75" customHeight="1" x14ac:dyDescent="0.25">
      <c r="B18" s="359"/>
      <c r="C18" s="363"/>
      <c r="D18" s="422"/>
      <c r="E18" s="422"/>
      <c r="F18" s="422"/>
      <c r="G18" s="366"/>
      <c r="H18" s="366"/>
      <c r="I18" s="360"/>
      <c r="J18" s="366"/>
      <c r="K18" s="360"/>
      <c r="L18" s="360"/>
      <c r="M18" s="360"/>
      <c r="N18" s="360"/>
      <c r="O18" s="360"/>
      <c r="P18" s="129"/>
      <c r="Q18" s="397"/>
    </row>
    <row r="19" spans="2:17" x14ac:dyDescent="0.25">
      <c r="B19" s="359"/>
      <c r="C19" s="362" t="s">
        <v>4</v>
      </c>
      <c r="D19" s="422"/>
      <c r="E19" s="422"/>
      <c r="F19" s="422"/>
      <c r="G19" s="2278" t="s">
        <v>1813</v>
      </c>
      <c r="H19" s="2278"/>
      <c r="I19" s="364" t="s">
        <v>5</v>
      </c>
      <c r="J19" s="2282" t="s">
        <v>1814</v>
      </c>
      <c r="K19" s="2282"/>
      <c r="L19" s="2282"/>
      <c r="M19" s="2282"/>
      <c r="N19" s="2282"/>
      <c r="O19" s="2282"/>
      <c r="P19" s="129"/>
      <c r="Q19" s="397"/>
    </row>
    <row r="20" spans="2:17" ht="3.75" customHeight="1" x14ac:dyDescent="0.25">
      <c r="B20" s="359"/>
      <c r="C20" s="362"/>
      <c r="D20" s="422"/>
      <c r="E20" s="422"/>
      <c r="F20" s="422"/>
      <c r="G20" s="360"/>
      <c r="H20" s="360"/>
      <c r="I20" s="360"/>
      <c r="J20" s="360"/>
      <c r="K20" s="360"/>
      <c r="L20" s="360"/>
      <c r="M20" s="360"/>
      <c r="N20" s="360"/>
      <c r="O20" s="360"/>
      <c r="P20" s="129"/>
      <c r="Q20" s="397"/>
    </row>
    <row r="21" spans="2:17" x14ac:dyDescent="0.25">
      <c r="B21" s="359"/>
      <c r="C21" s="129"/>
      <c r="D21" s="422" t="s">
        <v>9</v>
      </c>
      <c r="E21" s="422"/>
      <c r="F21" s="422"/>
      <c r="G21" s="422"/>
      <c r="H21" s="422"/>
      <c r="I21" s="422"/>
      <c r="J21" s="422"/>
      <c r="K21" s="422"/>
      <c r="L21" s="392" t="s">
        <v>558</v>
      </c>
      <c r="M21" s="367"/>
      <c r="N21" s="422"/>
      <c r="O21" s="422"/>
      <c r="P21" s="129"/>
      <c r="Q21" s="397"/>
    </row>
    <row r="22" spans="2:17" ht="7.5" customHeight="1" x14ac:dyDescent="0.25">
      <c r="B22" s="359"/>
      <c r="C22" s="129"/>
      <c r="D22" s="422"/>
      <c r="E22" s="422"/>
      <c r="F22" s="422"/>
      <c r="G22" s="422"/>
      <c r="H22" s="422"/>
      <c r="I22" s="422"/>
      <c r="J22" s="422"/>
      <c r="K22" s="422"/>
      <c r="L22" s="368"/>
      <c r="M22" s="422"/>
      <c r="N22" s="368"/>
      <c r="O22" s="422"/>
      <c r="P22" s="129"/>
      <c r="Q22" s="397"/>
    </row>
    <row r="23" spans="2:17" x14ac:dyDescent="0.25">
      <c r="B23" s="359"/>
      <c r="C23" s="160" t="s">
        <v>10</v>
      </c>
      <c r="D23" s="422"/>
      <c r="E23" s="422"/>
      <c r="F23" s="422"/>
      <c r="G23" s="2278" t="s">
        <v>1815</v>
      </c>
      <c r="H23" s="2278"/>
      <c r="I23" s="2278"/>
      <c r="J23" s="2278"/>
      <c r="K23" s="2278"/>
      <c r="L23" s="2278"/>
      <c r="M23" s="2278"/>
      <c r="N23" s="2278"/>
      <c r="O23" s="2278"/>
      <c r="P23" s="129"/>
      <c r="Q23" s="397"/>
    </row>
    <row r="24" spans="2:17" x14ac:dyDescent="0.25">
      <c r="B24" s="359"/>
      <c r="C24" s="129"/>
      <c r="D24" s="422"/>
      <c r="E24" s="422"/>
      <c r="F24" s="422"/>
      <c r="G24" s="366"/>
      <c r="H24" s="366"/>
      <c r="I24" s="366"/>
      <c r="J24" s="366"/>
      <c r="K24" s="366"/>
      <c r="L24" s="366"/>
      <c r="M24" s="366"/>
      <c r="N24" s="366"/>
      <c r="O24" s="366"/>
      <c r="P24" s="129"/>
      <c r="Q24" s="397"/>
    </row>
    <row r="25" spans="2:17" ht="15.75" thickBot="1" x14ac:dyDescent="0.3">
      <c r="B25" s="359"/>
      <c r="C25" s="369" t="s">
        <v>11</v>
      </c>
      <c r="D25" s="370"/>
      <c r="E25" s="370"/>
      <c r="F25" s="370"/>
      <c r="G25" s="370"/>
      <c r="H25" s="370"/>
      <c r="I25" s="370"/>
      <c r="J25" s="370"/>
      <c r="K25" s="370"/>
      <c r="L25" s="370"/>
      <c r="M25" s="370"/>
      <c r="N25" s="370"/>
      <c r="O25" s="370"/>
      <c r="P25" s="129"/>
      <c r="Q25" s="397"/>
    </row>
    <row r="26" spans="2:17" ht="3.75" customHeight="1" x14ac:dyDescent="0.25">
      <c r="B26" s="359"/>
      <c r="C26" s="371"/>
      <c r="D26" s="372"/>
      <c r="E26" s="422"/>
      <c r="F26" s="422"/>
      <c r="G26" s="360"/>
      <c r="H26" s="360"/>
      <c r="I26" s="360"/>
      <c r="J26" s="360"/>
      <c r="K26" s="360"/>
      <c r="L26" s="360"/>
      <c r="M26" s="360"/>
      <c r="N26" s="360"/>
      <c r="O26" s="360"/>
      <c r="P26" s="129"/>
      <c r="Q26" s="397"/>
    </row>
    <row r="27" spans="2:17" x14ac:dyDescent="0.25">
      <c r="B27" s="359"/>
      <c r="C27" s="371"/>
      <c r="D27" s="2284" t="s">
        <v>12</v>
      </c>
      <c r="E27" s="2284"/>
      <c r="F27" s="422"/>
      <c r="G27" s="2278" t="s">
        <v>1818</v>
      </c>
      <c r="H27" s="2278"/>
      <c r="I27" s="2278"/>
      <c r="J27" s="2278"/>
      <c r="K27" s="2278"/>
      <c r="L27" s="2278"/>
      <c r="M27" s="2278"/>
      <c r="N27" s="2278"/>
      <c r="O27" s="2278"/>
      <c r="P27" s="129"/>
      <c r="Q27" s="397"/>
    </row>
    <row r="28" spans="2:17" ht="3.75" customHeight="1" x14ac:dyDescent="0.25">
      <c r="B28" s="359"/>
      <c r="C28" s="362"/>
      <c r="D28" s="1403"/>
      <c r="E28" s="422"/>
      <c r="F28" s="422"/>
      <c r="G28" s="366"/>
      <c r="H28" s="366"/>
      <c r="I28" s="366"/>
      <c r="J28" s="366"/>
      <c r="K28" s="366"/>
      <c r="L28" s="366"/>
      <c r="M28" s="366"/>
      <c r="N28" s="366"/>
      <c r="O28" s="366"/>
      <c r="P28" s="129"/>
      <c r="Q28" s="397"/>
    </row>
    <row r="29" spans="2:17" x14ac:dyDescent="0.25">
      <c r="B29" s="359"/>
      <c r="C29" s="362"/>
      <c r="D29" s="1403" t="s">
        <v>13</v>
      </c>
      <c r="E29" s="422"/>
      <c r="F29" s="422"/>
      <c r="G29" s="2282" t="s">
        <v>1816</v>
      </c>
      <c r="H29" s="2282"/>
      <c r="I29" s="364" t="s">
        <v>14</v>
      </c>
      <c r="J29" s="2278" t="s">
        <v>1817</v>
      </c>
      <c r="K29" s="2278"/>
      <c r="L29" s="364" t="s">
        <v>15</v>
      </c>
      <c r="M29" s="2278">
        <v>98133</v>
      </c>
      <c r="N29" s="2278"/>
      <c r="O29" s="2278"/>
      <c r="P29" s="129"/>
      <c r="Q29" s="397"/>
    </row>
    <row r="30" spans="2:17" ht="3.75" customHeight="1" x14ac:dyDescent="0.25">
      <c r="B30" s="359"/>
      <c r="C30" s="371"/>
      <c r="D30" s="1403"/>
      <c r="E30" s="422"/>
      <c r="F30" s="422"/>
      <c r="G30" s="360"/>
      <c r="H30" s="360"/>
      <c r="I30" s="360"/>
      <c r="J30" s="360"/>
      <c r="K30" s="360"/>
      <c r="L30" s="360"/>
      <c r="M30" s="360"/>
      <c r="N30" s="360"/>
      <c r="O30" s="360"/>
      <c r="P30" s="129"/>
      <c r="Q30" s="397"/>
    </row>
    <row r="31" spans="2:17" x14ac:dyDescent="0.25">
      <c r="B31" s="359"/>
      <c r="C31" s="371"/>
      <c r="D31" s="1403" t="s">
        <v>16</v>
      </c>
      <c r="E31" s="422"/>
      <c r="F31" s="422"/>
      <c r="G31" s="2278">
        <v>32</v>
      </c>
      <c r="H31" s="2278"/>
      <c r="I31" s="422"/>
      <c r="J31" s="422"/>
      <c r="K31" s="364" t="s">
        <v>17</v>
      </c>
      <c r="L31" s="2278">
        <v>7</v>
      </c>
      <c r="M31" s="2278"/>
      <c r="N31" s="2278"/>
      <c r="O31" s="2278"/>
      <c r="P31" s="129"/>
      <c r="Q31" s="397"/>
    </row>
    <row r="32" spans="2:17" ht="3.75" customHeight="1" x14ac:dyDescent="0.25">
      <c r="B32" s="359"/>
      <c r="C32" s="371"/>
      <c r="D32" s="1403"/>
      <c r="E32" s="422"/>
      <c r="F32" s="422"/>
      <c r="G32" s="360"/>
      <c r="H32" s="360"/>
      <c r="I32" s="360"/>
      <c r="J32" s="360"/>
      <c r="K32" s="360"/>
      <c r="L32" s="360"/>
      <c r="M32" s="360"/>
      <c r="N32" s="360"/>
      <c r="O32" s="360"/>
      <c r="P32" s="129"/>
      <c r="Q32" s="397"/>
    </row>
    <row r="33" spans="2:17" x14ac:dyDescent="0.25">
      <c r="B33" s="359"/>
      <c r="C33" s="371"/>
      <c r="D33" s="1403" t="s">
        <v>18</v>
      </c>
      <c r="E33" s="422"/>
      <c r="F33" s="422"/>
      <c r="G33" s="2098">
        <v>4.0199999999999996</v>
      </c>
      <c r="H33" s="364" t="s">
        <v>19</v>
      </c>
      <c r="I33" s="2097">
        <v>47.724670000000003</v>
      </c>
      <c r="J33" s="422"/>
      <c r="K33" s="364" t="s">
        <v>20</v>
      </c>
      <c r="L33" s="2297">
        <v>122.35561</v>
      </c>
      <c r="M33" s="2278"/>
      <c r="N33" s="2278"/>
      <c r="O33" s="2278"/>
      <c r="P33" s="129"/>
      <c r="Q33" s="397"/>
    </row>
    <row r="34" spans="2:17" ht="3.75" customHeight="1" x14ac:dyDescent="0.25">
      <c r="B34" s="359"/>
      <c r="C34" s="317"/>
      <c r="D34" s="1403"/>
      <c r="E34" s="422"/>
      <c r="F34" s="422"/>
      <c r="G34" s="360"/>
      <c r="H34" s="360"/>
      <c r="I34" s="360"/>
      <c r="J34" s="360"/>
      <c r="K34" s="360"/>
      <c r="L34" s="360"/>
      <c r="M34" s="360"/>
      <c r="N34" s="360"/>
      <c r="O34" s="360"/>
      <c r="P34" s="129"/>
      <c r="Q34" s="397"/>
    </row>
    <row r="35" spans="2:17" x14ac:dyDescent="0.25">
      <c r="B35" s="359"/>
      <c r="C35" s="371"/>
      <c r="D35" s="1403" t="s">
        <v>21</v>
      </c>
      <c r="E35" s="422"/>
      <c r="F35" s="422"/>
      <c r="G35" s="2278" t="s">
        <v>1819</v>
      </c>
      <c r="H35" s="2278"/>
      <c r="I35" s="2278"/>
      <c r="J35" s="2278"/>
      <c r="K35" s="2278"/>
      <c r="L35" s="2278"/>
      <c r="M35" s="2278"/>
      <c r="N35" s="2278"/>
      <c r="O35" s="2278"/>
      <c r="P35" s="129"/>
      <c r="Q35" s="397"/>
    </row>
    <row r="36" spans="2:17" ht="7.5" customHeight="1" x14ac:dyDescent="0.25">
      <c r="B36" s="359"/>
      <c r="C36" s="317"/>
      <c r="D36" s="422"/>
      <c r="E36" s="422"/>
      <c r="F36" s="422"/>
      <c r="G36" s="360"/>
      <c r="H36" s="360"/>
      <c r="I36" s="360"/>
      <c r="J36" s="360"/>
      <c r="K36" s="360"/>
      <c r="L36" s="360"/>
      <c r="M36" s="360"/>
      <c r="N36" s="360"/>
      <c r="O36" s="360"/>
      <c r="P36" s="129"/>
      <c r="Q36" s="397"/>
    </row>
    <row r="37" spans="2:17" ht="15.75" thickBot="1" x14ac:dyDescent="0.3">
      <c r="B37" s="359"/>
      <c r="C37" s="369" t="s">
        <v>497</v>
      </c>
      <c r="D37" s="370"/>
      <c r="E37" s="370"/>
      <c r="F37" s="370"/>
      <c r="G37" s="370"/>
      <c r="H37" s="370"/>
      <c r="I37" s="370"/>
      <c r="J37" s="370"/>
      <c r="K37" s="370"/>
      <c r="L37" s="370"/>
      <c r="M37" s="370"/>
      <c r="N37" s="370"/>
      <c r="O37" s="370"/>
      <c r="P37" s="129"/>
      <c r="Q37" s="397"/>
    </row>
    <row r="38" spans="2:17" ht="3.75" customHeight="1" x14ac:dyDescent="0.25">
      <c r="B38" s="359"/>
      <c r="C38" s="129"/>
      <c r="D38" s="422"/>
      <c r="E38" s="1403"/>
      <c r="F38" s="1403"/>
      <c r="G38" s="1403"/>
      <c r="H38" s="1403"/>
      <c r="I38" s="1403"/>
      <c r="J38" s="1403"/>
      <c r="K38" s="1403"/>
      <c r="L38" s="422"/>
      <c r="M38" s="422"/>
      <c r="N38" s="422"/>
      <c r="O38" s="422"/>
      <c r="P38" s="129"/>
      <c r="Q38" s="397"/>
    </row>
    <row r="39" spans="2:17" x14ac:dyDescent="0.25">
      <c r="B39" s="359"/>
      <c r="C39" s="129"/>
      <c r="D39" s="422"/>
      <c r="E39" s="1404" t="s">
        <v>22</v>
      </c>
      <c r="F39" s="393" t="s">
        <v>580</v>
      </c>
      <c r="G39" s="2295" t="s">
        <v>23</v>
      </c>
      <c r="H39" s="2285"/>
      <c r="I39" s="2296"/>
      <c r="J39" s="393"/>
      <c r="K39" s="368"/>
      <c r="L39" s="1404" t="s">
        <v>24</v>
      </c>
      <c r="M39" s="393" t="s">
        <v>580</v>
      </c>
      <c r="N39" s="373"/>
      <c r="O39" s="422"/>
      <c r="P39" s="129"/>
      <c r="Q39" s="397"/>
    </row>
    <row r="40" spans="2:17" ht="3.75" customHeight="1" x14ac:dyDescent="0.25">
      <c r="B40" s="359"/>
      <c r="C40" s="129"/>
      <c r="D40" s="422"/>
      <c r="E40" s="1404"/>
      <c r="F40" s="374"/>
      <c r="G40" s="2285"/>
      <c r="H40" s="2285"/>
      <c r="I40" s="2285"/>
      <c r="J40" s="375"/>
      <c r="K40" s="374"/>
      <c r="L40" s="1403"/>
      <c r="M40" s="1403"/>
      <c r="N40" s="373"/>
      <c r="O40" s="422"/>
      <c r="P40" s="129"/>
      <c r="Q40" s="397"/>
    </row>
    <row r="41" spans="2:17" x14ac:dyDescent="0.25">
      <c r="B41" s="359"/>
      <c r="C41" s="129"/>
      <c r="D41" s="422"/>
      <c r="E41" s="1404" t="s">
        <v>25</v>
      </c>
      <c r="F41" s="393"/>
      <c r="G41" s="2295" t="s">
        <v>26</v>
      </c>
      <c r="H41" s="2285"/>
      <c r="I41" s="2296"/>
      <c r="J41" s="393"/>
      <c r="K41" s="376"/>
      <c r="L41" s="1404" t="s">
        <v>27</v>
      </c>
      <c r="M41" s="393"/>
      <c r="N41" s="373"/>
      <c r="O41" s="422"/>
      <c r="P41" s="129"/>
      <c r="Q41" s="397"/>
    </row>
    <row r="42" spans="2:17" ht="3.75" customHeight="1" x14ac:dyDescent="0.25">
      <c r="B42" s="359"/>
      <c r="C42" s="129"/>
      <c r="D42" s="422"/>
      <c r="E42" s="1404"/>
      <c r="F42" s="374"/>
      <c r="G42" s="2285"/>
      <c r="H42" s="2285"/>
      <c r="I42" s="2285"/>
      <c r="J42" s="375"/>
      <c r="K42" s="374"/>
      <c r="L42" s="422"/>
      <c r="M42" s="422"/>
      <c r="N42" s="422"/>
      <c r="O42" s="422"/>
      <c r="P42" s="129"/>
      <c r="Q42" s="397"/>
    </row>
    <row r="43" spans="2:17" x14ac:dyDescent="0.25">
      <c r="B43" s="359"/>
      <c r="C43" s="129"/>
      <c r="D43" s="422"/>
      <c r="E43" s="1404" t="s">
        <v>28</v>
      </c>
      <c r="F43" s="393" t="s">
        <v>580</v>
      </c>
      <c r="G43" s="2295" t="s">
        <v>29</v>
      </c>
      <c r="H43" s="2285"/>
      <c r="I43" s="2296"/>
      <c r="J43" s="393" t="s">
        <v>580</v>
      </c>
      <c r="K43" s="368"/>
      <c r="L43" s="374"/>
      <c r="M43" s="374"/>
      <c r="N43" s="422"/>
      <c r="O43" s="422"/>
      <c r="P43" s="129"/>
      <c r="Q43" s="397"/>
    </row>
    <row r="44" spans="2:17" ht="3.75" customHeight="1" x14ac:dyDescent="0.25">
      <c r="B44" s="359"/>
      <c r="C44" s="129"/>
      <c r="D44" s="422"/>
      <c r="E44" s="374"/>
      <c r="F44" s="374"/>
      <c r="G44" s="374"/>
      <c r="H44" s="374"/>
      <c r="I44" s="374"/>
      <c r="J44" s="374"/>
      <c r="K44" s="374"/>
      <c r="L44" s="422"/>
      <c r="M44" s="422"/>
      <c r="N44" s="422"/>
      <c r="O44" s="422"/>
      <c r="P44" s="129"/>
      <c r="Q44" s="397"/>
    </row>
    <row r="45" spans="2:17" x14ac:dyDescent="0.25">
      <c r="B45" s="359"/>
      <c r="C45" s="129"/>
      <c r="D45" s="422"/>
      <c r="E45" s="1405" t="s">
        <v>30</v>
      </c>
      <c r="F45" s="393" t="s">
        <v>580</v>
      </c>
      <c r="G45" s="2295" t="s">
        <v>31</v>
      </c>
      <c r="H45" s="2285"/>
      <c r="I45" s="2296"/>
      <c r="J45" s="393"/>
      <c r="K45" s="377"/>
      <c r="L45" s="422"/>
      <c r="M45" s="422"/>
      <c r="N45" s="422"/>
      <c r="O45" s="422"/>
      <c r="P45" s="129"/>
      <c r="Q45" s="397"/>
    </row>
    <row r="46" spans="2:17" ht="3.75" customHeight="1" x14ac:dyDescent="0.25">
      <c r="B46" s="359"/>
      <c r="C46" s="129"/>
      <c r="D46" s="422"/>
      <c r="E46" s="1404"/>
      <c r="F46" s="368"/>
      <c r="G46" s="1404"/>
      <c r="H46" s="1404"/>
      <c r="I46" s="1404"/>
      <c r="J46" s="377"/>
      <c r="K46" s="377"/>
      <c r="L46" s="422"/>
      <c r="M46" s="422"/>
      <c r="N46" s="422"/>
      <c r="O46" s="422"/>
      <c r="P46" s="129"/>
      <c r="Q46" s="397"/>
    </row>
    <row r="47" spans="2:17" x14ac:dyDescent="0.25">
      <c r="B47" s="359"/>
      <c r="C47" s="129"/>
      <c r="D47" s="422" t="s">
        <v>32</v>
      </c>
      <c r="E47" s="422"/>
      <c r="F47" s="422"/>
      <c r="G47" s="374"/>
      <c r="H47" s="422"/>
      <c r="I47" s="378"/>
      <c r="J47" s="377"/>
      <c r="K47" s="377"/>
      <c r="L47" s="422"/>
      <c r="M47" s="422"/>
      <c r="N47" s="422"/>
      <c r="O47" s="422"/>
      <c r="P47" s="129"/>
      <c r="Q47" s="397"/>
    </row>
    <row r="48" spans="2:17" ht="3.75" customHeight="1" x14ac:dyDescent="0.25">
      <c r="B48" s="359"/>
      <c r="C48" s="129"/>
      <c r="D48" s="422"/>
      <c r="E48" s="1403"/>
      <c r="F48" s="374"/>
      <c r="G48" s="374"/>
      <c r="H48" s="422"/>
      <c r="I48" s="378"/>
      <c r="J48" s="377"/>
      <c r="K48" s="377"/>
      <c r="L48" s="422"/>
      <c r="M48" s="422"/>
      <c r="N48" s="422"/>
      <c r="O48" s="422"/>
      <c r="P48" s="129"/>
      <c r="Q48" s="397"/>
    </row>
    <row r="49" spans="2:17" x14ac:dyDescent="0.25">
      <c r="B49" s="359"/>
      <c r="C49" s="129"/>
      <c r="D49" s="2286" t="s">
        <v>2014</v>
      </c>
      <c r="E49" s="2287"/>
      <c r="F49" s="2287"/>
      <c r="G49" s="2287"/>
      <c r="H49" s="2287"/>
      <c r="I49" s="2287"/>
      <c r="J49" s="2287"/>
      <c r="K49" s="2287"/>
      <c r="L49" s="2287"/>
      <c r="M49" s="2287"/>
      <c r="N49" s="2287"/>
      <c r="O49" s="2288"/>
      <c r="P49" s="129"/>
      <c r="Q49" s="397"/>
    </row>
    <row r="50" spans="2:17" x14ac:dyDescent="0.25">
      <c r="B50" s="359"/>
      <c r="C50" s="129"/>
      <c r="D50" s="2289"/>
      <c r="E50" s="2290"/>
      <c r="F50" s="2290"/>
      <c r="G50" s="2290"/>
      <c r="H50" s="2290"/>
      <c r="I50" s="2290"/>
      <c r="J50" s="2290"/>
      <c r="K50" s="2290"/>
      <c r="L50" s="2290"/>
      <c r="M50" s="2290"/>
      <c r="N50" s="2290"/>
      <c r="O50" s="2291"/>
      <c r="P50" s="129"/>
      <c r="Q50" s="397"/>
    </row>
    <row r="51" spans="2:17" x14ac:dyDescent="0.25">
      <c r="B51" s="359"/>
      <c r="C51" s="129"/>
      <c r="D51" s="2289"/>
      <c r="E51" s="2290"/>
      <c r="F51" s="2290"/>
      <c r="G51" s="2290"/>
      <c r="H51" s="2290"/>
      <c r="I51" s="2290"/>
      <c r="J51" s="2290"/>
      <c r="K51" s="2290"/>
      <c r="L51" s="2290"/>
      <c r="M51" s="2290"/>
      <c r="N51" s="2290"/>
      <c r="O51" s="2291"/>
      <c r="P51" s="129"/>
      <c r="Q51" s="397"/>
    </row>
    <row r="52" spans="2:17" x14ac:dyDescent="0.25">
      <c r="B52" s="359"/>
      <c r="C52" s="129"/>
      <c r="D52" s="2289"/>
      <c r="E52" s="2290"/>
      <c r="F52" s="2290"/>
      <c r="G52" s="2290"/>
      <c r="H52" s="2290"/>
      <c r="I52" s="2290"/>
      <c r="J52" s="2290"/>
      <c r="K52" s="2290"/>
      <c r="L52" s="2290"/>
      <c r="M52" s="2290"/>
      <c r="N52" s="2290"/>
      <c r="O52" s="2291"/>
      <c r="P52" s="129"/>
      <c r="Q52" s="397"/>
    </row>
    <row r="53" spans="2:17" x14ac:dyDescent="0.25">
      <c r="B53" s="359"/>
      <c r="C53" s="129"/>
      <c r="D53" s="2292"/>
      <c r="E53" s="2293"/>
      <c r="F53" s="2293"/>
      <c r="G53" s="2293"/>
      <c r="H53" s="2293"/>
      <c r="I53" s="2293"/>
      <c r="J53" s="2293"/>
      <c r="K53" s="2293"/>
      <c r="L53" s="2293"/>
      <c r="M53" s="2293"/>
      <c r="N53" s="2293"/>
      <c r="O53" s="2294"/>
      <c r="P53" s="129"/>
      <c r="Q53" s="397"/>
    </row>
    <row r="54" spans="2:17" ht="15" customHeight="1" thickBot="1" x14ac:dyDescent="0.3">
      <c r="B54" s="359"/>
      <c r="C54" s="129"/>
      <c r="D54" s="379"/>
      <c r="E54" s="379"/>
      <c r="F54" s="380"/>
      <c r="G54" s="379"/>
      <c r="H54" s="380"/>
      <c r="I54" s="380"/>
      <c r="J54" s="380"/>
      <c r="K54" s="380"/>
      <c r="L54" s="380"/>
      <c r="M54" s="380"/>
      <c r="N54" s="380"/>
      <c r="O54" s="380"/>
      <c r="P54" s="129"/>
      <c r="Q54" s="397"/>
    </row>
    <row r="55" spans="2:17" ht="15" customHeight="1" thickBot="1" x14ac:dyDescent="0.3">
      <c r="B55" s="359"/>
      <c r="C55" s="129"/>
      <c r="D55" s="381" t="s">
        <v>33</v>
      </c>
      <c r="E55" s="379"/>
      <c r="F55" s="673">
        <v>1</v>
      </c>
      <c r="G55" s="382" t="str">
        <f>IF(F55&gt;1,"STOP!","")</f>
        <v/>
      </c>
      <c r="H55" s="2279" t="str">
        <f>IF(G55="STOP!","Projects incorporating more than one Site must submit a multiple-Site set of Forms. Please contact Sean Harrington via email at sean.harrington@commerce.wa.gov to request a set tailored for your Project","")</f>
        <v/>
      </c>
      <c r="I55" s="2279"/>
      <c r="J55" s="2279"/>
      <c r="K55" s="2279"/>
      <c r="L55" s="2279"/>
      <c r="M55" s="2279"/>
      <c r="N55" s="2279"/>
      <c r="O55" s="383"/>
      <c r="P55" s="129"/>
      <c r="Q55" s="397"/>
    </row>
    <row r="56" spans="2:17" ht="15" customHeight="1" thickBot="1" x14ac:dyDescent="0.3">
      <c r="B56" s="359"/>
      <c r="C56" s="129"/>
      <c r="D56" s="379"/>
      <c r="E56" s="379"/>
      <c r="F56" s="380"/>
      <c r="G56" s="379"/>
      <c r="H56" s="2279"/>
      <c r="I56" s="2279"/>
      <c r="J56" s="2279"/>
      <c r="K56" s="2279"/>
      <c r="L56" s="2279"/>
      <c r="M56" s="2279"/>
      <c r="N56" s="2279"/>
      <c r="O56" s="383"/>
      <c r="P56" s="129"/>
      <c r="Q56" s="397"/>
    </row>
    <row r="57" spans="2:17" ht="15" customHeight="1" thickTop="1" thickBot="1" x14ac:dyDescent="0.3">
      <c r="B57" s="359"/>
      <c r="C57" s="129"/>
      <c r="D57" s="160" t="s">
        <v>35</v>
      </c>
      <c r="E57" s="422"/>
      <c r="F57" s="384">
        <f>'2A'!L22</f>
        <v>59</v>
      </c>
      <c r="G57" s="422"/>
      <c r="H57" s="2279"/>
      <c r="I57" s="2279"/>
      <c r="J57" s="2279"/>
      <c r="K57" s="2279"/>
      <c r="L57" s="2279"/>
      <c r="M57" s="2279"/>
      <c r="N57" s="2279"/>
      <c r="O57" s="383"/>
      <c r="P57" s="129"/>
      <c r="Q57" s="397"/>
    </row>
    <row r="58" spans="2:17" ht="15" customHeight="1" thickTop="1" x14ac:dyDescent="0.25">
      <c r="B58" s="359"/>
      <c r="C58" s="129"/>
      <c r="D58" s="385"/>
      <c r="E58" s="129"/>
      <c r="F58" s="422"/>
      <c r="G58" s="422"/>
      <c r="H58" s="2279"/>
      <c r="I58" s="2279"/>
      <c r="J58" s="2279"/>
      <c r="K58" s="2279"/>
      <c r="L58" s="2279"/>
      <c r="M58" s="2279"/>
      <c r="N58" s="2279"/>
      <c r="O58" s="383"/>
      <c r="P58" s="129"/>
      <c r="Q58" s="397"/>
    </row>
    <row r="59" spans="2:17" ht="15" customHeight="1" x14ac:dyDescent="0.25">
      <c r="B59" s="359"/>
      <c r="C59" s="129"/>
      <c r="D59" s="129"/>
      <c r="E59" s="386"/>
      <c r="F59" s="387"/>
      <c r="G59" s="386"/>
      <c r="H59" s="386"/>
      <c r="I59" s="386"/>
      <c r="J59" s="388"/>
      <c r="K59" s="388"/>
      <c r="L59" s="129"/>
      <c r="M59" s="129"/>
      <c r="N59" s="129"/>
      <c r="O59" s="129"/>
      <c r="P59" s="129"/>
      <c r="Q59" s="397"/>
    </row>
    <row r="60" spans="2:17" ht="3.75" customHeight="1" thickBot="1" x14ac:dyDescent="0.3">
      <c r="B60" s="389"/>
      <c r="C60" s="390"/>
      <c r="D60" s="390"/>
      <c r="E60" s="390"/>
      <c r="F60" s="338"/>
      <c r="G60" s="390"/>
      <c r="H60" s="390"/>
      <c r="I60" s="390"/>
      <c r="J60" s="390"/>
      <c r="K60" s="391"/>
      <c r="L60" s="338"/>
      <c r="M60" s="338"/>
      <c r="N60" s="338"/>
      <c r="O60" s="390"/>
      <c r="P60" s="390"/>
      <c r="Q60" s="398"/>
    </row>
  </sheetData>
  <sheetProtection password="D666" sheet="1" objects="1" scenarios="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124"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3" orientation="portrait" horizontalDpi="4294967295" verticalDpi="4294967295" r:id="rId1"/>
  <headerFooter>
    <oddFooter>&amp;LForm 1
Project Summary&amp;CCFA Forms&amp;REdition 2016
Version 1.0</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topLeftCell="D2" zoomScale="125" zoomScaleNormal="125" zoomScalePageLayoutView="125" workbookViewId="0">
      <selection activeCell="U35" sqref="U35"/>
    </sheetView>
  </sheetViews>
  <sheetFormatPr defaultColWidth="8.85546875" defaultRowHeight="15" x14ac:dyDescent="0.25"/>
  <cols>
    <col min="1" max="2" width="1.7109375" style="394" customWidth="1"/>
    <col min="3" max="3" width="11" style="394" customWidth="1"/>
    <col min="4" max="4" width="21.7109375" style="394" customWidth="1"/>
    <col min="5" max="5" width="14.28515625" style="394" customWidth="1"/>
    <col min="6" max="6" width="17.7109375" style="394" customWidth="1"/>
    <col min="7" max="7" width="14.7109375" style="394" bestFit="1" customWidth="1"/>
    <col min="8" max="8" width="11.42578125" style="394" customWidth="1"/>
    <col min="9" max="11" width="10.140625" style="394" customWidth="1"/>
    <col min="12" max="13" width="12.140625" style="394" customWidth="1"/>
    <col min="14" max="14" width="13.28515625" style="394" customWidth="1"/>
    <col min="15" max="16" width="1.7109375" style="394" customWidth="1"/>
    <col min="17" max="16384" width="8.85546875" style="394"/>
  </cols>
  <sheetData>
    <row r="1" spans="2:15" ht="9" customHeight="1" thickBot="1" x14ac:dyDescent="0.3"/>
    <row r="2" spans="2:15" ht="9" customHeight="1" x14ac:dyDescent="0.25">
      <c r="B2" s="400"/>
      <c r="C2" s="401"/>
      <c r="D2" s="401"/>
      <c r="E2" s="401"/>
      <c r="F2" s="401"/>
      <c r="G2" s="401"/>
      <c r="H2" s="402"/>
      <c r="I2" s="401"/>
      <c r="J2" s="401"/>
      <c r="K2" s="401"/>
      <c r="L2" s="401"/>
      <c r="M2" s="401"/>
      <c r="N2" s="401"/>
      <c r="O2" s="403"/>
    </row>
    <row r="3" spans="2:15" ht="18.75" x14ac:dyDescent="0.3">
      <c r="B3" s="404"/>
      <c r="C3" s="2283" t="s">
        <v>44</v>
      </c>
      <c r="D3" s="2283"/>
      <c r="E3" s="2283"/>
      <c r="F3" s="2283"/>
      <c r="G3" s="2283"/>
      <c r="H3" s="2283"/>
      <c r="I3" s="2283"/>
      <c r="J3" s="2283"/>
      <c r="K3" s="2283"/>
      <c r="L3" s="2283"/>
      <c r="M3" s="2283"/>
      <c r="N3" s="2283"/>
      <c r="O3" s="405"/>
    </row>
    <row r="4" spans="2:15" x14ac:dyDescent="0.25">
      <c r="B4" s="404"/>
      <c r="C4" s="406"/>
      <c r="D4" s="406"/>
      <c r="E4" s="406"/>
      <c r="F4" s="406"/>
      <c r="G4" s="406"/>
      <c r="H4" s="142"/>
      <c r="I4" s="406"/>
      <c r="J4" s="406"/>
      <c r="K4" s="406"/>
      <c r="L4" s="406"/>
      <c r="M4" s="406"/>
      <c r="N4" s="406"/>
      <c r="O4" s="405"/>
    </row>
    <row r="5" spans="2:15" ht="15.75" thickBot="1" x14ac:dyDescent="0.3">
      <c r="B5" s="404"/>
      <c r="C5" s="2298" t="str">
        <f>IF('1'!G5="","Enter Project Name on Form 1",(CONCATENATE("Project Name: ",'1'!G5)))</f>
        <v>Project Name: Compass Broadview</v>
      </c>
      <c r="D5" s="2298"/>
      <c r="E5" s="2298"/>
      <c r="F5" s="2298"/>
      <c r="G5" s="2298"/>
      <c r="H5" s="2298"/>
      <c r="I5" s="2298"/>
      <c r="J5" s="2298"/>
      <c r="K5" s="367"/>
      <c r="L5" s="406"/>
      <c r="M5" s="406"/>
      <c r="N5" s="406"/>
      <c r="O5" s="405"/>
    </row>
    <row r="6" spans="2:15" ht="15.75" thickBot="1" x14ac:dyDescent="0.3">
      <c r="B6" s="404"/>
      <c r="C6" s="406"/>
      <c r="D6" s="406"/>
      <c r="E6" s="406"/>
      <c r="F6" s="406"/>
      <c r="G6" s="406"/>
      <c r="H6" s="142"/>
      <c r="I6" s="406"/>
      <c r="J6" s="406"/>
      <c r="K6" s="406"/>
      <c r="L6" s="406"/>
      <c r="M6" s="406"/>
      <c r="N6" s="406"/>
      <c r="O6" s="405"/>
    </row>
    <row r="7" spans="2:15" ht="63.75" x14ac:dyDescent="0.25">
      <c r="B7" s="404"/>
      <c r="C7" s="1041" t="s">
        <v>499</v>
      </c>
      <c r="D7" s="1513" t="s">
        <v>592</v>
      </c>
      <c r="E7" s="1513" t="s">
        <v>593</v>
      </c>
      <c r="F7" s="1042" t="s">
        <v>45</v>
      </c>
      <c r="G7" s="1043" t="s">
        <v>46</v>
      </c>
      <c r="H7" s="1044" t="s">
        <v>48</v>
      </c>
      <c r="I7" s="1043" t="s">
        <v>49</v>
      </c>
      <c r="J7" s="1043" t="s">
        <v>50</v>
      </c>
      <c r="K7" s="1045" t="s">
        <v>51</v>
      </c>
      <c r="L7" s="1046" t="s">
        <v>42</v>
      </c>
      <c r="M7" s="1044" t="s">
        <v>47</v>
      </c>
      <c r="N7" s="1047" t="s">
        <v>652</v>
      </c>
      <c r="O7" s="405"/>
    </row>
    <row r="8" spans="2:15" ht="39.950000000000003" customHeight="1" x14ac:dyDescent="0.25">
      <c r="B8" s="404"/>
      <c r="C8" s="1035">
        <v>1</v>
      </c>
      <c r="D8" s="1087" t="s">
        <v>1828</v>
      </c>
      <c r="E8" s="1087" t="s">
        <v>1816</v>
      </c>
      <c r="F8" s="794" t="s">
        <v>585</v>
      </c>
      <c r="G8" s="795" t="s">
        <v>28</v>
      </c>
      <c r="H8" s="796" t="s">
        <v>559</v>
      </c>
      <c r="I8" s="796">
        <v>59</v>
      </c>
      <c r="J8" s="796"/>
      <c r="K8" s="797"/>
      <c r="L8" s="798">
        <f>SUM(I8:K8)</f>
        <v>59</v>
      </c>
      <c r="M8" s="1878"/>
      <c r="N8" s="2155">
        <v>43466</v>
      </c>
      <c r="O8" s="405"/>
    </row>
    <row r="9" spans="2:15" x14ac:dyDescent="0.25">
      <c r="B9" s="404"/>
      <c r="C9" s="1036">
        <v>2</v>
      </c>
      <c r="D9" s="1088"/>
      <c r="E9" s="1088"/>
      <c r="F9" s="799"/>
      <c r="G9" s="800"/>
      <c r="H9" s="801"/>
      <c r="I9" s="801"/>
      <c r="J9" s="801"/>
      <c r="K9" s="802"/>
      <c r="L9" s="803">
        <f t="shared" ref="L9:L21" si="0">SUM(I9:K9)</f>
        <v>0</v>
      </c>
      <c r="M9" s="1879"/>
      <c r="N9" s="1039"/>
      <c r="O9" s="405"/>
    </row>
    <row r="10" spans="2:15" x14ac:dyDescent="0.25">
      <c r="B10" s="404"/>
      <c r="C10" s="1036">
        <v>3</v>
      </c>
      <c r="D10" s="1088"/>
      <c r="E10" s="1088"/>
      <c r="F10" s="799"/>
      <c r="G10" s="800"/>
      <c r="H10" s="801"/>
      <c r="I10" s="801"/>
      <c r="J10" s="801"/>
      <c r="K10" s="802"/>
      <c r="L10" s="803">
        <f t="shared" si="0"/>
        <v>0</v>
      </c>
      <c r="M10" s="1879"/>
      <c r="N10" s="1039"/>
      <c r="O10" s="405"/>
    </row>
    <row r="11" spans="2:15" x14ac:dyDescent="0.25">
      <c r="B11" s="404"/>
      <c r="C11" s="1036">
        <v>4</v>
      </c>
      <c r="D11" s="1088"/>
      <c r="E11" s="1088"/>
      <c r="F11" s="799"/>
      <c r="G11" s="800"/>
      <c r="H11" s="801"/>
      <c r="I11" s="801"/>
      <c r="J11" s="801"/>
      <c r="K11" s="802"/>
      <c r="L11" s="803">
        <f t="shared" si="0"/>
        <v>0</v>
      </c>
      <c r="M11" s="1879"/>
      <c r="N11" s="1039"/>
      <c r="O11" s="405"/>
    </row>
    <row r="12" spans="2:15" x14ac:dyDescent="0.25">
      <c r="B12" s="404"/>
      <c r="C12" s="1036">
        <v>5</v>
      </c>
      <c r="D12" s="1088"/>
      <c r="E12" s="1088"/>
      <c r="F12" s="799"/>
      <c r="G12" s="800"/>
      <c r="H12" s="801"/>
      <c r="I12" s="801"/>
      <c r="J12" s="801"/>
      <c r="K12" s="802"/>
      <c r="L12" s="803">
        <f t="shared" si="0"/>
        <v>0</v>
      </c>
      <c r="M12" s="1879"/>
      <c r="N12" s="1039"/>
      <c r="O12" s="405"/>
    </row>
    <row r="13" spans="2:15" x14ac:dyDescent="0.25">
      <c r="B13" s="404"/>
      <c r="C13" s="1036">
        <v>6</v>
      </c>
      <c r="D13" s="1088"/>
      <c r="E13" s="1088"/>
      <c r="F13" s="799"/>
      <c r="G13" s="800"/>
      <c r="H13" s="801"/>
      <c r="I13" s="801"/>
      <c r="J13" s="801"/>
      <c r="K13" s="802"/>
      <c r="L13" s="804">
        <f t="shared" si="0"/>
        <v>0</v>
      </c>
      <c r="M13" s="1879"/>
      <c r="N13" s="1039"/>
      <c r="O13" s="405"/>
    </row>
    <row r="14" spans="2:15" x14ac:dyDescent="0.25">
      <c r="B14" s="404"/>
      <c r="C14" s="1037">
        <v>7</v>
      </c>
      <c r="D14" s="1088"/>
      <c r="E14" s="1088"/>
      <c r="F14" s="799"/>
      <c r="G14" s="805"/>
      <c r="H14" s="806"/>
      <c r="I14" s="806"/>
      <c r="J14" s="806"/>
      <c r="K14" s="807"/>
      <c r="L14" s="804">
        <f t="shared" si="0"/>
        <v>0</v>
      </c>
      <c r="M14" s="1879"/>
      <c r="N14" s="1039"/>
      <c r="O14" s="405"/>
    </row>
    <row r="15" spans="2:15" x14ac:dyDescent="0.25">
      <c r="B15" s="404"/>
      <c r="C15" s="1036">
        <v>8</v>
      </c>
      <c r="D15" s="1088"/>
      <c r="E15" s="1088"/>
      <c r="F15" s="799"/>
      <c r="G15" s="800"/>
      <c r="H15" s="801"/>
      <c r="I15" s="801"/>
      <c r="J15" s="801"/>
      <c r="K15" s="802"/>
      <c r="L15" s="803">
        <f t="shared" si="0"/>
        <v>0</v>
      </c>
      <c r="M15" s="1879"/>
      <c r="N15" s="1039"/>
      <c r="O15" s="405"/>
    </row>
    <row r="16" spans="2:15" x14ac:dyDescent="0.25">
      <c r="B16" s="404"/>
      <c r="C16" s="1036">
        <v>9</v>
      </c>
      <c r="D16" s="1088"/>
      <c r="E16" s="1088"/>
      <c r="F16" s="799"/>
      <c r="G16" s="800"/>
      <c r="H16" s="801"/>
      <c r="I16" s="801"/>
      <c r="J16" s="801"/>
      <c r="K16" s="802"/>
      <c r="L16" s="803">
        <f t="shared" si="0"/>
        <v>0</v>
      </c>
      <c r="M16" s="1879"/>
      <c r="N16" s="1039"/>
      <c r="O16" s="405"/>
    </row>
    <row r="17" spans="2:15" x14ac:dyDescent="0.25">
      <c r="B17" s="404"/>
      <c r="C17" s="1036">
        <v>10</v>
      </c>
      <c r="D17" s="1088"/>
      <c r="E17" s="1088"/>
      <c r="F17" s="799"/>
      <c r="G17" s="800"/>
      <c r="H17" s="801"/>
      <c r="I17" s="801"/>
      <c r="J17" s="801"/>
      <c r="K17" s="802"/>
      <c r="L17" s="803">
        <f t="shared" si="0"/>
        <v>0</v>
      </c>
      <c r="M17" s="1879"/>
      <c r="N17" s="1039"/>
      <c r="O17" s="405"/>
    </row>
    <row r="18" spans="2:15" x14ac:dyDescent="0.25">
      <c r="B18" s="404"/>
      <c r="C18" s="1036">
        <v>11</v>
      </c>
      <c r="D18" s="1088"/>
      <c r="E18" s="1088"/>
      <c r="F18" s="799"/>
      <c r="G18" s="800"/>
      <c r="H18" s="801"/>
      <c r="I18" s="801"/>
      <c r="J18" s="801"/>
      <c r="K18" s="802"/>
      <c r="L18" s="803">
        <f t="shared" si="0"/>
        <v>0</v>
      </c>
      <c r="M18" s="1879"/>
      <c r="N18" s="1039"/>
      <c r="O18" s="405"/>
    </row>
    <row r="19" spans="2:15" x14ac:dyDescent="0.25">
      <c r="B19" s="404"/>
      <c r="C19" s="1036">
        <v>12</v>
      </c>
      <c r="D19" s="1088"/>
      <c r="E19" s="1088"/>
      <c r="F19" s="799"/>
      <c r="G19" s="800"/>
      <c r="H19" s="801"/>
      <c r="I19" s="801"/>
      <c r="J19" s="801"/>
      <c r="K19" s="802"/>
      <c r="L19" s="803">
        <f t="shared" si="0"/>
        <v>0</v>
      </c>
      <c r="M19" s="1879"/>
      <c r="N19" s="1039"/>
      <c r="O19" s="405"/>
    </row>
    <row r="20" spans="2:15" x14ac:dyDescent="0.25">
      <c r="B20" s="404"/>
      <c r="C20" s="1037">
        <v>13</v>
      </c>
      <c r="D20" s="1088"/>
      <c r="E20" s="1088"/>
      <c r="F20" s="799"/>
      <c r="G20" s="805"/>
      <c r="H20" s="806"/>
      <c r="I20" s="806"/>
      <c r="J20" s="806"/>
      <c r="K20" s="807"/>
      <c r="L20" s="804">
        <f t="shared" si="0"/>
        <v>0</v>
      </c>
      <c r="M20" s="1879"/>
      <c r="N20" s="1039"/>
      <c r="O20" s="405"/>
    </row>
    <row r="21" spans="2:15" ht="15.75" thickBot="1" x14ac:dyDescent="0.3">
      <c r="B21" s="404"/>
      <c r="C21" s="1038">
        <v>14</v>
      </c>
      <c r="D21" s="1089"/>
      <c r="E21" s="1089"/>
      <c r="F21" s="808"/>
      <c r="G21" s="809"/>
      <c r="H21" s="810"/>
      <c r="I21" s="810"/>
      <c r="J21" s="810"/>
      <c r="K21" s="812"/>
      <c r="L21" s="811">
        <f t="shared" si="0"/>
        <v>0</v>
      </c>
      <c r="M21" s="1880"/>
      <c r="N21" s="1040"/>
      <c r="O21" s="405"/>
    </row>
    <row r="22" spans="2:15" ht="16.5" thickTop="1" thickBot="1" x14ac:dyDescent="0.3">
      <c r="B22" s="1514"/>
      <c r="C22" s="1401" t="s">
        <v>1162</v>
      </c>
      <c r="D22" s="716"/>
      <c r="E22" s="716"/>
      <c r="F22" s="716"/>
      <c r="G22" s="717"/>
      <c r="H22" s="715" t="s">
        <v>40</v>
      </c>
      <c r="I22" s="408">
        <f>SUM(I8:I21)</f>
        <v>59</v>
      </c>
      <c r="J22" s="409">
        <f>SUM(J8:J21)</f>
        <v>0</v>
      </c>
      <c r="K22" s="410">
        <f>SUM(K8:K21)</f>
        <v>0</v>
      </c>
      <c r="L22" s="411">
        <f>SUM(L8:L21)</f>
        <v>59</v>
      </c>
      <c r="M22" s="713"/>
      <c r="N22" s="714"/>
      <c r="O22" s="1515"/>
    </row>
    <row r="23" spans="2:15" ht="15.75" thickBot="1" x14ac:dyDescent="0.3">
      <c r="B23" s="1516"/>
      <c r="C23" s="1517"/>
      <c r="D23" s="1517"/>
      <c r="E23" s="1517"/>
      <c r="F23" s="1517"/>
      <c r="G23" s="1517"/>
      <c r="H23" s="1517"/>
      <c r="I23" s="1517"/>
      <c r="J23" s="1517"/>
      <c r="K23" s="1517"/>
      <c r="L23" s="1517"/>
      <c r="M23" s="1517"/>
      <c r="N23" s="1517"/>
      <c r="O23" s="413"/>
    </row>
  </sheetData>
  <sheetProtection password="D666" sheet="1" objects="1" scenarios="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5" orientation="landscape" horizontalDpi="4294967295" verticalDpi="4294967295" r:id="rId1"/>
  <headerFooter>
    <oddFooter>&amp;LForm 2A
Building Information&amp;CCFA Forms&amp;REdition: 2016
Version: 1.0</oddFooter>
  </headerFooter>
  <tableParts count="1">
    <tablePart r:id="rId2"/>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topLeftCell="B6" zoomScale="125" zoomScaleNormal="125" zoomScalePageLayoutView="125" workbookViewId="0">
      <selection activeCell="U35" sqref="U35"/>
    </sheetView>
  </sheetViews>
  <sheetFormatPr defaultColWidth="8.85546875" defaultRowHeight="15" x14ac:dyDescent="0.25"/>
  <cols>
    <col min="1" max="2" width="1.7109375" style="394" customWidth="1"/>
    <col min="3" max="11" width="11" style="394" customWidth="1"/>
    <col min="12" max="12" width="1.140625" style="394" customWidth="1"/>
    <col min="13" max="15" width="12" style="394" customWidth="1"/>
    <col min="16" max="16" width="1.7109375" style="394" customWidth="1"/>
    <col min="17" max="16384" width="8.85546875" style="394"/>
  </cols>
  <sheetData>
    <row r="11" spans="2:16" ht="15.75" thickBot="1" x14ac:dyDescent="0.3"/>
    <row r="12" spans="2:16" ht="9" customHeight="1" x14ac:dyDescent="0.25">
      <c r="B12" s="193"/>
      <c r="C12" s="415"/>
      <c r="D12" s="415"/>
      <c r="E12" s="415"/>
      <c r="F12" s="415"/>
      <c r="G12" s="415"/>
      <c r="H12" s="415"/>
      <c r="I12" s="415"/>
      <c r="J12" s="415"/>
      <c r="K12" s="415"/>
      <c r="L12" s="415"/>
      <c r="M12" s="415"/>
      <c r="N12" s="415"/>
      <c r="O12" s="415"/>
      <c r="P12" s="416"/>
    </row>
    <row r="13" spans="2:16" ht="18.75" x14ac:dyDescent="0.25">
      <c r="B13" s="4"/>
      <c r="C13" s="2299" t="s">
        <v>52</v>
      </c>
      <c r="D13" s="2299"/>
      <c r="E13" s="2299"/>
      <c r="F13" s="2299"/>
      <c r="G13" s="2299"/>
      <c r="H13" s="2299"/>
      <c r="I13" s="2299"/>
      <c r="J13" s="2299"/>
      <c r="K13" s="2299"/>
      <c r="L13" s="2299"/>
      <c r="M13" s="2299"/>
      <c r="N13" s="2299"/>
      <c r="O13" s="2299"/>
      <c r="P13" s="3"/>
    </row>
    <row r="14" spans="2:16" ht="15" customHeight="1" x14ac:dyDescent="0.25">
      <c r="B14" s="4"/>
      <c r="C14" s="1"/>
      <c r="D14" s="1"/>
      <c r="E14" s="417"/>
      <c r="F14" s="417"/>
      <c r="G14" s="417"/>
      <c r="H14" s="417"/>
      <c r="I14" s="417"/>
      <c r="J14" s="417"/>
      <c r="K14" s="1"/>
      <c r="L14" s="1"/>
      <c r="M14" s="1"/>
      <c r="N14" s="1"/>
      <c r="O14" s="1"/>
      <c r="P14" s="3"/>
    </row>
    <row r="15" spans="2:16" ht="15.75" thickBot="1" x14ac:dyDescent="0.3">
      <c r="B15" s="141"/>
      <c r="C15" s="2302" t="str">
        <f>IF('1'!G5="","Enter Project Name on Form 1",(CONCATENATE("Project Name: ",'1'!G5)))</f>
        <v>Project Name: Compass Broadview</v>
      </c>
      <c r="D15" s="2302"/>
      <c r="E15" s="2302"/>
      <c r="F15" s="2302"/>
      <c r="G15" s="2302"/>
      <c r="H15" s="2302"/>
      <c r="I15" s="2302"/>
      <c r="J15" s="2302"/>
      <c r="K15" s="2302"/>
      <c r="L15" s="145"/>
      <c r="M15" s="142"/>
      <c r="N15" s="142"/>
      <c r="O15" s="142"/>
      <c r="P15" s="143"/>
    </row>
    <row r="16" spans="2:16" s="414" customFormat="1" ht="15.75" thickBot="1" x14ac:dyDescent="0.3">
      <c r="B16" s="141"/>
      <c r="C16" s="418"/>
      <c r="D16" s="418"/>
      <c r="E16" s="418"/>
      <c r="F16" s="418"/>
      <c r="G16" s="418"/>
      <c r="H16" s="418"/>
      <c r="I16" s="418"/>
      <c r="J16" s="418"/>
      <c r="K16" s="418"/>
      <c r="L16" s="418"/>
      <c r="M16" s="142"/>
      <c r="N16" s="142"/>
      <c r="O16" s="142"/>
      <c r="P16" s="143"/>
    </row>
    <row r="17" spans="2:16" ht="16.5" thickBot="1" x14ac:dyDescent="0.3">
      <c r="B17" s="141"/>
      <c r="C17" s="418"/>
      <c r="D17" s="2303" t="s">
        <v>53</v>
      </c>
      <c r="E17" s="2304"/>
      <c r="F17" s="2304"/>
      <c r="G17" s="2304"/>
      <c r="H17" s="2304"/>
      <c r="I17" s="2304"/>
      <c r="J17" s="2304"/>
      <c r="K17" s="2305"/>
      <c r="L17" s="674"/>
      <c r="M17" s="2300" t="s">
        <v>54</v>
      </c>
      <c r="N17" s="2301"/>
      <c r="O17" s="1080" t="s">
        <v>55</v>
      </c>
      <c r="P17" s="1081"/>
    </row>
    <row r="18" spans="2:16" ht="39" customHeight="1" thickBot="1" x14ac:dyDescent="0.3">
      <c r="B18" s="1519"/>
      <c r="C18" s="1520"/>
      <c r="D18" s="2306" t="s">
        <v>56</v>
      </c>
      <c r="E18" s="2308" t="s">
        <v>61</v>
      </c>
      <c r="F18" s="2308" t="s">
        <v>62</v>
      </c>
      <c r="G18" s="2308" t="s">
        <v>50</v>
      </c>
      <c r="H18" s="2308" t="s">
        <v>63</v>
      </c>
      <c r="I18" s="2308" t="s">
        <v>64</v>
      </c>
      <c r="J18" s="2308" t="s">
        <v>65</v>
      </c>
      <c r="K18" s="2314" t="s">
        <v>66</v>
      </c>
      <c r="L18" s="2316"/>
      <c r="M18" s="2308" t="s">
        <v>57</v>
      </c>
      <c r="N18" s="2310" t="s">
        <v>58</v>
      </c>
      <c r="O18" s="2312" t="s">
        <v>59</v>
      </c>
      <c r="P18" s="1521"/>
    </row>
    <row r="19" spans="2:16" ht="15.75" thickBot="1" x14ac:dyDescent="0.3">
      <c r="B19" s="1519"/>
      <c r="C19" s="1522" t="s">
        <v>60</v>
      </c>
      <c r="D19" s="2307"/>
      <c r="E19" s="2309"/>
      <c r="F19" s="2309"/>
      <c r="G19" s="2309"/>
      <c r="H19" s="2309"/>
      <c r="I19" s="2309"/>
      <c r="J19" s="2309"/>
      <c r="K19" s="2315"/>
      <c r="L19" s="2317"/>
      <c r="M19" s="2309"/>
      <c r="N19" s="2311"/>
      <c r="O19" s="2313"/>
      <c r="P19" s="1521"/>
    </row>
    <row r="20" spans="2:16" x14ac:dyDescent="0.25">
      <c r="B20" s="419"/>
      <c r="C20" s="1048">
        <f>'2A'!C8</f>
        <v>1</v>
      </c>
      <c r="D20" s="813">
        <v>4</v>
      </c>
      <c r="E20" s="814">
        <v>40858</v>
      </c>
      <c r="F20" s="815"/>
      <c r="G20" s="815"/>
      <c r="H20" s="815"/>
      <c r="I20" s="815">
        <v>12727</v>
      </c>
      <c r="J20" s="816">
        <v>5985</v>
      </c>
      <c r="K20" s="817">
        <f>SUM(E20:J20)</f>
        <v>59570</v>
      </c>
      <c r="L20" s="818"/>
      <c r="M20" s="819">
        <v>1</v>
      </c>
      <c r="N20" s="820">
        <v>960</v>
      </c>
      <c r="O20" s="1052">
        <f>K20+N20</f>
        <v>60530</v>
      </c>
      <c r="P20" s="3"/>
    </row>
    <row r="21" spans="2:16" x14ac:dyDescent="0.25">
      <c r="B21" s="419"/>
      <c r="C21" s="1049">
        <v>2</v>
      </c>
      <c r="D21" s="821"/>
      <c r="E21" s="822"/>
      <c r="F21" s="823"/>
      <c r="G21" s="823"/>
      <c r="H21" s="823"/>
      <c r="I21" s="823"/>
      <c r="J21" s="824"/>
      <c r="K21" s="825">
        <f t="shared" ref="K21:K33" si="0">SUM(E21:J21)</f>
        <v>0</v>
      </c>
      <c r="L21" s="826"/>
      <c r="M21" s="827"/>
      <c r="N21" s="828"/>
      <c r="O21" s="1053">
        <f t="shared" ref="O21:O33" si="1">K21+N21</f>
        <v>0</v>
      </c>
      <c r="P21" s="3"/>
    </row>
    <row r="22" spans="2:16" x14ac:dyDescent="0.25">
      <c r="B22" s="419"/>
      <c r="C22" s="1049">
        <v>3</v>
      </c>
      <c r="D22" s="821"/>
      <c r="E22" s="822"/>
      <c r="F22" s="823"/>
      <c r="G22" s="823"/>
      <c r="H22" s="823"/>
      <c r="I22" s="823"/>
      <c r="J22" s="824"/>
      <c r="K22" s="825">
        <f t="shared" si="0"/>
        <v>0</v>
      </c>
      <c r="L22" s="826"/>
      <c r="M22" s="827"/>
      <c r="N22" s="828"/>
      <c r="O22" s="1053">
        <f t="shared" si="1"/>
        <v>0</v>
      </c>
      <c r="P22" s="3"/>
    </row>
    <row r="23" spans="2:16" x14ac:dyDescent="0.25">
      <c r="B23" s="419"/>
      <c r="C23" s="1049">
        <v>4</v>
      </c>
      <c r="D23" s="829"/>
      <c r="E23" s="830"/>
      <c r="F23" s="831"/>
      <c r="G23" s="831"/>
      <c r="H23" s="831"/>
      <c r="I23" s="831"/>
      <c r="J23" s="828"/>
      <c r="K23" s="825">
        <f t="shared" si="0"/>
        <v>0</v>
      </c>
      <c r="L23" s="826"/>
      <c r="M23" s="827"/>
      <c r="N23" s="828"/>
      <c r="O23" s="1053">
        <f t="shared" si="1"/>
        <v>0</v>
      </c>
      <c r="P23" s="3"/>
    </row>
    <row r="24" spans="2:16" x14ac:dyDescent="0.25">
      <c r="B24" s="419"/>
      <c r="C24" s="1049">
        <v>5</v>
      </c>
      <c r="D24" s="821"/>
      <c r="E24" s="822"/>
      <c r="F24" s="823"/>
      <c r="G24" s="823"/>
      <c r="H24" s="823"/>
      <c r="I24" s="823"/>
      <c r="J24" s="824"/>
      <c r="K24" s="825">
        <f t="shared" si="0"/>
        <v>0</v>
      </c>
      <c r="L24" s="826"/>
      <c r="M24" s="827"/>
      <c r="N24" s="828"/>
      <c r="O24" s="1053">
        <f t="shared" si="1"/>
        <v>0</v>
      </c>
      <c r="P24" s="3"/>
    </row>
    <row r="25" spans="2:16" x14ac:dyDescent="0.25">
      <c r="B25" s="419"/>
      <c r="C25" s="1049">
        <v>6</v>
      </c>
      <c r="D25" s="829"/>
      <c r="E25" s="830"/>
      <c r="F25" s="831"/>
      <c r="G25" s="831"/>
      <c r="H25" s="831"/>
      <c r="I25" s="831"/>
      <c r="J25" s="828"/>
      <c r="K25" s="825">
        <f t="shared" si="0"/>
        <v>0</v>
      </c>
      <c r="L25" s="826"/>
      <c r="M25" s="827"/>
      <c r="N25" s="828"/>
      <c r="O25" s="1053">
        <f t="shared" si="1"/>
        <v>0</v>
      </c>
      <c r="P25" s="3"/>
    </row>
    <row r="26" spans="2:16" x14ac:dyDescent="0.25">
      <c r="B26" s="419"/>
      <c r="C26" s="1050">
        <v>7</v>
      </c>
      <c r="D26" s="821"/>
      <c r="E26" s="822"/>
      <c r="F26" s="823"/>
      <c r="G26" s="823"/>
      <c r="H26" s="823"/>
      <c r="I26" s="823"/>
      <c r="J26" s="824"/>
      <c r="K26" s="825">
        <f t="shared" si="0"/>
        <v>0</v>
      </c>
      <c r="L26" s="826"/>
      <c r="M26" s="827"/>
      <c r="N26" s="828"/>
      <c r="O26" s="1053">
        <f t="shared" si="1"/>
        <v>0</v>
      </c>
      <c r="P26" s="3"/>
    </row>
    <row r="27" spans="2:16" x14ac:dyDescent="0.25">
      <c r="B27" s="419"/>
      <c r="C27" s="1049">
        <v>8</v>
      </c>
      <c r="D27" s="829"/>
      <c r="E27" s="830"/>
      <c r="F27" s="831"/>
      <c r="G27" s="831"/>
      <c r="H27" s="831"/>
      <c r="I27" s="831"/>
      <c r="J27" s="828"/>
      <c r="K27" s="825">
        <f t="shared" si="0"/>
        <v>0</v>
      </c>
      <c r="L27" s="826"/>
      <c r="M27" s="827"/>
      <c r="N27" s="828"/>
      <c r="O27" s="1053">
        <f t="shared" si="1"/>
        <v>0</v>
      </c>
      <c r="P27" s="3"/>
    </row>
    <row r="28" spans="2:16" x14ac:dyDescent="0.25">
      <c r="B28" s="419"/>
      <c r="C28" s="1049">
        <v>9</v>
      </c>
      <c r="D28" s="821"/>
      <c r="E28" s="822"/>
      <c r="F28" s="823"/>
      <c r="G28" s="823"/>
      <c r="H28" s="823"/>
      <c r="I28" s="823"/>
      <c r="J28" s="824"/>
      <c r="K28" s="825">
        <f t="shared" si="0"/>
        <v>0</v>
      </c>
      <c r="L28" s="826"/>
      <c r="M28" s="827"/>
      <c r="N28" s="828"/>
      <c r="O28" s="1053">
        <f t="shared" si="1"/>
        <v>0</v>
      </c>
      <c r="P28" s="3"/>
    </row>
    <row r="29" spans="2:16" x14ac:dyDescent="0.25">
      <c r="B29" s="419"/>
      <c r="C29" s="1049">
        <v>10</v>
      </c>
      <c r="D29" s="829"/>
      <c r="E29" s="830"/>
      <c r="F29" s="831"/>
      <c r="G29" s="831"/>
      <c r="H29" s="831"/>
      <c r="I29" s="831"/>
      <c r="J29" s="828"/>
      <c r="K29" s="825">
        <f t="shared" si="0"/>
        <v>0</v>
      </c>
      <c r="L29" s="826"/>
      <c r="M29" s="827"/>
      <c r="N29" s="828"/>
      <c r="O29" s="1053">
        <f t="shared" si="1"/>
        <v>0</v>
      </c>
      <c r="P29" s="3"/>
    </row>
    <row r="30" spans="2:16" x14ac:dyDescent="0.25">
      <c r="B30" s="419"/>
      <c r="C30" s="1049">
        <v>11</v>
      </c>
      <c r="D30" s="821"/>
      <c r="E30" s="822"/>
      <c r="F30" s="823"/>
      <c r="G30" s="823"/>
      <c r="H30" s="823"/>
      <c r="I30" s="823"/>
      <c r="J30" s="824"/>
      <c r="K30" s="825">
        <f t="shared" si="0"/>
        <v>0</v>
      </c>
      <c r="L30" s="826"/>
      <c r="M30" s="827"/>
      <c r="N30" s="828"/>
      <c r="O30" s="1053">
        <f t="shared" si="1"/>
        <v>0</v>
      </c>
      <c r="P30" s="3"/>
    </row>
    <row r="31" spans="2:16" x14ac:dyDescent="0.25">
      <c r="B31" s="419"/>
      <c r="C31" s="1049">
        <v>12</v>
      </c>
      <c r="D31" s="829"/>
      <c r="E31" s="830"/>
      <c r="F31" s="831"/>
      <c r="G31" s="831"/>
      <c r="H31" s="831"/>
      <c r="I31" s="831"/>
      <c r="J31" s="828"/>
      <c r="K31" s="825">
        <f t="shared" si="0"/>
        <v>0</v>
      </c>
      <c r="L31" s="826"/>
      <c r="M31" s="827"/>
      <c r="N31" s="828"/>
      <c r="O31" s="1053">
        <f t="shared" si="1"/>
        <v>0</v>
      </c>
      <c r="P31" s="3"/>
    </row>
    <row r="32" spans="2:16" x14ac:dyDescent="0.25">
      <c r="B32" s="419"/>
      <c r="C32" s="1050">
        <v>13</v>
      </c>
      <c r="D32" s="821"/>
      <c r="E32" s="822"/>
      <c r="F32" s="823"/>
      <c r="G32" s="823"/>
      <c r="H32" s="823"/>
      <c r="I32" s="823"/>
      <c r="J32" s="824"/>
      <c r="K32" s="825">
        <f t="shared" si="0"/>
        <v>0</v>
      </c>
      <c r="L32" s="826"/>
      <c r="M32" s="827"/>
      <c r="N32" s="828"/>
      <c r="O32" s="1053">
        <f t="shared" si="1"/>
        <v>0</v>
      </c>
      <c r="P32" s="3"/>
    </row>
    <row r="33" spans="2:16" ht="15.75" thickBot="1" x14ac:dyDescent="0.3">
      <c r="B33" s="419"/>
      <c r="C33" s="1051">
        <v>14</v>
      </c>
      <c r="D33" s="833"/>
      <c r="E33" s="834"/>
      <c r="F33" s="835"/>
      <c r="G33" s="835"/>
      <c r="H33" s="835"/>
      <c r="I33" s="835"/>
      <c r="J33" s="836"/>
      <c r="K33" s="837">
        <f t="shared" si="0"/>
        <v>0</v>
      </c>
      <c r="L33" s="832"/>
      <c r="M33" s="838"/>
      <c r="N33" s="839"/>
      <c r="O33" s="1054">
        <f t="shared" si="1"/>
        <v>0</v>
      </c>
      <c r="P33" s="3"/>
    </row>
    <row r="34" spans="2:16" ht="16.5" thickTop="1" thickBot="1" x14ac:dyDescent="0.3">
      <c r="B34" s="419"/>
      <c r="C34" s="420" t="s">
        <v>67</v>
      </c>
      <c r="D34" s="675"/>
      <c r="E34" s="840">
        <f t="shared" ref="E34:K34" si="2">SUM(E20:E33)</f>
        <v>40858</v>
      </c>
      <c r="F34" s="841">
        <f t="shared" si="2"/>
        <v>0</v>
      </c>
      <c r="G34" s="841">
        <f t="shared" si="2"/>
        <v>0</v>
      </c>
      <c r="H34" s="841">
        <f t="shared" si="2"/>
        <v>0</v>
      </c>
      <c r="I34" s="841">
        <f t="shared" si="2"/>
        <v>12727</v>
      </c>
      <c r="J34" s="842">
        <f t="shared" si="2"/>
        <v>5985</v>
      </c>
      <c r="K34" s="680">
        <f t="shared" si="2"/>
        <v>59570</v>
      </c>
      <c r="L34" s="677"/>
      <c r="M34" s="678"/>
      <c r="N34" s="676">
        <f>SUM(N20:N33)</f>
        <v>960</v>
      </c>
      <c r="O34" s="679">
        <f>SUM(O20:O33)</f>
        <v>60530</v>
      </c>
      <c r="P34" s="3"/>
    </row>
    <row r="35" spans="2:16" ht="15.75" thickBot="1" x14ac:dyDescent="0.3">
      <c r="B35" s="1523"/>
      <c r="C35" s="6"/>
      <c r="D35" s="6"/>
      <c r="E35" s="6"/>
      <c r="F35" s="6"/>
      <c r="G35" s="6"/>
      <c r="H35" s="6"/>
      <c r="I35" s="6"/>
      <c r="J35" s="6"/>
      <c r="K35" s="6"/>
      <c r="L35" s="6"/>
      <c r="M35" s="421"/>
      <c r="N35" s="421"/>
      <c r="O35" s="421"/>
      <c r="P35" s="1524"/>
    </row>
  </sheetData>
  <sheetProtection password="D666" sheet="1" objects="1" scenarios="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horizontalDpi="4294967295" verticalDpi="4294967295" r:id="rId1"/>
  <headerFooter>
    <oddFooter>&amp;LForm 2B
Square Footage Details&amp;CCFA Forms&amp;REdition: 2016
Version: 1.0</oddFooter>
  </headerFooter>
  <drawing r:id="rId2"/>
  <tableParts count="1">
    <tablePart r:id="rId3"/>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topLeftCell="A87" zoomScaleSheetLayoutView="70" workbookViewId="0">
      <selection activeCell="U35" sqref="U35"/>
    </sheetView>
  </sheetViews>
  <sheetFormatPr defaultColWidth="9.140625" defaultRowHeight="15" x14ac:dyDescent="0.25"/>
  <cols>
    <col min="1" max="4" width="1.7109375" style="1525" customWidth="1"/>
    <col min="5" max="5" width="14.28515625" style="1525" customWidth="1"/>
    <col min="6" max="6" width="16.28515625" style="1525" customWidth="1"/>
    <col min="7" max="7" width="4" style="1525" customWidth="1"/>
    <col min="8" max="8" width="36" style="1525" customWidth="1"/>
    <col min="9" max="9" width="38.85546875" style="1525" bestFit="1" customWidth="1"/>
    <col min="10" max="10" width="8.42578125" style="1525" bestFit="1" customWidth="1"/>
    <col min="11" max="11" width="3.28515625" style="1525" hidden="1" customWidth="1"/>
    <col min="12" max="13" width="1.7109375" style="1525" customWidth="1"/>
    <col min="14" max="16384" width="9.140625" style="1525"/>
  </cols>
  <sheetData>
    <row r="10" spans="2:12" ht="6.75" customHeight="1" x14ac:dyDescent="0.25"/>
    <row r="11" spans="2:12" ht="6.75" customHeight="1" thickBot="1" x14ac:dyDescent="0.3"/>
    <row r="12" spans="2:12" s="1526" customFormat="1" ht="7.5" customHeight="1" x14ac:dyDescent="0.25">
      <c r="B12" s="1186"/>
      <c r="C12" s="1187"/>
      <c r="D12" s="1187"/>
      <c r="E12" s="1187"/>
      <c r="F12" s="1187"/>
      <c r="G12" s="1187"/>
      <c r="H12" s="1187"/>
      <c r="I12" s="1187"/>
      <c r="J12" s="1187"/>
      <c r="K12" s="1187"/>
      <c r="L12" s="1188"/>
    </row>
    <row r="13" spans="2:12" s="1526" customFormat="1" ht="18.75" x14ac:dyDescent="0.3">
      <c r="B13" s="1189"/>
      <c r="C13" s="2376" t="s">
        <v>703</v>
      </c>
      <c r="D13" s="2376"/>
      <c r="E13" s="2376"/>
      <c r="F13" s="2376"/>
      <c r="G13" s="2376"/>
      <c r="H13" s="2376"/>
      <c r="I13" s="2376"/>
      <c r="J13" s="2376"/>
      <c r="K13" s="1411"/>
      <c r="L13" s="1190"/>
    </row>
    <row r="14" spans="2:12" s="1526" customFormat="1" ht="7.5" customHeight="1" x14ac:dyDescent="0.3">
      <c r="B14" s="1189"/>
      <c r="C14" s="1411"/>
      <c r="D14" s="1411"/>
      <c r="E14" s="1191"/>
      <c r="F14" s="1191"/>
      <c r="G14" s="1191"/>
      <c r="H14" s="1191"/>
      <c r="I14" s="1191"/>
      <c r="J14" s="1191"/>
      <c r="K14" s="1411"/>
      <c r="L14" s="1190"/>
    </row>
    <row r="15" spans="2:12" s="1526" customFormat="1" x14ac:dyDescent="0.25">
      <c r="B15" s="1189"/>
      <c r="C15" s="1192"/>
      <c r="D15" s="2377"/>
      <c r="E15" s="2377"/>
      <c r="F15" s="2377"/>
      <c r="G15" s="2377"/>
      <c r="H15" s="2377"/>
      <c r="I15" s="2377"/>
      <c r="J15" s="2377"/>
      <c r="K15" s="1411"/>
      <c r="L15" s="1190"/>
    </row>
    <row r="16" spans="2:12" s="1526" customFormat="1" ht="3.75" customHeight="1" x14ac:dyDescent="0.25">
      <c r="B16" s="1189"/>
      <c r="C16" s="1192"/>
      <c r="D16" s="1411"/>
      <c r="E16" s="1411"/>
      <c r="F16" s="1411"/>
      <c r="G16" s="1411"/>
      <c r="H16" s="1411"/>
      <c r="I16" s="1411"/>
      <c r="J16" s="1411"/>
      <c r="K16" s="1411"/>
      <c r="L16" s="1190"/>
    </row>
    <row r="17" spans="2:16" s="1526" customFormat="1" x14ac:dyDescent="0.25">
      <c r="B17" s="1189"/>
      <c r="C17" s="1192"/>
      <c r="D17" s="1411"/>
      <c r="E17" s="1411"/>
      <c r="F17" s="1411"/>
      <c r="G17" s="1411"/>
      <c r="H17" s="1411"/>
      <c r="I17" s="1411"/>
      <c r="J17" s="1411"/>
      <c r="K17" s="494"/>
      <c r="L17" s="561"/>
      <c r="M17" s="1527"/>
      <c r="N17" s="1527"/>
      <c r="O17" s="1527"/>
      <c r="P17" s="1527"/>
    </row>
    <row r="18" spans="2:16" ht="15.75" x14ac:dyDescent="0.25">
      <c r="B18" s="1189"/>
      <c r="C18" s="1192"/>
      <c r="D18" s="1411"/>
      <c r="E18" s="1193"/>
      <c r="F18" s="2378" t="str">
        <f>IF('1'!G5="","Enter Project Name on Form 1",(CONCATENATE("Project Name: ",'1'!G5)))</f>
        <v>Project Name: Compass Broadview</v>
      </c>
      <c r="G18" s="2378"/>
      <c r="H18" s="2378"/>
      <c r="I18" s="2378"/>
      <c r="J18" s="1185"/>
      <c r="K18" s="422"/>
      <c r="L18" s="194"/>
    </row>
    <row r="19" spans="2:16" ht="7.5" customHeight="1" x14ac:dyDescent="0.25">
      <c r="B19" s="1189"/>
      <c r="C19" s="1192"/>
      <c r="D19" s="1411"/>
      <c r="E19" s="1185"/>
      <c r="F19" s="1185"/>
      <c r="G19" s="1185"/>
      <c r="H19" s="422"/>
      <c r="I19" s="1185"/>
      <c r="J19" s="422"/>
      <c r="K19" s="422"/>
      <c r="L19" s="194"/>
    </row>
    <row r="20" spans="2:16" ht="7.5" customHeight="1" x14ac:dyDescent="0.25">
      <c r="B20" s="1189"/>
      <c r="C20" s="1192"/>
      <c r="D20" s="1411"/>
      <c r="E20" s="1185"/>
      <c r="F20" s="1185"/>
      <c r="G20" s="1185"/>
      <c r="H20" s="367"/>
      <c r="I20" s="1195"/>
      <c r="J20" s="1194"/>
      <c r="K20" s="422"/>
      <c r="L20" s="194"/>
    </row>
    <row r="21" spans="2:16" x14ac:dyDescent="0.25">
      <c r="B21" s="1189"/>
      <c r="C21" s="1192"/>
      <c r="D21" s="1411"/>
      <c r="E21" s="17" t="s">
        <v>704</v>
      </c>
      <c r="F21" s="2379" t="s">
        <v>854</v>
      </c>
      <c r="G21" s="2380"/>
      <c r="H21" s="367"/>
      <c r="I21" s="1195"/>
      <c r="J21" s="1194"/>
      <c r="K21" s="422"/>
      <c r="L21" s="194"/>
    </row>
    <row r="22" spans="2:16" ht="3.75" customHeight="1" x14ac:dyDescent="0.25">
      <c r="B22" s="1189"/>
      <c r="C22" s="1192"/>
      <c r="D22" s="1411"/>
      <c r="E22" s="422"/>
      <c r="F22" s="422"/>
      <c r="G22" s="210"/>
      <c r="H22" s="367"/>
      <c r="I22" s="367"/>
      <c r="J22" s="367"/>
      <c r="K22" s="422"/>
      <c r="L22" s="194"/>
    </row>
    <row r="23" spans="2:16" x14ac:dyDescent="0.25">
      <c r="B23" s="1189"/>
      <c r="C23" s="1192"/>
      <c r="D23" s="1411"/>
      <c r="E23" s="17" t="s">
        <v>705</v>
      </c>
      <c r="F23" s="2379" t="s">
        <v>28</v>
      </c>
      <c r="G23" s="2380"/>
      <c r="H23" s="367"/>
      <c r="I23" s="1195"/>
      <c r="J23" s="1194"/>
      <c r="K23" s="422"/>
      <c r="L23" s="194"/>
    </row>
    <row r="24" spans="2:16" x14ac:dyDescent="0.25">
      <c r="B24" s="1189"/>
      <c r="C24" s="1192"/>
      <c r="D24" s="1411"/>
      <c r="E24" s="422"/>
      <c r="F24" s="422"/>
      <c r="G24" s="210"/>
      <c r="H24" s="422"/>
      <c r="I24" s="1195"/>
      <c r="J24" s="1194"/>
      <c r="K24" s="422"/>
      <c r="L24" s="194"/>
    </row>
    <row r="25" spans="2:16" x14ac:dyDescent="0.25">
      <c r="B25" s="1189"/>
      <c r="C25" s="1192"/>
      <c r="D25" s="1411"/>
      <c r="E25" s="1196" t="s">
        <v>706</v>
      </c>
      <c r="F25" s="1196"/>
      <c r="G25" s="1196"/>
      <c r="H25" s="1196"/>
      <c r="I25" s="1185"/>
      <c r="J25" s="1185"/>
      <c r="K25" s="1411"/>
      <c r="L25" s="1190"/>
    </row>
    <row r="26" spans="2:16" x14ac:dyDescent="0.25">
      <c r="B26" s="1189"/>
      <c r="C26" s="1192"/>
      <c r="D26" s="1411"/>
      <c r="E26" s="1197" t="s">
        <v>707</v>
      </c>
      <c r="F26" s="1198" t="s">
        <v>708</v>
      </c>
      <c r="G26" s="1199"/>
      <c r="H26" s="1199"/>
      <c r="I26" s="1200" t="s">
        <v>709</v>
      </c>
      <c r="J26" s="1201" t="s">
        <v>710</v>
      </c>
      <c r="K26" s="1411"/>
      <c r="L26" s="1190"/>
      <c r="P26" s="1528"/>
    </row>
    <row r="27" spans="2:16" x14ac:dyDescent="0.25">
      <c r="B27" s="1189"/>
      <c r="C27" s="1192"/>
      <c r="D27" s="1411"/>
      <c r="E27" s="1202" t="s">
        <v>711</v>
      </c>
      <c r="F27" s="2364" t="s">
        <v>712</v>
      </c>
      <c r="G27" s="2349"/>
      <c r="H27" s="2350"/>
      <c r="I27" s="1203" t="str">
        <f t="array" ref="I27">IFERROR(INDEX('ESDS-Reference Table'!G1:G493,MATCH(1,('ESDS-Reference Table'!F1:F493=E27)*('ESDS-Reference Table'!H1:H493=F21)*('ESDS-Reference Table'!I1:I493=F23),0)),"Select Region and Activity")</f>
        <v>Mandatory</v>
      </c>
      <c r="J27" s="1204" t="s">
        <v>1886</v>
      </c>
      <c r="K27" s="1411">
        <f>N(J27)</f>
        <v>0</v>
      </c>
      <c r="L27" s="1190"/>
      <c r="N27" s="395"/>
    </row>
    <row r="28" spans="2:16" x14ac:dyDescent="0.25">
      <c r="B28" s="1189"/>
      <c r="C28" s="1192"/>
      <c r="D28" s="1411"/>
      <c r="E28" s="1205" t="s">
        <v>713</v>
      </c>
      <c r="F28" s="2365" t="s">
        <v>714</v>
      </c>
      <c r="G28" s="2366"/>
      <c r="H28" s="2367"/>
      <c r="I28" s="1206" t="str">
        <f t="array" ref="I28">IFERROR(INDEX('ESDS-Reference Table'!G1:G493,MATCH(1,('ESDS-Reference Table'!F1:F493=E28)*('ESDS-Reference Table'!H1:H493=F21)*('ESDS-Reference Table'!I1:I493=F23),0)),"Select Region and Activity")</f>
        <v>0,2,4,6,8 or 10</v>
      </c>
      <c r="J28" s="2229">
        <v>0</v>
      </c>
      <c r="K28" s="1411"/>
      <c r="L28" s="1190"/>
      <c r="N28" s="395"/>
    </row>
    <row r="29" spans="2:16" x14ac:dyDescent="0.25">
      <c r="B29" s="1189"/>
      <c r="C29" s="1192"/>
      <c r="D29" s="1411"/>
      <c r="E29" s="1207">
        <v>1.2</v>
      </c>
      <c r="F29" s="2368" t="s">
        <v>715</v>
      </c>
      <c r="G29" s="2369"/>
      <c r="H29" s="2370"/>
      <c r="I29" s="1208" t="str">
        <f t="array" ref="I29">IFERROR(INDEX('ESDS-Reference Table'!G1:G493,MATCH(1,('ESDS-Reference Table'!F1:F493=E29)*('ESDS-Reference Table'!H1:H493=F21)*('ESDS-Reference Table'!I1:I493=F23),0)),"Select Region and Activity")</f>
        <v>up to 3</v>
      </c>
      <c r="J29" s="1204">
        <v>2</v>
      </c>
      <c r="K29" s="1411">
        <f>N(J29)</f>
        <v>2</v>
      </c>
      <c r="L29" s="1190"/>
    </row>
    <row r="30" spans="2:16" x14ac:dyDescent="0.25">
      <c r="B30" s="1189"/>
      <c r="C30" s="1192"/>
      <c r="D30" s="1411"/>
      <c r="E30" s="1209" t="s">
        <v>716</v>
      </c>
      <c r="F30" s="2365" t="s">
        <v>717</v>
      </c>
      <c r="G30" s="2366"/>
      <c r="H30" s="2367"/>
      <c r="I30" s="1208" t="str">
        <f t="array" ref="I30">IFERROR(INDEX('ESDS-Reference Table'!G1:G493,MATCH(1,('ESDS-Reference Table'!F1:F493=E30)*('ESDS-Reference Table'!H1:H493=F21)*('ESDS-Reference Table'!I1:I493=F23),0)),"Select Region and Activity")</f>
        <v>Mandatory</v>
      </c>
      <c r="J30" s="1204" t="s">
        <v>1886</v>
      </c>
      <c r="K30" s="1411"/>
      <c r="L30" s="1190"/>
    </row>
    <row r="31" spans="2:16" x14ac:dyDescent="0.25">
      <c r="B31" s="1189"/>
      <c r="C31" s="1192"/>
      <c r="D31" s="1411"/>
      <c r="E31" s="1207" t="s">
        <v>718</v>
      </c>
      <c r="F31" s="2371" t="s">
        <v>719</v>
      </c>
      <c r="G31" s="2369"/>
      <c r="H31" s="2370"/>
      <c r="I31" s="1208" t="str">
        <f t="array" ref="I31">IFERROR(INDEX('ESDS-Reference Table'!G1:G493,MATCH(1,('ESDS-Reference Table'!F1:F493=E31)*('ESDS-Reference Table'!H1:H493=F21)*('ESDS-Reference Table'!I1:I493=F23),0)),"Select Region and Activity")</f>
        <v>up to 12 (2 point increments)</v>
      </c>
      <c r="J31" s="1204"/>
      <c r="K31" s="1411"/>
      <c r="L31" s="1190"/>
    </row>
    <row r="32" spans="2:16" x14ac:dyDescent="0.25">
      <c r="B32" s="1189"/>
      <c r="C32" s="1192"/>
      <c r="D32" s="1411"/>
      <c r="E32" s="1207">
        <v>1.4</v>
      </c>
      <c r="F32" s="2372" t="s">
        <v>720</v>
      </c>
      <c r="G32" s="2373"/>
      <c r="H32" s="2374"/>
      <c r="I32" s="1208" t="str">
        <f t="array" ref="I32">IFERROR(INDEX('ESDS-Reference Table'!G1:G493,MATCH(1,('ESDS-Reference Table'!F1:F493=E32)*('ESDS-Reference Table'!H1:H493=F21)*('ESDS-Reference Table'!I1:I493=F23),0)),"Select Region and Activity")</f>
        <v>0,3 or 6</v>
      </c>
      <c r="J32" s="1204">
        <v>3</v>
      </c>
      <c r="K32" s="1411"/>
      <c r="L32" s="1190"/>
    </row>
    <row r="33" spans="2:15" x14ac:dyDescent="0.25">
      <c r="B33" s="1189"/>
      <c r="C33" s="1192"/>
      <c r="D33" s="1411"/>
      <c r="E33" s="1210" t="s">
        <v>34</v>
      </c>
      <c r="F33" s="1211"/>
      <c r="G33" s="1212"/>
      <c r="H33" s="1212"/>
      <c r="I33" s="1213" t="s">
        <v>721</v>
      </c>
      <c r="J33" s="1214">
        <f>SUM(J27:J32)</f>
        <v>5</v>
      </c>
      <c r="K33" s="1411"/>
      <c r="L33" s="1190"/>
    </row>
    <row r="34" spans="2:15" s="1526" customFormat="1" ht="7.5" customHeight="1" x14ac:dyDescent="0.25">
      <c r="B34" s="1189"/>
      <c r="C34" s="1192"/>
      <c r="D34" s="1411"/>
      <c r="E34" s="1215"/>
      <c r="F34" s="1215"/>
      <c r="G34" s="1215"/>
      <c r="H34" s="1215"/>
      <c r="I34" s="1216"/>
      <c r="J34" s="1217"/>
      <c r="K34" s="1411"/>
      <c r="L34" s="1190"/>
      <c r="O34" s="1525"/>
    </row>
    <row r="35" spans="2:15" s="1526" customFormat="1" x14ac:dyDescent="0.25">
      <c r="B35" s="1189"/>
      <c r="C35" s="1192"/>
      <c r="D35" s="1411"/>
      <c r="E35" s="1218" t="s">
        <v>722</v>
      </c>
      <c r="F35" s="1218"/>
      <c r="G35" s="1218"/>
      <c r="H35" s="1218"/>
      <c r="I35" s="1216"/>
      <c r="J35" s="1411"/>
      <c r="K35" s="1411"/>
      <c r="L35" s="1190"/>
      <c r="O35" s="1525"/>
    </row>
    <row r="36" spans="2:15" x14ac:dyDescent="0.25">
      <c r="B36" s="1189"/>
      <c r="C36" s="1192"/>
      <c r="D36" s="1411"/>
      <c r="E36" s="1197" t="s">
        <v>707</v>
      </c>
      <c r="F36" s="1198" t="s">
        <v>708</v>
      </c>
      <c r="G36" s="1199"/>
      <c r="H36" s="1199"/>
      <c r="I36" s="1200" t="s">
        <v>709</v>
      </c>
      <c r="J36" s="1201" t="s">
        <v>710</v>
      </c>
      <c r="K36" s="1411"/>
      <c r="L36" s="1190"/>
    </row>
    <row r="37" spans="2:15" x14ac:dyDescent="0.25">
      <c r="B37" s="1189"/>
      <c r="C37" s="1192"/>
      <c r="D37" s="1411"/>
      <c r="E37" s="1219">
        <v>2.1</v>
      </c>
      <c r="F37" s="2375" t="s">
        <v>723</v>
      </c>
      <c r="G37" s="2319"/>
      <c r="H37" s="2363"/>
      <c r="I37" s="373" t="str">
        <f t="array" ref="I37">IFERROR(INDEX('ESDS-Reference Table'!G1:G493,MATCH(1,('ESDS-Reference Table'!F1:F493=E37)*('ESDS-Reference Table'!H1:H493=F21)*('ESDS-Reference Table'!I1:I493=F23),0)),"Select Region and Activity")</f>
        <v>Mandatory</v>
      </c>
      <c r="J37" s="1204" t="s">
        <v>1886</v>
      </c>
      <c r="K37" s="1411">
        <f t="shared" ref="K37:K47" si="0">N(J37)</f>
        <v>0</v>
      </c>
      <c r="L37" s="1190"/>
    </row>
    <row r="38" spans="2:15" x14ac:dyDescent="0.25">
      <c r="B38" s="1189"/>
      <c r="C38" s="1192"/>
      <c r="D38" s="1411"/>
      <c r="E38" s="1220">
        <v>2.2000000000000002</v>
      </c>
      <c r="F38" s="2358" t="s">
        <v>724</v>
      </c>
      <c r="G38" s="2322"/>
      <c r="H38" s="2351"/>
      <c r="I38" s="1221" t="str">
        <f t="array" ref="I38">IFERROR(INDEX('ESDS-Reference Table'!G1:G493,MATCH(1,('ESDS-Reference Table'!F1:F493=E38)*('ESDS-Reference Table'!H1:H493=F21)*('ESDS-Reference Table'!I1:I493=F23),0)),"Select Region and Activity")</f>
        <v>Mandatory</v>
      </c>
      <c r="J38" s="1204" t="s">
        <v>580</v>
      </c>
      <c r="K38" s="1411">
        <f t="shared" si="0"/>
        <v>0</v>
      </c>
      <c r="L38" s="1222"/>
      <c r="N38" s="395"/>
    </row>
    <row r="39" spans="2:15" x14ac:dyDescent="0.25">
      <c r="B39" s="1189"/>
      <c r="C39" s="1192"/>
      <c r="D39" s="1411"/>
      <c r="E39" s="1220">
        <v>2.2999999999999998</v>
      </c>
      <c r="F39" s="2358" t="s">
        <v>725</v>
      </c>
      <c r="G39" s="2322"/>
      <c r="H39" s="2351"/>
      <c r="I39" s="1221" t="str">
        <f t="array" ref="I39">IFERROR(INDEX('ESDS-Reference Table'!G1:G493,MATCH(1,('ESDS-Reference Table'!F1:F493=E39)*('ESDS-Reference Table'!H1:H493=F21)*('ESDS-Reference Table'!I1:I493=F23),0)),"Select Region and Activity")</f>
        <v>Mandatory</v>
      </c>
      <c r="J39" s="1204" t="s">
        <v>1886</v>
      </c>
      <c r="K39" s="1411">
        <f t="shared" si="0"/>
        <v>0</v>
      </c>
      <c r="L39" s="1190"/>
    </row>
    <row r="40" spans="2:15" x14ac:dyDescent="0.25">
      <c r="B40" s="1189"/>
      <c r="C40" s="1192"/>
      <c r="D40" s="1411"/>
      <c r="E40" s="1220">
        <v>2.4</v>
      </c>
      <c r="F40" s="2358" t="s">
        <v>726</v>
      </c>
      <c r="G40" s="2322"/>
      <c r="H40" s="2351"/>
      <c r="I40" s="1221" t="str">
        <f t="array" ref="I40">IFERROR(INDEX('ESDS-Reference Table'!G1:G493,MATCH(1,('ESDS-Reference Table'!F1:F493=E40)*('ESDS-Reference Table'!H1:H493=F21)*('ESDS-Reference Table'!I1:I493=F23),0)),"Select Region and Activity")</f>
        <v>0 or 5</v>
      </c>
      <c r="J40" s="1204">
        <v>5</v>
      </c>
      <c r="K40" s="1411">
        <f t="shared" si="0"/>
        <v>5</v>
      </c>
      <c r="L40" s="1190"/>
      <c r="N40" s="395"/>
    </row>
    <row r="41" spans="2:15" ht="15" customHeight="1" x14ac:dyDescent="0.25">
      <c r="B41" s="1189"/>
      <c r="C41" s="1192"/>
      <c r="D41" s="1411"/>
      <c r="E41" s="1220">
        <v>2.5</v>
      </c>
      <c r="F41" s="2358" t="s">
        <v>727</v>
      </c>
      <c r="G41" s="2322"/>
      <c r="H41" s="2351"/>
      <c r="I41" s="1221" t="str">
        <f t="array" ref="I41">IFERROR(INDEX('ESDS-Reference Table'!G1:G493,MATCH(1,('ESDS-Reference Table'!F1:F493=E41)*('ESDS-Reference Table'!H1:H493=F21)*('ESDS-Reference Table'!I1:I493=F23),0)),"Select Region and Activity")</f>
        <v xml:space="preserve">Mandatory, +5 </v>
      </c>
      <c r="J41" s="1204">
        <v>5</v>
      </c>
      <c r="K41" s="1411">
        <f t="shared" si="0"/>
        <v>5</v>
      </c>
      <c r="L41" s="1190"/>
    </row>
    <row r="42" spans="2:15" x14ac:dyDescent="0.25">
      <c r="B42" s="1189"/>
      <c r="C42" s="1192"/>
      <c r="D42" s="1411"/>
      <c r="E42" s="1220">
        <v>2.6</v>
      </c>
      <c r="F42" s="2358" t="s">
        <v>728</v>
      </c>
      <c r="G42" s="2322"/>
      <c r="H42" s="2351"/>
      <c r="I42" s="1221" t="str">
        <f t="array" ref="I42">IFERROR(INDEX('ESDS-Reference Table'!G1:G493,MATCH(1,('ESDS-Reference Table'!F1:F493=E42)*('ESDS-Reference Table'!H1:H493=F21)*('ESDS-Reference Table'!I1:I493=F23),0)),"Select Region and Activity")</f>
        <v>Mandatory</v>
      </c>
      <c r="J42" s="1204" t="s">
        <v>1886</v>
      </c>
      <c r="K42" s="1411">
        <f t="shared" si="0"/>
        <v>0</v>
      </c>
      <c r="L42" s="1190"/>
    </row>
    <row r="43" spans="2:15" x14ac:dyDescent="0.25">
      <c r="B43" s="1189"/>
      <c r="C43" s="1192"/>
      <c r="D43" s="1411"/>
      <c r="E43" s="1223" t="s">
        <v>729</v>
      </c>
      <c r="F43" s="2358" t="s">
        <v>730</v>
      </c>
      <c r="G43" s="2322"/>
      <c r="H43" s="2351"/>
      <c r="I43" s="1221" t="str">
        <f t="array" ref="I43">IFERROR(INDEX('ESDS-Reference Table'!G1:G493,MATCH(1,('ESDS-Reference Table'!F1:F493=E43)*('ESDS-Reference Table'!H1:H493=F21)*('ESDS-Reference Table'!I1:I493=F23),0)),"Select Region and Activity")</f>
        <v>Mandatory</v>
      </c>
      <c r="J43" s="1204" t="s">
        <v>1886</v>
      </c>
      <c r="K43" s="1411">
        <f t="shared" si="0"/>
        <v>0</v>
      </c>
      <c r="L43" s="1190"/>
      <c r="N43" s="395"/>
    </row>
    <row r="44" spans="2:15" s="1529" customFormat="1" x14ac:dyDescent="0.25">
      <c r="B44" s="1224"/>
      <c r="C44" s="1192"/>
      <c r="D44" s="430"/>
      <c r="E44" s="1223" t="s">
        <v>731</v>
      </c>
      <c r="F44" s="2359" t="s">
        <v>732</v>
      </c>
      <c r="G44" s="2360"/>
      <c r="H44" s="2361"/>
      <c r="I44" s="1221" t="str">
        <f t="array" ref="I44">IFERROR(INDEX('ESDS-Reference Table'!G1:G493,MATCH(1,('ESDS-Reference Table'!F1:F493=E44)*('ESDS-Reference Table'!H1:H493=F21)*('ESDS-Reference Table'!I1:I493=F23),0)),"Select Region and Activity")</f>
        <v>0,3 or 5 -Tribal Only</v>
      </c>
      <c r="J44" s="1204"/>
      <c r="K44" s="1411">
        <f t="shared" si="0"/>
        <v>0</v>
      </c>
      <c r="L44" s="1225"/>
      <c r="N44" s="395"/>
    </row>
    <row r="45" spans="2:15" x14ac:dyDescent="0.25">
      <c r="B45" s="1189"/>
      <c r="C45" s="1192"/>
      <c r="D45" s="1411"/>
      <c r="E45" s="1220">
        <v>2.8</v>
      </c>
      <c r="F45" s="2358" t="s">
        <v>733</v>
      </c>
      <c r="G45" s="2322"/>
      <c r="H45" s="2351"/>
      <c r="I45" s="1221" t="str">
        <f t="array" ref="I45">IFERROR(INDEX('ESDS-Reference Table'!G1:G493,MATCH(1,('ESDS-Reference Table'!F1:F493=E45)*('ESDS-Reference Table'!H1:H493=F21)*('ESDS-Reference Table'!I1:I493=F23),0)),"Select Region and Activity")</f>
        <v>0 or 2</v>
      </c>
      <c r="J45" s="1204"/>
      <c r="K45" s="1411">
        <f t="shared" si="0"/>
        <v>0</v>
      </c>
      <c r="L45" s="1190"/>
    </row>
    <row r="46" spans="2:15" x14ac:dyDescent="0.25">
      <c r="B46" s="1189"/>
      <c r="C46" s="1192"/>
      <c r="D46" s="1411"/>
      <c r="E46" s="1220">
        <v>2.9</v>
      </c>
      <c r="F46" s="2358" t="s">
        <v>734</v>
      </c>
      <c r="G46" s="2322"/>
      <c r="H46" s="2351"/>
      <c r="I46" s="1221" t="str">
        <f t="array" ref="I46">IFERROR(INDEX('ESDS-Reference Table'!G1:G493,MATCH(1,('ESDS-Reference Table'!F1:F493=E46)*('ESDS-Reference Table'!H1:H493=F21)*('ESDS-Reference Table'!I1:I493=F23),0)),"Select Region and Activity")</f>
        <v>0 or 5</v>
      </c>
      <c r="J46" s="1204">
        <v>5</v>
      </c>
      <c r="K46" s="1411">
        <f t="shared" si="0"/>
        <v>5</v>
      </c>
      <c r="L46" s="1190"/>
    </row>
    <row r="47" spans="2:15" x14ac:dyDescent="0.25">
      <c r="B47" s="1189"/>
      <c r="C47" s="1192"/>
      <c r="D47" s="1411"/>
      <c r="E47" s="1226" t="s">
        <v>735</v>
      </c>
      <c r="F47" s="2346" t="s">
        <v>736</v>
      </c>
      <c r="G47" s="2326"/>
      <c r="H47" s="2347"/>
      <c r="I47" s="373" t="str">
        <f t="array" ref="I47">IFERROR(INDEX('ESDS-Reference Table'!G1:G493,MATCH(1,('ESDS-Reference Table'!F1:F493=E47)*('ESDS-Reference Table'!H1:H493=F21)*('ESDS-Reference Table'!I1:I493=F23),0)),"Select Region and Activity")</f>
        <v>0 or 3</v>
      </c>
      <c r="J47" s="1204"/>
      <c r="K47" s="1411">
        <f t="shared" si="0"/>
        <v>0</v>
      </c>
      <c r="L47" s="1190"/>
    </row>
    <row r="48" spans="2:15" x14ac:dyDescent="0.25">
      <c r="B48" s="1189"/>
      <c r="C48" s="1192"/>
      <c r="D48" s="1411"/>
      <c r="E48" s="1210" t="s">
        <v>34</v>
      </c>
      <c r="F48" s="1211"/>
      <c r="G48" s="1212"/>
      <c r="H48" s="1212"/>
      <c r="I48" s="1213" t="s">
        <v>737</v>
      </c>
      <c r="J48" s="1214">
        <f>SUM(J37:J47)</f>
        <v>15</v>
      </c>
      <c r="K48" s="1411"/>
      <c r="L48" s="1190"/>
    </row>
    <row r="49" spans="1:15" s="1526" customFormat="1" ht="7.5" customHeight="1" x14ac:dyDescent="0.25">
      <c r="B49" s="1189"/>
      <c r="C49" s="1192"/>
      <c r="D49" s="1411"/>
      <c r="E49" s="1215"/>
      <c r="F49" s="1217"/>
      <c r="G49" s="1215"/>
      <c r="H49" s="1215"/>
      <c r="I49" s="1216"/>
      <c r="J49" s="1217"/>
      <c r="K49" s="1411"/>
      <c r="L49" s="1190"/>
      <c r="O49" s="1525"/>
    </row>
    <row r="50" spans="1:15" s="1526" customFormat="1" x14ac:dyDescent="0.25">
      <c r="B50" s="1189"/>
      <c r="C50" s="1192"/>
      <c r="D50" s="1411"/>
      <c r="E50" s="1218" t="s">
        <v>738</v>
      </c>
      <c r="F50" s="1411"/>
      <c r="G50" s="1218"/>
      <c r="H50" s="1218"/>
      <c r="I50" s="1216"/>
      <c r="J50" s="1411"/>
      <c r="K50" s="1411"/>
      <c r="L50" s="1190"/>
      <c r="O50" s="1525"/>
    </row>
    <row r="51" spans="1:15" x14ac:dyDescent="0.25">
      <c r="B51" s="1189"/>
      <c r="C51" s="1192"/>
      <c r="D51" s="1411"/>
      <c r="E51" s="1197" t="s">
        <v>707</v>
      </c>
      <c r="F51" s="1198" t="s">
        <v>708</v>
      </c>
      <c r="G51" s="1199"/>
      <c r="H51" s="1199"/>
      <c r="I51" s="1200" t="s">
        <v>709</v>
      </c>
      <c r="J51" s="1201" t="s">
        <v>710</v>
      </c>
      <c r="K51" s="1411"/>
      <c r="L51" s="1190"/>
    </row>
    <row r="52" spans="1:15" x14ac:dyDescent="0.25">
      <c r="B52" s="1189"/>
      <c r="C52" s="1192"/>
      <c r="D52" s="1411"/>
      <c r="E52" s="1227">
        <v>3.1</v>
      </c>
      <c r="F52" s="2362" t="s">
        <v>739</v>
      </c>
      <c r="G52" s="2319"/>
      <c r="H52" s="2363"/>
      <c r="I52" s="1228" t="str">
        <f t="array" ref="I52">IFERROR(INDEX('ESDS-Reference Table'!G1:G493,MATCH(1,('ESDS-Reference Table'!F1:F493=E52)*('ESDS-Reference Table'!H1:H493=F21)*('ESDS-Reference Table'!I1:I493=F23),0)),"Select Region and Activity")</f>
        <v>Mandatory</v>
      </c>
      <c r="J52" s="1204" t="s">
        <v>1886</v>
      </c>
      <c r="K52" s="1411">
        <f t="shared" ref="K52:K59" si="1">N(J52)</f>
        <v>0</v>
      </c>
      <c r="L52" s="1190"/>
    </row>
    <row r="53" spans="1:15" x14ac:dyDescent="0.25">
      <c r="B53" s="1189"/>
      <c r="C53" s="1192"/>
      <c r="D53" s="1411"/>
      <c r="E53" s="1229">
        <v>3.2</v>
      </c>
      <c r="F53" s="2357" t="s">
        <v>740</v>
      </c>
      <c r="G53" s="2322"/>
      <c r="H53" s="2351"/>
      <c r="I53" s="1208" t="str">
        <f t="array" ref="I53">IFERROR(INDEX('ESDS-Reference Table'!G1:G493,MATCH(1,('ESDS-Reference Table'!F1:F493=E53)*('ESDS-Reference Table'!H1:H493=F21)*('ESDS-Reference Table'!I1:I493=F23),0)),"Select Region and Activity")</f>
        <v>Mandatory</v>
      </c>
      <c r="J53" s="1204" t="s">
        <v>1886</v>
      </c>
      <c r="K53" s="1411">
        <f t="shared" si="1"/>
        <v>0</v>
      </c>
      <c r="L53" s="1190"/>
    </row>
    <row r="54" spans="1:15" ht="15" customHeight="1" x14ac:dyDescent="0.25">
      <c r="B54" s="1189"/>
      <c r="C54" s="1192"/>
      <c r="D54" s="1411"/>
      <c r="E54" s="1220" t="s">
        <v>741</v>
      </c>
      <c r="F54" s="2357" t="s">
        <v>395</v>
      </c>
      <c r="G54" s="2322"/>
      <c r="H54" s="2351"/>
      <c r="I54" s="1208" t="str">
        <f t="array" ref="I54">IFERROR(INDEX('ESDS-Reference Table'!G1:G493,MATCH(1,('ESDS-Reference Table'!F1:F493=E54)*('ESDS-Reference Table'!H1:H493=F21)*('ESDS-Reference Table'!I1:I493=F23),0)),"Select Region and Activity")</f>
        <v>Mandatory, if providing Landscaping</v>
      </c>
      <c r="J54" s="1204" t="s">
        <v>1886</v>
      </c>
      <c r="K54" s="1411">
        <f t="shared" si="1"/>
        <v>0</v>
      </c>
      <c r="L54" s="1190"/>
    </row>
    <row r="55" spans="1:15" x14ac:dyDescent="0.25">
      <c r="B55" s="1189"/>
      <c r="C55" s="1192"/>
      <c r="D55" s="1411"/>
      <c r="E55" s="1220" t="s">
        <v>742</v>
      </c>
      <c r="F55" s="2357" t="s">
        <v>395</v>
      </c>
      <c r="G55" s="2322"/>
      <c r="H55" s="2351"/>
      <c r="I55" s="1208" t="str">
        <f t="array" ref="I55">IFERROR(INDEX('ESDS-Reference Table'!G1:G493,MATCH(1,('ESDS-Reference Table'!F1:F493=E55)*('ESDS-Reference Table'!H1:H493=F21)*('ESDS-Reference Table'!I1:I493=F23),0)),"Select Region and Activity")</f>
        <v>0 or 5</v>
      </c>
      <c r="J55" s="1204">
        <v>5</v>
      </c>
      <c r="K55" s="1411">
        <f t="shared" si="1"/>
        <v>5</v>
      </c>
      <c r="L55" s="1190"/>
    </row>
    <row r="56" spans="1:15" x14ac:dyDescent="0.25">
      <c r="B56" s="1189"/>
      <c r="C56" s="1192"/>
      <c r="D56" s="1411"/>
      <c r="E56" s="1220" t="s">
        <v>743</v>
      </c>
      <c r="F56" s="2357" t="s">
        <v>744</v>
      </c>
      <c r="G56" s="2322"/>
      <c r="H56" s="2351"/>
      <c r="I56" s="1208" t="str">
        <f t="array" ref="I56">IFERROR(INDEX('ESDS-Reference Table'!G1:G493,MATCH(1,('ESDS-Reference Table'!F1:F493=E56)*('ESDS-Reference Table'!H1:H493=F21)*('ESDS-Reference Table'!I1:I493=F23),0)),"Select Region and Activity")</f>
        <v>up to 5</v>
      </c>
      <c r="J56" s="1204"/>
      <c r="K56" s="1411">
        <f t="shared" si="1"/>
        <v>0</v>
      </c>
      <c r="L56" s="1190"/>
    </row>
    <row r="57" spans="1:15" ht="15" customHeight="1" x14ac:dyDescent="0.25">
      <c r="B57" s="1189"/>
      <c r="C57" s="1192"/>
      <c r="D57" s="1411"/>
      <c r="E57" s="1229">
        <v>3.4</v>
      </c>
      <c r="F57" s="2357" t="s">
        <v>745</v>
      </c>
      <c r="G57" s="2322"/>
      <c r="H57" s="2351"/>
      <c r="I57" s="1208" t="str">
        <f t="array" ref="I57">IFERROR(INDEX('ESDS-Reference Table'!G1:G493,MATCH(1,('ESDS-Reference Table'!F1:F493=E57)*('ESDS-Reference Table'!H1:H493=F21)*('ESDS-Reference Table'!I1:I493=F23),0)),"Select Region and Activity")</f>
        <v>Mandatory, if installing irrigation</v>
      </c>
      <c r="J57" s="1204" t="s">
        <v>1886</v>
      </c>
      <c r="K57" s="1411">
        <f t="shared" si="1"/>
        <v>0</v>
      </c>
      <c r="L57" s="1190"/>
    </row>
    <row r="58" spans="1:15" x14ac:dyDescent="0.25">
      <c r="B58" s="1189"/>
      <c r="C58" s="1192"/>
      <c r="D58" s="1411"/>
      <c r="E58" s="1229">
        <v>3.5</v>
      </c>
      <c r="F58" s="2357" t="s">
        <v>746</v>
      </c>
      <c r="G58" s="2322"/>
      <c r="H58" s="2351"/>
      <c r="I58" s="1208" t="str">
        <f t="array" ref="I58">IFERROR(INDEX('ESDS-Reference Table'!G1:G493,MATCH(1,('ESDS-Reference Table'!F1:F493=E58)*('ESDS-Reference Table'!H1:H493=F21)*('ESDS-Reference Table'!I1:I493=F23),0)),"Select Region and Activity")</f>
        <v>0,2,4 or 6</v>
      </c>
      <c r="J58" s="1204">
        <v>6</v>
      </c>
      <c r="K58" s="1411">
        <f t="shared" si="1"/>
        <v>6</v>
      </c>
      <c r="L58" s="1190"/>
    </row>
    <row r="59" spans="1:15" x14ac:dyDescent="0.25">
      <c r="B59" s="1189"/>
      <c r="C59" s="1192"/>
      <c r="D59" s="1411"/>
      <c r="E59" s="1229">
        <v>3.6</v>
      </c>
      <c r="F59" s="2346" t="s">
        <v>747</v>
      </c>
      <c r="G59" s="2326"/>
      <c r="H59" s="2347"/>
      <c r="I59" s="1230" t="str">
        <f t="array" ref="I59">IFERROR(INDEX('ESDS-Reference Table'!G1:G493,MATCH(1,('ESDS-Reference Table'!F1:F493=E59)*('ESDS-Reference Table'!H1:H493=F21)*('ESDS-Reference Table'!I1:I493=F23),0)),"Select Region and Activity")</f>
        <v>Mandatory</v>
      </c>
      <c r="J59" s="1204" t="s">
        <v>1886</v>
      </c>
      <c r="K59" s="1411">
        <f t="shared" si="1"/>
        <v>0</v>
      </c>
      <c r="L59" s="1190"/>
    </row>
    <row r="60" spans="1:15" x14ac:dyDescent="0.25">
      <c r="A60" s="1526"/>
      <c r="B60" s="1189"/>
      <c r="C60" s="1192"/>
      <c r="D60" s="1411"/>
      <c r="E60" s="1210" t="s">
        <v>34</v>
      </c>
      <c r="F60" s="1211"/>
      <c r="G60" s="1212"/>
      <c r="H60" s="1212"/>
      <c r="I60" s="1213" t="s">
        <v>748</v>
      </c>
      <c r="J60" s="1214">
        <f>SUM(J52:J59)</f>
        <v>11</v>
      </c>
      <c r="K60" s="1411"/>
      <c r="L60" s="1190"/>
    </row>
    <row r="61" spans="1:15" ht="7.5" customHeight="1" x14ac:dyDescent="0.25">
      <c r="A61" s="1526"/>
      <c r="B61" s="1189"/>
      <c r="C61" s="1192"/>
      <c r="D61" s="1411"/>
      <c r="E61" s="1215"/>
      <c r="F61" s="1217"/>
      <c r="G61" s="1215"/>
      <c r="H61" s="1215"/>
      <c r="I61" s="1216"/>
      <c r="J61" s="1217"/>
      <c r="K61" s="1411"/>
      <c r="L61" s="1190"/>
    </row>
    <row r="62" spans="1:15" x14ac:dyDescent="0.25">
      <c r="A62" s="1526"/>
      <c r="B62" s="1189"/>
      <c r="C62" s="1192"/>
      <c r="D62" s="1411"/>
      <c r="E62" s="1218" t="s">
        <v>749</v>
      </c>
      <c r="F62" s="1411"/>
      <c r="G62" s="1218"/>
      <c r="H62" s="1218"/>
      <c r="I62" s="1216"/>
      <c r="J62" s="1411"/>
      <c r="K62" s="1411"/>
      <c r="L62" s="1190"/>
    </row>
    <row r="63" spans="1:15" x14ac:dyDescent="0.25">
      <c r="A63" s="1526"/>
      <c r="B63" s="1189"/>
      <c r="C63" s="1192"/>
      <c r="D63" s="1411"/>
      <c r="E63" s="1231" t="s">
        <v>707</v>
      </c>
      <c r="F63" s="1232" t="s">
        <v>708</v>
      </c>
      <c r="G63" s="1233"/>
      <c r="H63" s="1233"/>
      <c r="I63" s="1234" t="s">
        <v>709</v>
      </c>
      <c r="J63" s="1235" t="s">
        <v>710</v>
      </c>
      <c r="K63" s="1411"/>
      <c r="L63" s="1190"/>
    </row>
    <row r="64" spans="1:15" x14ac:dyDescent="0.25">
      <c r="A64" s="1526"/>
      <c r="B64" s="1189"/>
      <c r="C64" s="1192"/>
      <c r="D64" s="1411"/>
      <c r="E64" s="1236" t="s">
        <v>750</v>
      </c>
      <c r="F64" s="2348" t="s">
        <v>751</v>
      </c>
      <c r="G64" s="2349"/>
      <c r="H64" s="2350"/>
      <c r="I64" s="1237" t="str">
        <f t="array" ref="I64">IFERROR(INDEX('ESDS-Reference Table'!G1:G493,MATCH(1,('ESDS-Reference Table'!F1:F493=E64)*('ESDS-Reference Table'!H1:H493=F21)*('ESDS-Reference Table'!I1:I493=F23),0)),"Select Region and Activity")</f>
        <v>Mandatory</v>
      </c>
      <c r="J64" s="1204" t="s">
        <v>1886</v>
      </c>
      <c r="K64" s="1411">
        <f>N(J64)</f>
        <v>0</v>
      </c>
      <c r="L64" s="1190"/>
    </row>
    <row r="65" spans="1:14" x14ac:dyDescent="0.25">
      <c r="A65" s="1526"/>
      <c r="B65" s="1189"/>
      <c r="C65" s="1192"/>
      <c r="D65" s="1411"/>
      <c r="E65" s="1238" t="s">
        <v>752</v>
      </c>
      <c r="F65" s="1239" t="s">
        <v>753</v>
      </c>
      <c r="G65" s="1409"/>
      <c r="H65" s="1410"/>
      <c r="I65" s="1240" t="str">
        <f t="array" ref="I65">IFERROR(INDEX('ESDS-Reference Table'!G1:G493,MATCH(1,('ESDS-Reference Table'!F1:F493=E65)*('ESDS-Reference Table'!H1:H493=F21)*('ESDS-Reference Table'!I1:I493=F23),0)),"Select Region and Activity")</f>
        <v>up to 6, must also achieve 4.4</v>
      </c>
      <c r="J65" s="1204"/>
      <c r="K65" s="1411"/>
      <c r="L65" s="1190"/>
      <c r="N65" s="395"/>
    </row>
    <row r="66" spans="1:14" x14ac:dyDescent="0.25">
      <c r="A66" s="1526"/>
      <c r="B66" s="1189"/>
      <c r="C66" s="1192"/>
      <c r="D66" s="1411"/>
      <c r="E66" s="1241">
        <v>4.2</v>
      </c>
      <c r="F66" s="2321" t="s">
        <v>754</v>
      </c>
      <c r="G66" s="2322"/>
      <c r="H66" s="2351"/>
      <c r="I66" s="1221" t="str">
        <f t="array" ref="I66">IFERROR(INDEX('ESDS-Reference Table'!G1:G493,MATCH(1,('ESDS-Reference Table'!F1:F493=E66)*('ESDS-Reference Table'!H1:H493=F21)*('ESDS-Reference Table'!I1:I493=F23),0)),"Select Region and Activity")</f>
        <v>0 or 2</v>
      </c>
      <c r="J66" s="1204">
        <v>2</v>
      </c>
      <c r="K66" s="1411">
        <f>N(J66)</f>
        <v>2</v>
      </c>
      <c r="L66" s="1190"/>
      <c r="N66" s="395"/>
    </row>
    <row r="67" spans="1:14" x14ac:dyDescent="0.25">
      <c r="A67" s="1526"/>
      <c r="B67" s="1189"/>
      <c r="C67" s="1192"/>
      <c r="D67" s="1411"/>
      <c r="E67" s="1241">
        <v>4.3</v>
      </c>
      <c r="F67" s="2352" t="s">
        <v>755</v>
      </c>
      <c r="G67" s="2353"/>
      <c r="H67" s="2354"/>
      <c r="I67" s="1242" t="str">
        <f t="array" ref="I67">IFERROR(INDEX('ESDS-Reference Table'!G1:G493,MATCH(1,('ESDS-Reference Table'!F1:F493=E67)*('ESDS-Reference Table'!H1:H493=F21)*('ESDS-Reference Table'!I1:I493=F23),0)),"Select Region and Activity")</f>
        <v>0,1,2,4,6,8,10 or 12</v>
      </c>
      <c r="J67" s="1204"/>
      <c r="K67" s="1411">
        <f>N(J67)</f>
        <v>0</v>
      </c>
      <c r="L67" s="1190"/>
      <c r="N67" s="395"/>
    </row>
    <row r="68" spans="1:14" x14ac:dyDescent="0.25">
      <c r="A68" s="1526"/>
      <c r="B68" s="1189"/>
      <c r="C68" s="1192"/>
      <c r="D68" s="1411"/>
      <c r="E68" s="1243">
        <v>4.4000000000000004</v>
      </c>
      <c r="F68" s="1244" t="s">
        <v>756</v>
      </c>
      <c r="G68" s="1245"/>
      <c r="H68" s="1245"/>
      <c r="I68" s="1246" t="str">
        <f t="array" ref="I68">IFERROR(INDEX('ESDS-Reference Table'!G1:G493,MATCH(1,('ESDS-Reference Table'!F1:F493=E68)*('ESDS-Reference Table'!H1:H493=F21)*('ESDS-Reference Table'!I1:I493=F23),0)),"Select Region and Activity")</f>
        <v>0 or 7</v>
      </c>
      <c r="J68" s="1204"/>
      <c r="K68" s="1411"/>
      <c r="L68" s="1190"/>
    </row>
    <row r="69" spans="1:14" x14ac:dyDescent="0.25">
      <c r="A69" s="1526"/>
      <c r="B69" s="1247"/>
      <c r="C69" s="1192"/>
      <c r="D69" s="418"/>
      <c r="E69" s="1210" t="s">
        <v>34</v>
      </c>
      <c r="F69" s="1211"/>
      <c r="G69" s="1212"/>
      <c r="H69" s="1212"/>
      <c r="I69" s="1213" t="s">
        <v>757</v>
      </c>
      <c r="J69" s="1214">
        <f>SUM(J64:J68)</f>
        <v>2</v>
      </c>
      <c r="K69" s="1411"/>
      <c r="L69" s="1190"/>
    </row>
    <row r="70" spans="1:14" ht="7.5" customHeight="1" thickBot="1" x14ac:dyDescent="0.3">
      <c r="A70" s="1526"/>
      <c r="B70" s="1248"/>
      <c r="C70" s="1249"/>
      <c r="D70" s="1249"/>
      <c r="E70" s="1250"/>
      <c r="F70" s="1251"/>
      <c r="G70" s="1250"/>
      <c r="H70" s="1250"/>
      <c r="I70" s="1252"/>
      <c r="J70" s="1251"/>
      <c r="K70" s="1253"/>
      <c r="L70" s="1254"/>
    </row>
    <row r="71" spans="1:14" ht="7.5" customHeight="1" x14ac:dyDescent="0.25">
      <c r="A71" s="1526"/>
      <c r="B71" s="1255"/>
      <c r="C71" s="1256"/>
      <c r="D71" s="1256"/>
      <c r="E71" s="1257"/>
      <c r="F71" s="1187"/>
      <c r="G71" s="1257"/>
      <c r="H71" s="1257"/>
      <c r="I71" s="1258"/>
      <c r="J71" s="1187"/>
      <c r="K71" s="1187"/>
      <c r="L71" s="1188"/>
      <c r="M71" s="1526"/>
    </row>
    <row r="72" spans="1:14" x14ac:dyDescent="0.25">
      <c r="A72" s="1526"/>
      <c r="B72" s="1247"/>
      <c r="C72" s="1192"/>
      <c r="D72" s="418"/>
      <c r="E72" s="1259" t="s">
        <v>758</v>
      </c>
      <c r="F72" s="1411"/>
      <c r="G72" s="1259"/>
      <c r="H72" s="1259"/>
      <c r="I72" s="1216"/>
      <c r="J72" s="1411"/>
      <c r="K72" s="1411"/>
      <c r="L72" s="1190"/>
    </row>
    <row r="73" spans="1:14" x14ac:dyDescent="0.25">
      <c r="A73" s="1526"/>
      <c r="B73" s="1189"/>
      <c r="C73" s="1192"/>
      <c r="D73" s="1411"/>
      <c r="E73" s="1197" t="s">
        <v>707</v>
      </c>
      <c r="F73" s="1198" t="s">
        <v>708</v>
      </c>
      <c r="G73" s="1199"/>
      <c r="H73" s="1199"/>
      <c r="I73" s="1200" t="s">
        <v>709</v>
      </c>
      <c r="J73" s="1201" t="s">
        <v>710</v>
      </c>
      <c r="K73" s="1411"/>
      <c r="L73" s="1190"/>
    </row>
    <row r="74" spans="1:14" x14ac:dyDescent="0.25">
      <c r="A74" s="1526"/>
      <c r="B74" s="1189"/>
      <c r="C74" s="1192"/>
      <c r="D74" s="1411"/>
      <c r="E74" s="1260" t="s">
        <v>759</v>
      </c>
      <c r="F74" s="2318" t="s">
        <v>760</v>
      </c>
      <c r="G74" s="2355"/>
      <c r="H74" s="2356"/>
      <c r="I74" s="373" t="str">
        <f t="array" ref="I74">IFERROR(INDEX('ESDS-Reference Table'!G1:G493,MATCH(1,('ESDS-Reference Table'!F1:F493=E74)*('ESDS-Reference Table'!H1:H493=F21)*('ESDS-Reference Table'!I1:I493=F23),0)),"Select Region and Activity")</f>
        <v>Mandatory</v>
      </c>
      <c r="J74" s="1204" t="s">
        <v>1886</v>
      </c>
      <c r="K74" s="1411">
        <f t="shared" ref="K74:K91" si="2">N(J74)</f>
        <v>0</v>
      </c>
      <c r="L74" s="1190"/>
      <c r="N74" s="395"/>
    </row>
    <row r="75" spans="1:14" x14ac:dyDescent="0.25">
      <c r="A75" s="1526"/>
      <c r="B75" s="1189"/>
      <c r="C75" s="1192"/>
      <c r="D75" s="1411"/>
      <c r="E75" s="1261" t="s">
        <v>761</v>
      </c>
      <c r="F75" s="2321" t="s">
        <v>762</v>
      </c>
      <c r="G75" s="2331"/>
      <c r="H75" s="2332"/>
      <c r="I75" s="1262" t="str">
        <f t="array" ref="I75">IFERROR(INDEX('ESDS-Reference Table'!G1:G493,MATCH(1,('ESDS-Reference Table'!F1:F493=E75)*('ESDS-Reference Table'!H1:H493=F21)*('ESDS-Reference Table'!I1:I493=F23),0)),"Select Region and Activity")</f>
        <v>n/a</v>
      </c>
      <c r="J75" s="1204"/>
      <c r="K75" s="1411">
        <f t="shared" si="2"/>
        <v>0</v>
      </c>
      <c r="L75" s="1222"/>
      <c r="N75" s="395"/>
    </row>
    <row r="76" spans="1:14" ht="15" customHeight="1" x14ac:dyDescent="0.25">
      <c r="B76" s="1189"/>
      <c r="C76" s="1192"/>
      <c r="D76" s="1411"/>
      <c r="E76" s="1261" t="s">
        <v>763</v>
      </c>
      <c r="F76" s="2321" t="s">
        <v>764</v>
      </c>
      <c r="G76" s="2331"/>
      <c r="H76" s="2332"/>
      <c r="I76" s="1262" t="str">
        <f t="array" ref="I76">IFERROR(INDEX('ESDS-Reference Table'!G1:G493,MATCH(1,('ESDS-Reference Table'!F1:F493=E76)*('ESDS-Reference Table'!H1:H493=F21)*('ESDS-Reference Table'!I1:I493=F23),0)),"Select Region and Activity")</f>
        <v>5 to 25 (5 point increments)</v>
      </c>
      <c r="J76" s="1204"/>
      <c r="K76" s="1411">
        <f t="shared" si="2"/>
        <v>0</v>
      </c>
      <c r="L76" s="1190"/>
      <c r="N76" s="395"/>
    </row>
    <row r="77" spans="1:14" ht="15" customHeight="1" x14ac:dyDescent="0.25">
      <c r="B77" s="1189"/>
      <c r="C77" s="1192"/>
      <c r="D77" s="1411"/>
      <c r="E77" s="1261" t="s">
        <v>765</v>
      </c>
      <c r="F77" s="2321" t="s">
        <v>766</v>
      </c>
      <c r="G77" s="2331"/>
      <c r="H77" s="2332"/>
      <c r="I77" s="1262" t="str">
        <f t="array" ref="I77">IFERROR(INDEX('ESDS-Reference Table'!G1:G493,MATCH(1,('ESDS-Reference Table'!F1:F493=E77)*('ESDS-Reference Table'!H1:H493=F21)*('ESDS-Reference Table'!I1:I493=F23),0)),"Select Region and Activity")</f>
        <v>n/a</v>
      </c>
      <c r="J77" s="1204"/>
      <c r="K77" s="1411">
        <f t="shared" si="2"/>
        <v>0</v>
      </c>
      <c r="L77" s="1190"/>
      <c r="N77" s="395"/>
    </row>
    <row r="78" spans="1:14" x14ac:dyDescent="0.25">
      <c r="B78" s="1189"/>
      <c r="C78" s="1192"/>
      <c r="D78" s="1411"/>
      <c r="E78" s="1263">
        <v>5.3</v>
      </c>
      <c r="F78" s="2321" t="s">
        <v>767</v>
      </c>
      <c r="G78" s="2322"/>
      <c r="H78" s="2323"/>
      <c r="I78" s="1262" t="str">
        <f t="array" ref="I78">IFERROR(INDEX('ESDS-Reference Table'!G1:G493,MATCH(1,('ESDS-Reference Table'!F1:F493=E78)*('ESDS-Reference Table'!H1:H493=F21)*('ESDS-Reference Table'!I1:I493=F23),0)),"Select Region and Activity")</f>
        <v>0,1,2,3 or 4</v>
      </c>
      <c r="J78" s="2229">
        <v>0</v>
      </c>
      <c r="K78" s="1411">
        <f t="shared" si="2"/>
        <v>0</v>
      </c>
      <c r="L78" s="1190"/>
    </row>
    <row r="79" spans="1:14" ht="15" customHeight="1" x14ac:dyDescent="0.25">
      <c r="B79" s="1189"/>
      <c r="C79" s="1192"/>
      <c r="D79" s="1411"/>
      <c r="E79" s="1263">
        <v>5.4</v>
      </c>
      <c r="F79" s="2324" t="s">
        <v>768</v>
      </c>
      <c r="G79" s="2322"/>
      <c r="H79" s="2323"/>
      <c r="I79" s="1262" t="str">
        <f t="array" ref="I79">IFERROR(INDEX('ESDS-Reference Table'!G1:G493,MATCH(1,('ESDS-Reference Table'!F1:F493=E79)*('ESDS-Reference Table'!H1:H493=F21)*('ESDS-Reference Table'!I1:I493=F23),0)),"Select Region and Activity")</f>
        <v>Mandatory, if providing appliances</v>
      </c>
      <c r="J79" s="1204" t="s">
        <v>1886</v>
      </c>
      <c r="K79" s="1411">
        <f t="shared" si="2"/>
        <v>0</v>
      </c>
      <c r="L79" s="1190"/>
    </row>
    <row r="80" spans="1:14" x14ac:dyDescent="0.25">
      <c r="B80" s="1189"/>
      <c r="C80" s="1192"/>
      <c r="D80" s="1411"/>
      <c r="E80" s="1263">
        <v>5.5</v>
      </c>
      <c r="F80" s="2324" t="s">
        <v>769</v>
      </c>
      <c r="G80" s="2322"/>
      <c r="H80" s="2323"/>
      <c r="I80" s="1262" t="str">
        <f t="array" ref="I80">IFERROR(INDEX('ESDS-Reference Table'!G1:G493,MATCH(1,('ESDS-Reference Table'!F1:F493=E80)*('ESDS-Reference Table'!H1:H493=F21)*('ESDS-Reference Table'!I1:I493=F23),0)),"Select Region and Activity")</f>
        <v>0 or 3</v>
      </c>
      <c r="J80" s="1204">
        <v>3</v>
      </c>
      <c r="K80" s="1411">
        <f t="shared" si="2"/>
        <v>3</v>
      </c>
      <c r="L80" s="1190"/>
    </row>
    <row r="81" spans="2:15" x14ac:dyDescent="0.25">
      <c r="B81" s="1189"/>
      <c r="C81" s="1192"/>
      <c r="D81" s="1411"/>
      <c r="E81" s="1263">
        <v>5.6</v>
      </c>
      <c r="F81" s="2324" t="s">
        <v>770</v>
      </c>
      <c r="G81" s="2322"/>
      <c r="H81" s="2323"/>
      <c r="I81" s="1262" t="str">
        <f t="array" ref="I81">IFERROR(INDEX('ESDS-Reference Table'!G1:G493,MATCH(1,('ESDS-Reference Table'!F1:F493=E81)*('ESDS-Reference Table'!H1:H493=F21)*('ESDS-Reference Table'!I1:I493=F23),0)),"Select Region and Activity")</f>
        <v>Mandatory</v>
      </c>
      <c r="J81" s="1204" t="s">
        <v>1886</v>
      </c>
      <c r="K81" s="1411">
        <f t="shared" si="2"/>
        <v>0</v>
      </c>
      <c r="L81" s="1190"/>
    </row>
    <row r="82" spans="2:15" x14ac:dyDescent="0.25">
      <c r="B82" s="1189"/>
      <c r="C82" s="1192"/>
      <c r="D82" s="1411"/>
      <c r="E82" s="1261" t="s">
        <v>771</v>
      </c>
      <c r="F82" s="2321" t="s">
        <v>772</v>
      </c>
      <c r="G82" s="2331"/>
      <c r="H82" s="2332"/>
      <c r="I82" s="1262" t="str">
        <f t="array" ref="I82">IFERROR(INDEX('ESDS-Reference Table'!G1:G493,MATCH(1,('ESDS-Reference Table'!F1:F493=E82)*('ESDS-Reference Table'!H1:H493=F21)*('ESDS-Reference Table'!I1:I493=F23),0)),"Select Region and Activity")</f>
        <v>Mandatory</v>
      </c>
      <c r="J82" s="1204" t="s">
        <v>1886</v>
      </c>
      <c r="K82" s="1411">
        <f t="shared" si="2"/>
        <v>0</v>
      </c>
      <c r="L82" s="1190"/>
      <c r="N82" s="395"/>
    </row>
    <row r="83" spans="2:15" x14ac:dyDescent="0.25">
      <c r="B83" s="1189"/>
      <c r="C83" s="1192"/>
      <c r="D83" s="1411"/>
      <c r="E83" s="1261" t="s">
        <v>773</v>
      </c>
      <c r="F83" s="2333" t="s">
        <v>774</v>
      </c>
      <c r="G83" s="2334"/>
      <c r="H83" s="2335"/>
      <c r="I83" s="1262" t="str">
        <f t="array" ref="I83">IFERROR(INDEX('ESDS-Reference Table'!G1:G493,MATCH(1,('ESDS-Reference Table'!F1:F493=E83)*('ESDS-Reference Table'!H1:H493=F21)*('ESDS-Reference Table'!I1:I493=F23),0)),"Select Region and Activity")</f>
        <v>n/a</v>
      </c>
      <c r="J83" s="1204"/>
      <c r="K83" s="1411">
        <f t="shared" si="2"/>
        <v>0</v>
      </c>
      <c r="L83" s="1190"/>
      <c r="N83" s="395"/>
    </row>
    <row r="84" spans="2:15" x14ac:dyDescent="0.25">
      <c r="B84" s="1189"/>
      <c r="C84" s="1192"/>
      <c r="D84" s="1411"/>
      <c r="E84" s="1261" t="s">
        <v>775</v>
      </c>
      <c r="F84" s="2321" t="s">
        <v>776</v>
      </c>
      <c r="G84" s="2322"/>
      <c r="H84" s="2323"/>
      <c r="I84" s="1262" t="str">
        <f t="array" ref="I84">IFERROR(INDEX('ESDS-Reference Table'!G1:G493,MATCH(1,('ESDS-Reference Table'!F1:F493=E84)*('ESDS-Reference Table'!H1:H493=F21)*('ESDS-Reference Table'!I1:I493=F23),0)),"Select Region and Activity")</f>
        <v>n/a</v>
      </c>
      <c r="J84" s="1204"/>
      <c r="K84" s="1411">
        <f t="shared" si="2"/>
        <v>0</v>
      </c>
      <c r="L84" s="1190"/>
      <c r="N84" s="395"/>
    </row>
    <row r="85" spans="2:15" x14ac:dyDescent="0.25">
      <c r="B85" s="1189"/>
      <c r="C85" s="1192"/>
      <c r="D85" s="1411"/>
      <c r="E85" s="1261" t="s">
        <v>777</v>
      </c>
      <c r="F85" s="2324" t="s">
        <v>778</v>
      </c>
      <c r="G85" s="2322"/>
      <c r="H85" s="2323"/>
      <c r="I85" s="1262" t="str">
        <f t="array" ref="I85">IFERROR(INDEX('ESDS-Reference Table'!G1:G493,MATCH(1,('ESDS-Reference Table'!F1:F493=E85)*('ESDS-Reference Table'!H1:H493=F21)*('ESDS-Reference Table'!I1:I493=F23),0)),"Select Region and Activity")</f>
        <v>0 or 1</v>
      </c>
      <c r="J85" s="1204">
        <v>1</v>
      </c>
      <c r="K85" s="1411">
        <f t="shared" si="2"/>
        <v>1</v>
      </c>
      <c r="L85" s="1190"/>
    </row>
    <row r="86" spans="2:15" x14ac:dyDescent="0.25">
      <c r="B86" s="1189"/>
      <c r="C86" s="1192"/>
      <c r="D86" s="1411"/>
      <c r="E86" s="1261" t="s">
        <v>779</v>
      </c>
      <c r="F86" s="2321" t="s">
        <v>780</v>
      </c>
      <c r="G86" s="2322"/>
      <c r="H86" s="2323"/>
      <c r="I86" s="1262" t="str">
        <f t="array" ref="I86">IFERROR(INDEX('ESDS-Reference Table'!G1:G493,MATCH(1,('ESDS-Reference Table'!F1:F493=E86)*('ESDS-Reference Table'!H1:H493=F21)*('ESDS-Reference Table'!I1:I493=F23),0)),"Select Region and Activity")</f>
        <v>n/a</v>
      </c>
      <c r="J86" s="1204"/>
      <c r="K86" s="1411">
        <f t="shared" si="2"/>
        <v>0</v>
      </c>
      <c r="L86" s="1190"/>
      <c r="N86" s="395"/>
    </row>
    <row r="87" spans="2:15" x14ac:dyDescent="0.25">
      <c r="B87" s="1189"/>
      <c r="C87" s="1192"/>
      <c r="D87" s="1411"/>
      <c r="E87" s="1263">
        <v>5.9</v>
      </c>
      <c r="F87" s="2324" t="s">
        <v>781</v>
      </c>
      <c r="G87" s="2322"/>
      <c r="H87" s="2323"/>
      <c r="I87" s="1262" t="str">
        <f t="array" ref="I87">IFERROR(INDEX('ESDS-Reference Table'!G1:G493,MATCH(1,('ESDS-Reference Table'!F1:F493=E87)*('ESDS-Reference Table'!H1:H493=F21)*('ESDS-Reference Table'!I1:I493=F23),0)),"Select Region and Activity")</f>
        <v>Mandatory</v>
      </c>
      <c r="J87" s="1204" t="s">
        <v>1886</v>
      </c>
      <c r="K87" s="1411">
        <f t="shared" si="2"/>
        <v>0</v>
      </c>
      <c r="L87" s="1190"/>
    </row>
    <row r="88" spans="2:15" x14ac:dyDescent="0.25">
      <c r="B88" s="1189"/>
      <c r="C88" s="1192"/>
      <c r="D88" s="1411"/>
      <c r="E88" s="1264" t="s">
        <v>782</v>
      </c>
      <c r="F88" s="2321" t="s">
        <v>781</v>
      </c>
      <c r="G88" s="2322"/>
      <c r="H88" s="2323"/>
      <c r="I88" s="1262" t="str">
        <f t="array" ref="I88">IFERROR(INDEX('ESDS-Reference Table'!G1:G493,MATCH(1,('ESDS-Reference Table'!F1:F493=E88)*('ESDS-Reference Table'!H1:H493=F21)*('ESDS-Reference Table'!I1:I493=F23),0)),"Select Region and Activity")</f>
        <v>n/a</v>
      </c>
      <c r="J88" s="1204"/>
      <c r="K88" s="1411">
        <f t="shared" si="2"/>
        <v>0</v>
      </c>
      <c r="L88" s="1190"/>
      <c r="N88" s="395"/>
    </row>
    <row r="89" spans="2:15" x14ac:dyDescent="0.25">
      <c r="B89" s="1189"/>
      <c r="C89" s="1192"/>
      <c r="D89" s="1411"/>
      <c r="E89" s="1265">
        <v>5.1100000000000003</v>
      </c>
      <c r="F89" s="2336" t="s">
        <v>783</v>
      </c>
      <c r="G89" s="2337"/>
      <c r="H89" s="2338"/>
      <c r="I89" s="1262" t="str">
        <f t="array" ref="I89">IFERROR(INDEX('ESDS-Reference Table'!G1:G493,MATCH(1,('ESDS-Reference Table'!F1:F493=E89)*('ESDS-Reference Table'!H1:H493=F21)*('ESDS-Reference Table'!I1:I493=F23),0)),"Select Region and Activity")</f>
        <v>n/a</v>
      </c>
      <c r="J89" s="1204"/>
      <c r="K89" s="1411">
        <f t="shared" si="2"/>
        <v>0</v>
      </c>
      <c r="L89" s="1190"/>
      <c r="N89" s="395"/>
    </row>
    <row r="90" spans="2:15" x14ac:dyDescent="0.25">
      <c r="B90" s="1189"/>
      <c r="C90" s="1192"/>
      <c r="D90" s="1411"/>
      <c r="E90" s="1265">
        <v>5.12</v>
      </c>
      <c r="F90" s="2339" t="s">
        <v>784</v>
      </c>
      <c r="G90" s="2340"/>
      <c r="H90" s="2341"/>
      <c r="I90" s="1262" t="str">
        <f t="array" ref="I90">IFERROR(INDEX('ESDS-Reference Table'!G1:G493,MATCH(1,('ESDS-Reference Table'!F1:F493=E90)*('ESDS-Reference Table'!H1:H493=F21)*('ESDS-Reference Table'!I1:I493=F23),0)),"Select Region and Activity")</f>
        <v>n/a</v>
      </c>
      <c r="J90" s="1204"/>
      <c r="K90" s="1411">
        <f t="shared" si="2"/>
        <v>0</v>
      </c>
      <c r="L90" s="1190"/>
      <c r="N90" s="395"/>
    </row>
    <row r="91" spans="2:15" x14ac:dyDescent="0.25">
      <c r="B91" s="1189"/>
      <c r="C91" s="1192"/>
      <c r="D91" s="1411"/>
      <c r="E91" s="1266">
        <v>5.13</v>
      </c>
      <c r="F91" s="2342" t="s">
        <v>785</v>
      </c>
      <c r="G91" s="2343"/>
      <c r="H91" s="2344"/>
      <c r="I91" s="1262" t="str">
        <f t="array" ref="I91">IFERROR(INDEX('ESDS-Reference Table'!G1:G493,MATCH(1,('ESDS-Reference Table'!F1:F493=E91)*('ESDS-Reference Table'!H1:H493=F21)*('ESDS-Reference Table'!I1:I493=F23),0)),"Select Region and Activity")</f>
        <v>n/a</v>
      </c>
      <c r="J91" s="1204"/>
      <c r="K91" s="1411">
        <f t="shared" si="2"/>
        <v>0</v>
      </c>
      <c r="L91" s="1190"/>
      <c r="N91" s="395"/>
    </row>
    <row r="92" spans="2:15" x14ac:dyDescent="0.25">
      <c r="B92" s="1189"/>
      <c r="C92" s="1192"/>
      <c r="D92" s="1411"/>
      <c r="E92" s="1210" t="s">
        <v>34</v>
      </c>
      <c r="F92" s="1211"/>
      <c r="G92" s="1212"/>
      <c r="H92" s="1212"/>
      <c r="I92" s="1213" t="s">
        <v>786</v>
      </c>
      <c r="J92" s="1214">
        <f>SUM(J74:J91)</f>
        <v>4</v>
      </c>
      <c r="K92" s="1411"/>
      <c r="L92" s="1190"/>
    </row>
    <row r="93" spans="2:15" s="1526" customFormat="1" ht="7.5" customHeight="1" x14ac:dyDescent="0.25">
      <c r="B93" s="1189"/>
      <c r="C93" s="1192"/>
      <c r="D93" s="1411"/>
      <c r="E93" s="1192"/>
      <c r="F93" s="1411"/>
      <c r="G93" s="1192"/>
      <c r="H93" s="1192"/>
      <c r="I93" s="1216"/>
      <c r="J93" s="1411"/>
      <c r="K93" s="1411"/>
      <c r="L93" s="1190"/>
      <c r="O93" s="1525"/>
    </row>
    <row r="94" spans="2:15" s="1526" customFormat="1" x14ac:dyDescent="0.25">
      <c r="B94" s="1189"/>
      <c r="C94" s="1192"/>
      <c r="D94" s="1411"/>
      <c r="E94" s="1259" t="s">
        <v>787</v>
      </c>
      <c r="F94" s="1411"/>
      <c r="G94" s="1259"/>
      <c r="H94" s="1259"/>
      <c r="I94" s="1216"/>
      <c r="J94" s="1411"/>
      <c r="K94" s="1411"/>
      <c r="L94" s="1190"/>
      <c r="O94" s="1525"/>
    </row>
    <row r="95" spans="2:15" x14ac:dyDescent="0.25">
      <c r="B95" s="1189"/>
      <c r="C95" s="1192"/>
      <c r="D95" s="1411"/>
      <c r="E95" s="1197" t="s">
        <v>707</v>
      </c>
      <c r="F95" s="1198" t="s">
        <v>708</v>
      </c>
      <c r="G95" s="1199"/>
      <c r="H95" s="1199"/>
      <c r="I95" s="1200" t="s">
        <v>709</v>
      </c>
      <c r="J95" s="1201" t="s">
        <v>710</v>
      </c>
      <c r="K95" s="1411"/>
      <c r="L95" s="1190"/>
      <c r="O95" s="395"/>
    </row>
    <row r="96" spans="2:15" x14ac:dyDescent="0.25">
      <c r="B96" s="1189"/>
      <c r="C96" s="1192"/>
      <c r="D96" s="1411"/>
      <c r="E96" s="1267">
        <v>6.1</v>
      </c>
      <c r="F96" s="2345" t="s">
        <v>788</v>
      </c>
      <c r="G96" s="2319"/>
      <c r="H96" s="2320"/>
      <c r="I96" s="373" t="str">
        <f t="array" ref="I96">IFERROR(INDEX('ESDS-Reference Table'!G1:G493,MATCH(1,('ESDS-Reference Table'!F1:F493=E96)*('ESDS-Reference Table'!H1:H493=F21)*('ESDS-Reference Table'!I1:I493=F23),0)),"Select Region and Activity")</f>
        <v>Mandatory</v>
      </c>
      <c r="J96" s="1204" t="s">
        <v>1886</v>
      </c>
      <c r="K96" s="1411">
        <f t="shared" ref="K96:K100" si="3">N(J96)</f>
        <v>0</v>
      </c>
      <c r="L96" s="1190"/>
    </row>
    <row r="97" spans="2:16" x14ac:dyDescent="0.25">
      <c r="B97" s="1189"/>
      <c r="C97" s="1192"/>
      <c r="D97" s="1411"/>
      <c r="E97" s="1263">
        <v>6.2</v>
      </c>
      <c r="F97" s="2324" t="s">
        <v>789</v>
      </c>
      <c r="G97" s="2322"/>
      <c r="H97" s="2323"/>
      <c r="I97" s="1262" t="str">
        <f t="array" ref="I97">IFERROR(INDEX('ESDS-Reference Table'!G1:G493,MATCH(1,('ESDS-Reference Table'!F1:F493=E97)*('ESDS-Reference Table'!H1:H493=F21)*('ESDS-Reference Table'!I1:I493=F23),0)),"Select Region and Activity")</f>
        <v>Mandatory</v>
      </c>
      <c r="J97" s="1204" t="s">
        <v>1886</v>
      </c>
      <c r="K97" s="1411">
        <f t="shared" si="3"/>
        <v>0</v>
      </c>
      <c r="L97" s="1190"/>
    </row>
    <row r="98" spans="2:16" x14ac:dyDescent="0.25">
      <c r="B98" s="1189"/>
      <c r="C98" s="1192"/>
      <c r="D98" s="1411"/>
      <c r="E98" s="1263">
        <v>6.3</v>
      </c>
      <c r="F98" s="2324" t="s">
        <v>790</v>
      </c>
      <c r="G98" s="2322"/>
      <c r="H98" s="2323"/>
      <c r="I98" s="1262" t="str">
        <f t="array" ref="I98">IFERROR(INDEX('ESDS-Reference Table'!G1:G493,MATCH(1,('ESDS-Reference Table'!F1:F493=E98)*('ESDS-Reference Table'!H1:H493=F21)*('ESDS-Reference Table'!I1:I493=F23),0)),"Select Region and Activity")</f>
        <v>up to 5</v>
      </c>
      <c r="J98" s="1204">
        <v>5</v>
      </c>
      <c r="K98" s="1411">
        <f t="shared" si="3"/>
        <v>5</v>
      </c>
      <c r="L98" s="1190"/>
    </row>
    <row r="99" spans="2:16" x14ac:dyDescent="0.25">
      <c r="B99" s="1189"/>
      <c r="C99" s="1192"/>
      <c r="D99" s="1411"/>
      <c r="E99" s="1263">
        <v>6.4</v>
      </c>
      <c r="F99" s="2324" t="s">
        <v>791</v>
      </c>
      <c r="G99" s="2322"/>
      <c r="H99" s="2323"/>
      <c r="I99" s="1262" t="str">
        <f t="array" ref="I99">IFERROR(INDEX('ESDS-Reference Table'!G1:G493,MATCH(1,('ESDS-Reference Table'!F1:F493=E99)*('ESDS-Reference Table'!H1:H493=F21)*('ESDS-Reference Table'!I1:I493=F23),0)),"Select Region and Activity")</f>
        <v>up to 10 (0.5 increments)</v>
      </c>
      <c r="J99" s="1204"/>
      <c r="K99" s="1411">
        <f t="shared" si="3"/>
        <v>0</v>
      </c>
      <c r="L99" s="1190"/>
    </row>
    <row r="100" spans="2:16" x14ac:dyDescent="0.25">
      <c r="B100" s="1189"/>
      <c r="C100" s="1192"/>
      <c r="D100" s="1411"/>
      <c r="E100" s="1261" t="s">
        <v>792</v>
      </c>
      <c r="F100" s="2321" t="s">
        <v>793</v>
      </c>
      <c r="G100" s="2322"/>
      <c r="H100" s="2323"/>
      <c r="I100" s="1262" t="str">
        <f t="array" ref="I100">IFERROR(INDEX('ESDS-Reference Table'!G1:G493,MATCH(1,('ESDS-Reference Table'!F1:F493=E100)*('ESDS-Reference Table'!H1:H493=F21)*('ESDS-Reference Table'!I1:I493=F23),0)),"Select Region and Activity")</f>
        <v>0 or 2</v>
      </c>
      <c r="J100" s="1204">
        <v>2</v>
      </c>
      <c r="K100" s="1411">
        <f t="shared" si="3"/>
        <v>2</v>
      </c>
      <c r="L100" s="1190"/>
    </row>
    <row r="101" spans="2:16" x14ac:dyDescent="0.25">
      <c r="B101" s="1189"/>
      <c r="C101" s="1192"/>
      <c r="D101" s="1411"/>
      <c r="E101" s="1261" t="s">
        <v>794</v>
      </c>
      <c r="F101" s="1406" t="s">
        <v>795</v>
      </c>
      <c r="G101" s="1407"/>
      <c r="H101" s="1408"/>
      <c r="I101" s="1262" t="str">
        <f t="array" ref="I101">IFERROR(INDEX('ESDS-Reference Table'!G1:G493,MATCH(1,('ESDS-Reference Table'!F1:F493=E101)*('ESDS-Reference Table'!H1:H493=F21)*('ESDS-Reference Table'!I1:I493=F23),0)),"Select Region and Activity")</f>
        <v>0 or 2, if paving</v>
      </c>
      <c r="J101" s="1204"/>
      <c r="K101" s="1411"/>
      <c r="L101" s="1190"/>
    </row>
    <row r="102" spans="2:16" x14ac:dyDescent="0.25">
      <c r="B102" s="1189"/>
      <c r="C102" s="1192"/>
      <c r="D102" s="1411"/>
      <c r="E102" s="1265">
        <v>6.6</v>
      </c>
      <c r="F102" s="1406" t="s">
        <v>796</v>
      </c>
      <c r="G102" s="1407"/>
      <c r="H102" s="1408"/>
      <c r="I102" s="1262" t="str">
        <f t="array" ref="I102">IFERROR(INDEX('ESDS-Reference Table'!G1:G493,MATCH(1,('ESDS-Reference Table'!F1:F493=E102)*('ESDS-Reference Table'!H1:H493=F21)*('ESDS-Reference Table'!I1:I493=F23),0)),"Select Region and Activity")</f>
        <v>up to 3</v>
      </c>
      <c r="J102" s="1204"/>
      <c r="K102" s="1411"/>
      <c r="L102" s="1190"/>
    </row>
    <row r="103" spans="2:16" x14ac:dyDescent="0.25">
      <c r="B103" s="1189"/>
      <c r="C103" s="1192"/>
      <c r="D103" s="1411"/>
      <c r="E103" s="1210" t="s">
        <v>34</v>
      </c>
      <c r="F103" s="1211"/>
      <c r="G103" s="1212"/>
      <c r="H103" s="1212"/>
      <c r="I103" s="1213" t="s">
        <v>797</v>
      </c>
      <c r="J103" s="1214">
        <f>SUM(J96:J102)</f>
        <v>7</v>
      </c>
      <c r="K103" s="1411"/>
      <c r="L103" s="1190"/>
      <c r="P103" s="1526"/>
    </row>
    <row r="104" spans="2:16" s="1526" customFormat="1" ht="7.5" customHeight="1" x14ac:dyDescent="0.25">
      <c r="B104" s="1189"/>
      <c r="C104" s="1192"/>
      <c r="D104" s="1411"/>
      <c r="E104" s="1215"/>
      <c r="F104" s="1217"/>
      <c r="G104" s="1215"/>
      <c r="H104" s="1215"/>
      <c r="I104" s="1216"/>
      <c r="J104" s="1217"/>
      <c r="K104" s="1411"/>
      <c r="L104" s="1190"/>
      <c r="O104" s="1525"/>
    </row>
    <row r="105" spans="2:16" s="1526" customFormat="1" ht="7.5" customHeight="1" x14ac:dyDescent="0.25">
      <c r="B105" s="1189"/>
      <c r="C105" s="1192"/>
      <c r="D105" s="1411"/>
      <c r="E105" s="1192"/>
      <c r="F105" s="1411"/>
      <c r="G105" s="1192"/>
      <c r="H105" s="1192"/>
      <c r="I105" s="1216"/>
      <c r="J105" s="1411"/>
      <c r="K105" s="1411"/>
      <c r="L105" s="1190"/>
      <c r="O105" s="1525"/>
    </row>
    <row r="106" spans="2:16" s="1526" customFormat="1" x14ac:dyDescent="0.25">
      <c r="B106" s="1189"/>
      <c r="C106" s="1192"/>
      <c r="D106" s="1411"/>
      <c r="E106" s="1259" t="s">
        <v>798</v>
      </c>
      <c r="F106" s="1411"/>
      <c r="G106" s="1259"/>
      <c r="H106" s="1259"/>
      <c r="I106" s="1216"/>
      <c r="J106" s="1411"/>
      <c r="K106" s="1411"/>
      <c r="L106" s="1190"/>
      <c r="O106" s="1525"/>
    </row>
    <row r="107" spans="2:16" x14ac:dyDescent="0.25">
      <c r="B107" s="1189"/>
      <c r="C107" s="1192"/>
      <c r="D107" s="1411"/>
      <c r="E107" s="1197" t="s">
        <v>707</v>
      </c>
      <c r="F107" s="1198" t="s">
        <v>708</v>
      </c>
      <c r="G107" s="1199"/>
      <c r="H107" s="1199"/>
      <c r="I107" s="1200" t="s">
        <v>709</v>
      </c>
      <c r="J107" s="1201" t="s">
        <v>710</v>
      </c>
      <c r="K107" s="1411"/>
      <c r="L107" s="1190"/>
    </row>
    <row r="108" spans="2:16" x14ac:dyDescent="0.25">
      <c r="B108" s="1189"/>
      <c r="C108" s="1192"/>
      <c r="D108" s="1411"/>
      <c r="E108" s="1267">
        <v>7.1</v>
      </c>
      <c r="F108" s="2328" t="s">
        <v>799</v>
      </c>
      <c r="G108" s="2329"/>
      <c r="H108" s="2330"/>
      <c r="I108" s="1268" t="str">
        <f t="array" ref="I108">IFERROR(INDEX('ESDS-Reference Table'!$G$1:$G$493,MATCH(1,('ESDS-Reference Table'!$F$1:$F$493=E108)*('ESDS-Reference Table'!$H$1:$H$493=$F$21)*('ESDS-Reference Table'!$I$1:$I$493=$F$23),0)),"Select Region and Activity")</f>
        <v>Mandatory</v>
      </c>
      <c r="J108" s="1204" t="s">
        <v>1886</v>
      </c>
      <c r="K108" s="1411">
        <f t="shared" ref="K108:K128" si="4">N(J108)</f>
        <v>0</v>
      </c>
      <c r="L108" s="1190"/>
    </row>
    <row r="109" spans="2:16" ht="15" customHeight="1" x14ac:dyDescent="0.25">
      <c r="B109" s="1189"/>
      <c r="C109" s="1192"/>
      <c r="D109" s="1411"/>
      <c r="E109" s="1261" t="s">
        <v>800</v>
      </c>
      <c r="F109" s="2324" t="s">
        <v>801</v>
      </c>
      <c r="G109" s="2322"/>
      <c r="H109" s="2323"/>
      <c r="I109" s="1269" t="str">
        <f t="array" ref="I109">IFERROR(INDEX('ESDS-Reference Table'!$G$1:$G$493,MATCH(1,('ESDS-Reference Table'!$F$1:$F$493=E109)*('ESDS-Reference Table'!$H$1:$H$493=$F$21)*('ESDS-Reference Table'!$I$1:$I$493=$F$23),0)),"Select Region and Activity")</f>
        <v>Mandatory, if providing flooring materials</v>
      </c>
      <c r="J109" s="1204" t="s">
        <v>1886</v>
      </c>
      <c r="K109" s="1411">
        <f t="shared" si="4"/>
        <v>0</v>
      </c>
      <c r="L109" s="1190"/>
    </row>
    <row r="110" spans="2:16" x14ac:dyDescent="0.25">
      <c r="B110" s="1189"/>
      <c r="C110" s="1192"/>
      <c r="D110" s="1411"/>
      <c r="E110" s="1261" t="s">
        <v>802</v>
      </c>
      <c r="F110" s="2324" t="s">
        <v>801</v>
      </c>
      <c r="G110" s="2322"/>
      <c r="H110" s="2323"/>
      <c r="I110" s="1269" t="str">
        <f t="array" ref="I110">IFERROR(INDEX('ESDS-Reference Table'!$G$1:$G$493,MATCH(1,('ESDS-Reference Table'!$F$1:$F$493=E110)*('ESDS-Reference Table'!$H$1:$H$493=$F$21)*('ESDS-Reference Table'!$I$1:$I$493=$F$23),0)),"Select Region and Activity")</f>
        <v>0 or 6</v>
      </c>
      <c r="J110" s="1204"/>
      <c r="K110" s="1411">
        <f t="shared" si="4"/>
        <v>0</v>
      </c>
      <c r="L110" s="1190"/>
    </row>
    <row r="111" spans="2:16" x14ac:dyDescent="0.25">
      <c r="B111" s="1189"/>
      <c r="C111" s="1192"/>
      <c r="D111" s="1411"/>
      <c r="E111" s="1261" t="s">
        <v>803</v>
      </c>
      <c r="F111" s="2321" t="s">
        <v>804</v>
      </c>
      <c r="G111" s="2331"/>
      <c r="H111" s="2332"/>
      <c r="I111" s="1269" t="str">
        <f t="array" ref="I111">IFERROR(INDEX('ESDS-Reference Table'!$G$1:$G$493,MATCH(1,('ESDS-Reference Table'!$F$1:$F$493=E111)*('ESDS-Reference Table'!$H$1:$H$493=$F$21)*('ESDS-Reference Table'!$I$1:$I$493=$F$23),0)),"Select Region and Activity")</f>
        <v>Mandatory</v>
      </c>
      <c r="J111" s="1204" t="s">
        <v>1886</v>
      </c>
      <c r="K111" s="1411">
        <f t="shared" si="4"/>
        <v>0</v>
      </c>
      <c r="L111" s="1190"/>
      <c r="N111" s="395"/>
      <c r="P111" s="394"/>
    </row>
    <row r="112" spans="2:16" x14ac:dyDescent="0.25">
      <c r="B112" s="1189"/>
      <c r="C112" s="1192"/>
      <c r="D112" s="1411"/>
      <c r="E112" s="1261" t="s">
        <v>805</v>
      </c>
      <c r="F112" s="2333" t="s">
        <v>804</v>
      </c>
      <c r="G112" s="2334"/>
      <c r="H112" s="2335"/>
      <c r="I112" s="1269" t="str">
        <f t="array" ref="I112">IFERROR(INDEX('ESDS-Reference Table'!$G$1:$G$493,MATCH(1,('ESDS-Reference Table'!$F$1:$F$493=E112)*('ESDS-Reference Table'!$H$1:$H$493=$F$21)*('ESDS-Reference Table'!$I$1:$I$493=$F$23),0)),"Select Region and Activity")</f>
        <v>n/a</v>
      </c>
      <c r="J112" s="1204"/>
      <c r="K112" s="1411">
        <f t="shared" si="4"/>
        <v>0</v>
      </c>
      <c r="L112" s="1190"/>
      <c r="N112" s="395"/>
      <c r="P112" s="394"/>
    </row>
    <row r="113" spans="2:16" x14ac:dyDescent="0.25">
      <c r="B113" s="1189"/>
      <c r="C113" s="1192"/>
      <c r="D113" s="1411"/>
      <c r="E113" s="1261" t="s">
        <v>806</v>
      </c>
      <c r="F113" s="2321" t="s">
        <v>807</v>
      </c>
      <c r="G113" s="2331"/>
      <c r="H113" s="2332"/>
      <c r="I113" s="1269" t="str">
        <f t="array" ref="I113">IFERROR(INDEX('ESDS-Reference Table'!$G$1:$G$493,MATCH(1,('ESDS-Reference Table'!$F$1:$F$493=E113)*('ESDS-Reference Table'!$H$1:$H$493=$F$21)*('ESDS-Reference Table'!$I$1:$I$493=$F$23),0)),"Select Region and Activity")</f>
        <v>Mandatory</v>
      </c>
      <c r="J113" s="1204" t="s">
        <v>1886</v>
      </c>
      <c r="K113" s="1411">
        <f t="shared" si="4"/>
        <v>0</v>
      </c>
      <c r="L113" s="1190"/>
      <c r="N113" s="395"/>
      <c r="P113" s="394"/>
    </row>
    <row r="114" spans="2:16" x14ac:dyDescent="0.25">
      <c r="B114" s="1189"/>
      <c r="C114" s="1192"/>
      <c r="D114" s="1411"/>
      <c r="E114" s="1261" t="s">
        <v>808</v>
      </c>
      <c r="F114" s="2321" t="s">
        <v>807</v>
      </c>
      <c r="G114" s="2331"/>
      <c r="H114" s="2332"/>
      <c r="I114" s="1269" t="str">
        <f t="array" ref="I114">IFERROR(INDEX('ESDS-Reference Table'!$G$1:$G$493,MATCH(1,('ESDS-Reference Table'!$F$1:$F$493=E114)*('ESDS-Reference Table'!$H$1:$H$493=$F$21)*('ESDS-Reference Table'!$I$1:$I$493=$F$23),0)),"Select Region and Activity")</f>
        <v>n/a</v>
      </c>
      <c r="J114" s="1204"/>
      <c r="K114" s="1411">
        <f t="shared" si="4"/>
        <v>0</v>
      </c>
      <c r="L114" s="1190"/>
      <c r="N114" s="395"/>
      <c r="P114" s="394"/>
    </row>
    <row r="115" spans="2:16" x14ac:dyDescent="0.25">
      <c r="B115" s="1189"/>
      <c r="C115" s="1192"/>
      <c r="D115" s="1411"/>
      <c r="E115" s="1265">
        <v>7.5</v>
      </c>
      <c r="F115" s="2324" t="s">
        <v>809</v>
      </c>
      <c r="G115" s="2322"/>
      <c r="H115" s="2323"/>
      <c r="I115" s="1269" t="str">
        <f t="array" ref="I115">IFERROR(INDEX('ESDS-Reference Table'!$G$1:$G$493,MATCH(1,('ESDS-Reference Table'!$F$1:$F$493=E115)*('ESDS-Reference Table'!$H$1:$H$493=$F$21)*('ESDS-Reference Table'!$I$1:$I$493=$F$23),0)),"Select Region and Activity")</f>
        <v>Mandatory</v>
      </c>
      <c r="J115" s="1204" t="s">
        <v>1886</v>
      </c>
      <c r="K115" s="1411">
        <f t="shared" si="4"/>
        <v>0</v>
      </c>
      <c r="L115" s="1190"/>
    </row>
    <row r="116" spans="2:16" x14ac:dyDescent="0.25">
      <c r="B116" s="1189"/>
      <c r="C116" s="1192"/>
      <c r="D116" s="1411"/>
      <c r="E116" s="1265">
        <v>7.6</v>
      </c>
      <c r="F116" s="2324" t="s">
        <v>810</v>
      </c>
      <c r="G116" s="2322"/>
      <c r="H116" s="2323"/>
      <c r="I116" s="1269" t="str">
        <f t="array" ref="I116">IFERROR(INDEX('ESDS-Reference Table'!$G$1:$G$493,MATCH(1,('ESDS-Reference Table'!$F$1:$F$493=E116)*('ESDS-Reference Table'!$H$1:$H$493=$F$21)*('ESDS-Reference Table'!$I$1:$I$493=$F$23),0)),"Select Region and Activity")</f>
        <v>Mandatory</v>
      </c>
      <c r="J116" s="1204" t="s">
        <v>1886</v>
      </c>
      <c r="K116" s="1411">
        <f t="shared" si="4"/>
        <v>0</v>
      </c>
      <c r="L116" s="1190"/>
    </row>
    <row r="117" spans="2:16" x14ac:dyDescent="0.25">
      <c r="B117" s="1189"/>
      <c r="C117" s="1192"/>
      <c r="D117" s="1411"/>
      <c r="E117" s="1265">
        <v>7.7</v>
      </c>
      <c r="F117" s="2324" t="s">
        <v>811</v>
      </c>
      <c r="G117" s="2322"/>
      <c r="H117" s="2323"/>
      <c r="I117" s="1269" t="str">
        <f t="array" ref="I117">IFERROR(INDEX('ESDS-Reference Table'!$G$1:$G$493,MATCH(1,('ESDS-Reference Table'!$F$1:$F$493=E117)*('ESDS-Reference Table'!$H$1:$H$493=$F$21)*('ESDS-Reference Table'!$I$1:$I$493=$F$23),0)),"Select Region and Activity")</f>
        <v>Mandatory</v>
      </c>
      <c r="J117" s="1204" t="s">
        <v>1886</v>
      </c>
      <c r="K117" s="1411">
        <f t="shared" si="4"/>
        <v>0</v>
      </c>
      <c r="L117" s="1190"/>
    </row>
    <row r="118" spans="2:16" x14ac:dyDescent="0.25">
      <c r="B118" s="1189"/>
      <c r="C118" s="1192"/>
      <c r="D118" s="1411"/>
      <c r="E118" s="1265">
        <v>7.8</v>
      </c>
      <c r="F118" s="2324" t="s">
        <v>812</v>
      </c>
      <c r="G118" s="2322"/>
      <c r="H118" s="2323"/>
      <c r="I118" s="1269" t="str">
        <f t="array" ref="I118">IFERROR(INDEX('ESDS-Reference Table'!$G$1:$G$493,MATCH(1,('ESDS-Reference Table'!$F$1:$F$493=E118)*('ESDS-Reference Table'!$H$1:$H$493=$F$21)*('ESDS-Reference Table'!$I$1:$I$493=$F$23),0)),"Select Region and Activity")</f>
        <v>Mandatory</v>
      </c>
      <c r="J118" s="1204" t="s">
        <v>1886</v>
      </c>
      <c r="K118" s="1411">
        <f t="shared" si="4"/>
        <v>0</v>
      </c>
      <c r="L118" s="1190"/>
    </row>
    <row r="119" spans="2:16" s="1530" customFormat="1" x14ac:dyDescent="0.25">
      <c r="B119" s="1270"/>
      <c r="C119" s="1192"/>
      <c r="D119" s="1271"/>
      <c r="E119" s="1272">
        <v>7.9</v>
      </c>
      <c r="F119" s="2324" t="s">
        <v>813</v>
      </c>
      <c r="G119" s="2322"/>
      <c r="H119" s="2323"/>
      <c r="I119" s="1269" t="str">
        <f t="array" ref="I119">IFERROR(INDEX('ESDS-Reference Table'!$G$1:$G$493,MATCH(1,('ESDS-Reference Table'!$F$1:$F$493=E119)*('ESDS-Reference Table'!$H$1:$H$493=$F$21)*('ESDS-Reference Table'!$I$1:$I$493=$F$23),0)),"Select Region and Activity")</f>
        <v>Mandatory</v>
      </c>
      <c r="J119" s="1204" t="s">
        <v>1886</v>
      </c>
      <c r="K119" s="1411">
        <f t="shared" si="4"/>
        <v>0</v>
      </c>
      <c r="L119" s="1273"/>
      <c r="N119" s="1525"/>
    </row>
    <row r="120" spans="2:16" x14ac:dyDescent="0.25">
      <c r="B120" s="1189"/>
      <c r="C120" s="1192"/>
      <c r="D120" s="1411"/>
      <c r="E120" s="1274" t="s">
        <v>814</v>
      </c>
      <c r="F120" s="2324" t="s">
        <v>815</v>
      </c>
      <c r="G120" s="2322"/>
      <c r="H120" s="2323"/>
      <c r="I120" s="1269" t="str">
        <f t="array" ref="I120">IFERROR(INDEX('ESDS-Reference Table'!$G$1:$G$493,MATCH(1,('ESDS-Reference Table'!$F$1:$F$493=E120)*('ESDS-Reference Table'!$H$1:$H$493=$F$21)*('ESDS-Reference Table'!$I$1:$I$493=$F$23),0)),"Select Region and Activity")</f>
        <v>Mandatory</v>
      </c>
      <c r="J120" s="1204" t="s">
        <v>1886</v>
      </c>
      <c r="K120" s="1411">
        <f t="shared" si="4"/>
        <v>0</v>
      </c>
      <c r="L120" s="1190"/>
      <c r="N120" s="395"/>
    </row>
    <row r="121" spans="2:16" x14ac:dyDescent="0.25">
      <c r="B121" s="1189"/>
      <c r="C121" s="1192"/>
      <c r="D121" s="1411"/>
      <c r="E121" s="1265">
        <v>7.11</v>
      </c>
      <c r="F121" s="2324" t="s">
        <v>816</v>
      </c>
      <c r="G121" s="2322"/>
      <c r="H121" s="2323"/>
      <c r="I121" s="1269" t="str">
        <f t="array" ref="I121">IFERROR(INDEX('ESDS-Reference Table'!$G$1:$G$493,MATCH(1,('ESDS-Reference Table'!$F$1:$F$493=E121)*('ESDS-Reference Table'!$H$1:$H$493=$F$21)*('ESDS-Reference Table'!$I$1:$I$493=$F$23),0)),"Select Region and Activity")</f>
        <v>Mandatory</v>
      </c>
      <c r="J121" s="1204" t="s">
        <v>1886</v>
      </c>
      <c r="K121" s="1411">
        <f t="shared" si="4"/>
        <v>0</v>
      </c>
      <c r="L121" s="1190"/>
    </row>
    <row r="122" spans="2:16" x14ac:dyDescent="0.25">
      <c r="B122" s="1189"/>
      <c r="C122" s="1192"/>
      <c r="D122" s="1411"/>
      <c r="E122" s="1265">
        <v>7.12</v>
      </c>
      <c r="F122" s="2324" t="s">
        <v>817</v>
      </c>
      <c r="G122" s="2322"/>
      <c r="H122" s="2323"/>
      <c r="I122" s="1269" t="str">
        <f t="array" ref="I122">IFERROR(INDEX('ESDS-Reference Table'!$G$1:$G$493,MATCH(1,('ESDS-Reference Table'!$F$1:$F$493=E122)*('ESDS-Reference Table'!$H$1:$H$493=$F$21)*('ESDS-Reference Table'!$I$1:$I$493=$F$23),0)),"Select Region and Activity")</f>
        <v>Mandatory</v>
      </c>
      <c r="J122" s="1204" t="s">
        <v>1886</v>
      </c>
      <c r="K122" s="1411">
        <f t="shared" si="4"/>
        <v>0</v>
      </c>
      <c r="L122" s="1190"/>
    </row>
    <row r="123" spans="2:16" x14ac:dyDescent="0.25">
      <c r="B123" s="1189"/>
      <c r="C123" s="1192"/>
      <c r="D123" s="1411"/>
      <c r="E123" s="1261" t="s">
        <v>818</v>
      </c>
      <c r="F123" s="2324" t="s">
        <v>819</v>
      </c>
      <c r="G123" s="2322"/>
      <c r="H123" s="2323"/>
      <c r="I123" s="1269" t="str">
        <f t="array" ref="I123">IFERROR(INDEX('ESDS-Reference Table'!$G$1:$G$493,MATCH(1,('ESDS-Reference Table'!$F$1:$F$493=E123)*('ESDS-Reference Table'!$H$1:$H$493=$F$21)*('ESDS-Reference Table'!$I$1:$I$493=$F$23),0)),"Select Region and Activity")</f>
        <v>Mandatory</v>
      </c>
      <c r="J123" s="1204" t="s">
        <v>1886</v>
      </c>
      <c r="K123" s="1411">
        <f t="shared" si="4"/>
        <v>0</v>
      </c>
      <c r="L123" s="1190"/>
      <c r="N123" s="395"/>
    </row>
    <row r="124" spans="2:16" x14ac:dyDescent="0.25">
      <c r="B124" s="1189"/>
      <c r="C124" s="1192"/>
      <c r="D124" s="1411"/>
      <c r="E124" s="1261" t="s">
        <v>820</v>
      </c>
      <c r="F124" s="2324" t="s">
        <v>819</v>
      </c>
      <c r="G124" s="2322"/>
      <c r="H124" s="2323"/>
      <c r="I124" s="1269" t="str">
        <f t="array" ref="I124">IFERROR(INDEX('ESDS-Reference Table'!$G$1:$G$493,MATCH(1,('ESDS-Reference Table'!$F$1:$F$493=E124)*('ESDS-Reference Table'!$H$1:$H$493=$F$21)*('ESDS-Reference Table'!$I$1:$I$493=$F$23),0)),"Select Region and Activity")</f>
        <v>0,2,3,4,5,6,7 or 8</v>
      </c>
      <c r="J124" s="1204">
        <v>2</v>
      </c>
      <c r="K124" s="1411">
        <f t="shared" si="4"/>
        <v>2</v>
      </c>
      <c r="L124" s="1190"/>
      <c r="N124" s="395"/>
    </row>
    <row r="125" spans="2:16" x14ac:dyDescent="0.25">
      <c r="B125" s="1189"/>
      <c r="C125" s="1192"/>
      <c r="D125" s="1411"/>
      <c r="E125" s="1265">
        <v>7.14</v>
      </c>
      <c r="F125" s="2324" t="s">
        <v>821</v>
      </c>
      <c r="G125" s="2322"/>
      <c r="H125" s="2323"/>
      <c r="I125" s="1269" t="str">
        <f t="array" ref="I125">IFERROR(INDEX('ESDS-Reference Table'!$G$1:$G$493,MATCH(1,('ESDS-Reference Table'!$F$1:$F$493=E125)*('ESDS-Reference Table'!$H$1:$H$493=$F$21)*('ESDS-Reference Table'!$I$1:$I$493=$F$23),0)),"Select Region and Activity")</f>
        <v>Mandatory</v>
      </c>
      <c r="J125" s="1204" t="s">
        <v>1886</v>
      </c>
      <c r="K125" s="1411">
        <f t="shared" si="4"/>
        <v>0</v>
      </c>
      <c r="L125" s="1190"/>
    </row>
    <row r="126" spans="2:16" x14ac:dyDescent="0.25">
      <c r="B126" s="1189"/>
      <c r="C126" s="1192"/>
      <c r="D126" s="1411"/>
      <c r="E126" s="1265">
        <v>7.15</v>
      </c>
      <c r="F126" s="2324" t="s">
        <v>822</v>
      </c>
      <c r="G126" s="2322"/>
      <c r="H126" s="2323"/>
      <c r="I126" s="1269" t="str">
        <f t="array" ref="I126">IFERROR(INDEX('ESDS-Reference Table'!$G$1:$G$493,MATCH(1,('ESDS-Reference Table'!$F$1:$F$493=E126)*('ESDS-Reference Table'!$H$1:$H$493=$F$21)*('ESDS-Reference Table'!$I$1:$I$493=$F$23),0)),"Select Region and Activity")</f>
        <v>Mandatory</v>
      </c>
      <c r="J126" s="1204" t="s">
        <v>1886</v>
      </c>
      <c r="K126" s="1411">
        <f t="shared" si="4"/>
        <v>0</v>
      </c>
      <c r="L126" s="1190"/>
    </row>
    <row r="127" spans="2:16" x14ac:dyDescent="0.25">
      <c r="B127" s="1189"/>
      <c r="C127" s="1192"/>
      <c r="D127" s="1411"/>
      <c r="E127" s="1265">
        <v>7.16</v>
      </c>
      <c r="F127" s="2324" t="s">
        <v>823</v>
      </c>
      <c r="G127" s="2322"/>
      <c r="H127" s="2323"/>
      <c r="I127" s="1269" t="str">
        <f t="array" ref="I127">IFERROR(INDEX('ESDS-Reference Table'!$G$1:$G$493,MATCH(1,('ESDS-Reference Table'!$F$1:$F$493=E127)*('ESDS-Reference Table'!$H$1:$H$493=$F$21)*('ESDS-Reference Table'!$I$1:$I$493=$F$23),0)),"Select Region and Activity")</f>
        <v>Mandatory</v>
      </c>
      <c r="J127" s="1204" t="s">
        <v>1886</v>
      </c>
      <c r="K127" s="1411">
        <f t="shared" si="4"/>
        <v>0</v>
      </c>
      <c r="L127" s="1190"/>
    </row>
    <row r="128" spans="2:16" x14ac:dyDescent="0.25">
      <c r="B128" s="1189"/>
      <c r="C128" s="1192"/>
      <c r="D128" s="1411"/>
      <c r="E128" s="1266">
        <v>7.17</v>
      </c>
      <c r="F128" s="2325" t="s">
        <v>824</v>
      </c>
      <c r="G128" s="2326"/>
      <c r="H128" s="2327"/>
      <c r="I128" s="1246" t="str">
        <f t="array" ref="I128">IFERROR(INDEX('ESDS-Reference Table'!$G$1:$G$493,MATCH(1,('ESDS-Reference Table'!$F$1:$F$493=E128)*('ESDS-Reference Table'!$H$1:$H$493=$F$21)*('ESDS-Reference Table'!$I$1:$I$493=$F$23),0)),"Select Region and Activity")</f>
        <v>Mandatory</v>
      </c>
      <c r="J128" s="1204" t="s">
        <v>1886</v>
      </c>
      <c r="K128" s="1411">
        <f t="shared" si="4"/>
        <v>0</v>
      </c>
      <c r="L128" s="1190"/>
    </row>
    <row r="129" spans="2:12" x14ac:dyDescent="0.25">
      <c r="B129" s="1189"/>
      <c r="C129" s="1192"/>
      <c r="D129" s="1411"/>
      <c r="E129" s="1210"/>
      <c r="F129" s="1211"/>
      <c r="G129" s="1212"/>
      <c r="H129" s="1212"/>
      <c r="I129" s="1213" t="s">
        <v>825</v>
      </c>
      <c r="J129" s="1214">
        <f>SUM(J108:J128)</f>
        <v>2</v>
      </c>
      <c r="K129" s="1411"/>
      <c r="L129" s="1190"/>
    </row>
    <row r="130" spans="2:12" ht="7.5" customHeight="1" thickBot="1" x14ac:dyDescent="0.3">
      <c r="B130" s="1275"/>
      <c r="C130" s="1253"/>
      <c r="D130" s="1253"/>
      <c r="E130" s="1250"/>
      <c r="F130" s="1251"/>
      <c r="G130" s="1250"/>
      <c r="H130" s="1250"/>
      <c r="I130" s="1252"/>
      <c r="J130" s="1251"/>
      <c r="K130" s="1253"/>
      <c r="L130" s="1254"/>
    </row>
    <row r="131" spans="2:12" ht="7.5" customHeight="1" x14ac:dyDescent="0.25">
      <c r="B131" s="1186"/>
      <c r="C131" s="1187"/>
      <c r="D131" s="1187"/>
      <c r="E131" s="1257"/>
      <c r="F131" s="1187"/>
      <c r="G131" s="1257"/>
      <c r="H131" s="1257"/>
      <c r="I131" s="1258"/>
      <c r="J131" s="1187"/>
      <c r="K131" s="1187"/>
      <c r="L131" s="1188"/>
    </row>
    <row r="132" spans="2:12" x14ac:dyDescent="0.25">
      <c r="B132" s="1189"/>
      <c r="C132" s="1192"/>
      <c r="D132" s="1411"/>
      <c r="E132" s="1259" t="s">
        <v>826</v>
      </c>
      <c r="F132" s="1411"/>
      <c r="G132" s="1259"/>
      <c r="H132" s="1259"/>
      <c r="I132" s="1216"/>
      <c r="J132" s="1411"/>
      <c r="K132" s="1411"/>
      <c r="L132" s="1190"/>
    </row>
    <row r="133" spans="2:12" x14ac:dyDescent="0.25">
      <c r="B133" s="1189"/>
      <c r="C133" s="1192"/>
      <c r="D133" s="1411"/>
      <c r="E133" s="1197" t="s">
        <v>707</v>
      </c>
      <c r="F133" s="1198" t="s">
        <v>708</v>
      </c>
      <c r="G133" s="1199"/>
      <c r="H133" s="1199"/>
      <c r="I133" s="1200" t="s">
        <v>709</v>
      </c>
      <c r="J133" s="1201" t="s">
        <v>710</v>
      </c>
      <c r="K133" s="1411"/>
      <c r="L133" s="1190"/>
    </row>
    <row r="134" spans="2:12" x14ac:dyDescent="0.25">
      <c r="B134" s="1189"/>
      <c r="C134" s="1192"/>
      <c r="D134" s="1411"/>
      <c r="E134" s="1260" t="s">
        <v>827</v>
      </c>
      <c r="F134" s="2318" t="s">
        <v>828</v>
      </c>
      <c r="G134" s="2319"/>
      <c r="H134" s="2320"/>
      <c r="I134" s="1268" t="str">
        <f t="array" ref="I134">IFERROR(INDEX('ESDS-Reference Table'!$G$1:$G$493,MATCH(1,('ESDS-Reference Table'!$F$1:$F$493=E134)*('ESDS-Reference Table'!$H$1:$H$493=$F$21)*('ESDS-Reference Table'!$I$1:$I$493=$F$23),0)),"Select Region and Activity")</f>
        <v>Mandatory</v>
      </c>
      <c r="J134" s="1204" t="s">
        <v>1886</v>
      </c>
      <c r="K134" s="1411">
        <f>N(J134)</f>
        <v>0</v>
      </c>
      <c r="L134" s="1190"/>
    </row>
    <row r="135" spans="2:12" x14ac:dyDescent="0.25">
      <c r="B135" s="1189"/>
      <c r="C135" s="1192"/>
      <c r="D135" s="1411"/>
      <c r="E135" s="1276" t="s">
        <v>829</v>
      </c>
      <c r="F135" s="1277" t="s">
        <v>830</v>
      </c>
      <c r="G135" s="1278"/>
      <c r="H135" s="1279"/>
      <c r="I135" s="1269" t="str">
        <f t="array" ref="I135">IFERROR(INDEX('ESDS-Reference Table'!$G$1:$G$493,MATCH(1,('ESDS-Reference Table'!$F$1:$F$493=E135)*('ESDS-Reference Table'!$H$1:$H$493=$F$21)*('ESDS-Reference Table'!$I$1:$I$493=$F$23),0)),"Select Region and Activity")</f>
        <v>0 or 7</v>
      </c>
      <c r="J135" s="1204">
        <v>7</v>
      </c>
      <c r="K135" s="1411"/>
      <c r="L135" s="1190"/>
    </row>
    <row r="136" spans="2:12" x14ac:dyDescent="0.25">
      <c r="B136" s="1189"/>
      <c r="C136" s="1192"/>
      <c r="D136" s="1411"/>
      <c r="E136" s="1263">
        <v>8.1999999999999993</v>
      </c>
      <c r="F136" s="2321" t="s">
        <v>831</v>
      </c>
      <c r="G136" s="2322"/>
      <c r="H136" s="2323"/>
      <c r="I136" s="1269" t="str">
        <f t="array" ref="I136">IFERROR(INDEX('ESDS-Reference Table'!$G$1:$G$493,MATCH(1,('ESDS-Reference Table'!$F$1:$F$493=E136)*('ESDS-Reference Table'!$H$1:$H$493=$F$21)*('ESDS-Reference Table'!$I$1:$I$493=$F$23),0)),"Select Region and Activity")</f>
        <v>Mandatory for Multifamily Projects</v>
      </c>
      <c r="J136" s="1204" t="s">
        <v>1886</v>
      </c>
      <c r="K136" s="1411">
        <f>N(J136)</f>
        <v>0</v>
      </c>
      <c r="L136" s="1190"/>
    </row>
    <row r="137" spans="2:12" x14ac:dyDescent="0.25">
      <c r="B137" s="1189"/>
      <c r="C137" s="1192"/>
      <c r="D137" s="1411"/>
      <c r="E137" s="1263">
        <v>8.3000000000000007</v>
      </c>
      <c r="F137" s="2321" t="s">
        <v>832</v>
      </c>
      <c r="G137" s="2322"/>
      <c r="H137" s="2323"/>
      <c r="I137" s="1269" t="str">
        <f t="array" ref="I137">IFERROR(INDEX('ESDS-Reference Table'!$G$1:$G$493,MATCH(1,('ESDS-Reference Table'!$F$1:$F$493=E137)*('ESDS-Reference Table'!$H$1:$H$493=$F$21)*('ESDS-Reference Table'!$I$1:$I$493=$F$23),0)),"Select Region and Activity")</f>
        <v>Mandatory</v>
      </c>
      <c r="J137" s="1204" t="s">
        <v>1886</v>
      </c>
      <c r="K137" s="1411">
        <f>N(J137)</f>
        <v>0</v>
      </c>
      <c r="L137" s="1190"/>
    </row>
    <row r="138" spans="2:12" x14ac:dyDescent="0.25">
      <c r="B138" s="1189"/>
      <c r="C138" s="1192"/>
      <c r="D138" s="1411"/>
      <c r="E138" s="1263">
        <v>8.4</v>
      </c>
      <c r="F138" s="2324" t="s">
        <v>833</v>
      </c>
      <c r="G138" s="2322"/>
      <c r="H138" s="2323"/>
      <c r="I138" s="1269" t="str">
        <f t="array" ref="I138">IFERROR(INDEX('ESDS-Reference Table'!$G$1:$G$493,MATCH(1,('ESDS-Reference Table'!$F$1:$F$493=E138)*('ESDS-Reference Table'!$H$1:$H$493=$F$21)*('ESDS-Reference Table'!$I$1:$I$493=$F$23),0)),"Select Region and Activity")</f>
        <v>0,3,5 or 8</v>
      </c>
      <c r="J138" s="1204"/>
      <c r="K138" s="1411">
        <f>N(J138)</f>
        <v>0</v>
      </c>
      <c r="L138" s="1190"/>
    </row>
    <row r="139" spans="2:12" x14ac:dyDescent="0.25">
      <c r="B139" s="1189"/>
      <c r="C139" s="1192"/>
      <c r="D139" s="1411"/>
      <c r="E139" s="1280">
        <v>8.5</v>
      </c>
      <c r="F139" s="2325" t="s">
        <v>834</v>
      </c>
      <c r="G139" s="2326"/>
      <c r="H139" s="2327"/>
      <c r="I139" s="1246" t="str">
        <f t="array" ref="I139">IFERROR(INDEX('ESDS-Reference Table'!$G$1:$G$493,MATCH(1,('ESDS-Reference Table'!$F$1:$F$493=E139)*('ESDS-Reference Table'!$H$1:$H$493=$F$21)*('ESDS-Reference Table'!$I$1:$I$493=$F$23),0)),"Select Region and Activity")</f>
        <v>Mandatory</v>
      </c>
      <c r="J139" s="1204" t="s">
        <v>1886</v>
      </c>
      <c r="K139" s="1411">
        <f>N(J139)</f>
        <v>0</v>
      </c>
      <c r="L139" s="1190"/>
    </row>
    <row r="140" spans="2:12" x14ac:dyDescent="0.25">
      <c r="B140" s="1189"/>
      <c r="C140" s="1192"/>
      <c r="D140" s="1411"/>
      <c r="E140" s="1210"/>
      <c r="F140" s="1211"/>
      <c r="G140" s="1212"/>
      <c r="H140" s="1212"/>
      <c r="I140" s="1213" t="s">
        <v>835</v>
      </c>
      <c r="J140" s="1214">
        <f>SUM(J134:J139)</f>
        <v>7</v>
      </c>
      <c r="K140" s="1411"/>
      <c r="L140" s="1190"/>
    </row>
    <row r="141" spans="2:12" ht="15.75" thickBot="1" x14ac:dyDescent="0.3">
      <c r="B141" s="1189"/>
      <c r="C141" s="1192"/>
      <c r="D141" s="1411"/>
      <c r="E141" s="1411"/>
      <c r="F141" s="1411"/>
      <c r="G141" s="1411"/>
      <c r="H141" s="1411"/>
      <c r="I141" s="1411"/>
      <c r="J141" s="1411"/>
      <c r="K141" s="1411"/>
      <c r="L141" s="1190"/>
    </row>
    <row r="142" spans="2:12" x14ac:dyDescent="0.25">
      <c r="B142" s="1189"/>
      <c r="C142" s="1192"/>
      <c r="D142" s="1411"/>
      <c r="E142" s="1411"/>
      <c r="F142" s="1411"/>
      <c r="G142" s="1411"/>
      <c r="H142" s="1411"/>
      <c r="I142" s="1281" t="s">
        <v>836</v>
      </c>
      <c r="J142" s="1282">
        <f>J33</f>
        <v>5</v>
      </c>
      <c r="K142" s="1411"/>
      <c r="L142" s="1190"/>
    </row>
    <row r="143" spans="2:12" x14ac:dyDescent="0.25">
      <c r="B143" s="1189"/>
      <c r="C143" s="1192"/>
      <c r="D143" s="1411"/>
      <c r="E143" s="1411"/>
      <c r="F143" s="1411"/>
      <c r="G143" s="1411"/>
      <c r="H143" s="1411"/>
      <c r="I143" s="1283" t="s">
        <v>837</v>
      </c>
      <c r="J143" s="1284">
        <f>J48</f>
        <v>15</v>
      </c>
      <c r="K143" s="1411"/>
      <c r="L143" s="1190"/>
    </row>
    <row r="144" spans="2:12" x14ac:dyDescent="0.25">
      <c r="B144" s="1189"/>
      <c r="C144" s="1192"/>
      <c r="D144" s="1411"/>
      <c r="E144" s="1411"/>
      <c r="F144" s="1411"/>
      <c r="G144" s="1411"/>
      <c r="H144" s="1411"/>
      <c r="I144" s="1283" t="s">
        <v>838</v>
      </c>
      <c r="J144" s="1284">
        <f>J60</f>
        <v>11</v>
      </c>
      <c r="K144" s="1411"/>
      <c r="L144" s="1190"/>
    </row>
    <row r="145" spans="2:12" x14ac:dyDescent="0.25">
      <c r="B145" s="1189"/>
      <c r="C145" s="1192"/>
      <c r="D145" s="1411"/>
      <c r="E145" s="1411"/>
      <c r="F145" s="1411"/>
      <c r="G145" s="1411"/>
      <c r="H145" s="1411"/>
      <c r="I145" s="1283" t="s">
        <v>839</v>
      </c>
      <c r="J145" s="1284">
        <f>J69</f>
        <v>2</v>
      </c>
      <c r="K145" s="1411"/>
      <c r="L145" s="1190"/>
    </row>
    <row r="146" spans="2:12" x14ac:dyDescent="0.25">
      <c r="B146" s="1189"/>
      <c r="C146" s="1192"/>
      <c r="D146" s="1411"/>
      <c r="E146" s="1411"/>
      <c r="F146" s="1411"/>
      <c r="G146" s="1411"/>
      <c r="H146" s="1411"/>
      <c r="I146" s="1283" t="s">
        <v>840</v>
      </c>
      <c r="J146" s="1284">
        <f>J92</f>
        <v>4</v>
      </c>
      <c r="K146" s="1411"/>
      <c r="L146" s="1190"/>
    </row>
    <row r="147" spans="2:12" x14ac:dyDescent="0.25">
      <c r="B147" s="1189"/>
      <c r="C147" s="1192"/>
      <c r="D147" s="1411"/>
      <c r="E147" s="1411"/>
      <c r="F147" s="1411"/>
      <c r="G147" s="1411"/>
      <c r="H147" s="1411"/>
      <c r="I147" s="1283" t="s">
        <v>841</v>
      </c>
      <c r="J147" s="1284">
        <f>J103</f>
        <v>7</v>
      </c>
      <c r="K147" s="1411"/>
      <c r="L147" s="1190"/>
    </row>
    <row r="148" spans="2:12" x14ac:dyDescent="0.25">
      <c r="B148" s="1189"/>
      <c r="C148" s="1192"/>
      <c r="D148" s="1411"/>
      <c r="E148" s="1411"/>
      <c r="F148" s="1411"/>
      <c r="G148" s="1411"/>
      <c r="H148" s="1411"/>
      <c r="I148" s="1283" t="s">
        <v>842</v>
      </c>
      <c r="J148" s="1284">
        <f>J129</f>
        <v>2</v>
      </c>
      <c r="K148" s="1411"/>
      <c r="L148" s="1190"/>
    </row>
    <row r="149" spans="2:12" ht="15.75" thickBot="1" x14ac:dyDescent="0.3">
      <c r="B149" s="1189"/>
      <c r="C149" s="1192"/>
      <c r="D149" s="1411"/>
      <c r="E149" s="1411"/>
      <c r="F149" s="1411"/>
      <c r="G149" s="1411"/>
      <c r="H149" s="1411"/>
      <c r="I149" s="1285" t="s">
        <v>843</v>
      </c>
      <c r="J149" s="1286">
        <f>J140</f>
        <v>7</v>
      </c>
      <c r="K149" s="1411"/>
      <c r="L149" s="1190"/>
    </row>
    <row r="150" spans="2:12" ht="16.5" thickTop="1" thickBot="1" x14ac:dyDescent="0.3">
      <c r="B150" s="1189"/>
      <c r="C150" s="1192"/>
      <c r="D150" s="1411"/>
      <c r="E150" s="1411"/>
      <c r="F150" s="1411"/>
      <c r="G150" s="1411"/>
      <c r="H150" s="1411"/>
      <c r="I150" s="1287" t="s">
        <v>844</v>
      </c>
      <c r="J150" s="1288">
        <f>SUM(J142:J149)</f>
        <v>53</v>
      </c>
      <c r="K150" s="1411"/>
      <c r="L150" s="1190"/>
    </row>
    <row r="151" spans="2:12" ht="9" customHeight="1" thickBot="1" x14ac:dyDescent="0.3">
      <c r="B151" s="1275"/>
      <c r="C151" s="1253"/>
      <c r="D151" s="1253"/>
      <c r="E151" s="1253"/>
      <c r="F151" s="1253"/>
      <c r="G151" s="1253"/>
      <c r="H151" s="1253"/>
      <c r="I151" s="1253"/>
      <c r="J151" s="1253"/>
      <c r="K151" s="1253"/>
      <c r="L151" s="1254"/>
    </row>
  </sheetData>
  <sheetProtection password="D666" sheet="1" objects="1" scenarios="1" formatCells="0" formatColumns="0" formatRows="0"/>
  <dataConsolidate/>
  <mergeCells count="82">
    <mergeCell ref="C13:J13"/>
    <mergeCell ref="D15:J15"/>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 ref="F58:H58"/>
    <mergeCell ref="F43:H43"/>
    <mergeCell ref="F44:H44"/>
    <mergeCell ref="F45:H45"/>
    <mergeCell ref="F46:H46"/>
    <mergeCell ref="F47:H47"/>
    <mergeCell ref="F52:H52"/>
    <mergeCell ref="F53:H53"/>
    <mergeCell ref="F54:H54"/>
    <mergeCell ref="F55:H55"/>
    <mergeCell ref="F56:H56"/>
    <mergeCell ref="F57:H57"/>
    <mergeCell ref="F81:H81"/>
    <mergeCell ref="F59:H59"/>
    <mergeCell ref="F64:H64"/>
    <mergeCell ref="F66:H66"/>
    <mergeCell ref="F67:H67"/>
    <mergeCell ref="F74:H74"/>
    <mergeCell ref="F75:H75"/>
    <mergeCell ref="F76:H76"/>
    <mergeCell ref="F77:H77"/>
    <mergeCell ref="F78:H78"/>
    <mergeCell ref="F79:H79"/>
    <mergeCell ref="F80:H80"/>
    <mergeCell ref="F97:H97"/>
    <mergeCell ref="F82:H82"/>
    <mergeCell ref="F83:H83"/>
    <mergeCell ref="F84:H84"/>
    <mergeCell ref="F85:H85"/>
    <mergeCell ref="F86:H86"/>
    <mergeCell ref="F87:H87"/>
    <mergeCell ref="F88:H88"/>
    <mergeCell ref="F89:H89"/>
    <mergeCell ref="F90:H90"/>
    <mergeCell ref="F91:H91"/>
    <mergeCell ref="F96:H96"/>
    <mergeCell ref="F116:H116"/>
    <mergeCell ref="F98:H98"/>
    <mergeCell ref="F99:H99"/>
    <mergeCell ref="F100:H100"/>
    <mergeCell ref="F108:H108"/>
    <mergeCell ref="F109:H109"/>
    <mergeCell ref="F110:H110"/>
    <mergeCell ref="F111:H111"/>
    <mergeCell ref="F112:H112"/>
    <mergeCell ref="F113:H113"/>
    <mergeCell ref="F114:H114"/>
    <mergeCell ref="F115:H115"/>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34:H134"/>
    <mergeCell ref="F136:H136"/>
    <mergeCell ref="F137:H137"/>
    <mergeCell ref="F138:H138"/>
    <mergeCell ref="F139:H139"/>
  </mergeCells>
  <conditionalFormatting sqref="J74:J91">
    <cfRule type="expression" dxfId="77" priority="10">
      <formula>I74="n/a"</formula>
    </cfRule>
  </conditionalFormatting>
  <conditionalFormatting sqref="J27">
    <cfRule type="expression" dxfId="76" priority="17">
      <formula>I27="n/a"</formula>
    </cfRule>
  </conditionalFormatting>
  <conditionalFormatting sqref="J28">
    <cfRule type="expression" dxfId="75" priority="16">
      <formula>I28="n/a"</formula>
    </cfRule>
  </conditionalFormatting>
  <conditionalFormatting sqref="J29">
    <cfRule type="expression" dxfId="74" priority="15">
      <formula>I29="n/a"</formula>
    </cfRule>
  </conditionalFormatting>
  <conditionalFormatting sqref="J30:J32">
    <cfRule type="expression" dxfId="73" priority="14">
      <formula>I30="n/a"</formula>
    </cfRule>
  </conditionalFormatting>
  <conditionalFormatting sqref="J37:J47">
    <cfRule type="expression" dxfId="72" priority="13">
      <formula>I37="n/a"</formula>
    </cfRule>
  </conditionalFormatting>
  <conditionalFormatting sqref="J52:J59">
    <cfRule type="expression" dxfId="71" priority="12">
      <formula>I52="n/a"</formula>
    </cfRule>
  </conditionalFormatting>
  <conditionalFormatting sqref="J64:J68">
    <cfRule type="expression" dxfId="70" priority="11">
      <formula>I64="n/a"</formula>
    </cfRule>
  </conditionalFormatting>
  <conditionalFormatting sqref="J96:J102">
    <cfRule type="expression" dxfId="69" priority="9">
      <formula>I96="n/a"</formula>
    </cfRule>
  </conditionalFormatting>
  <conditionalFormatting sqref="J108:J128">
    <cfRule type="expression" dxfId="68" priority="8">
      <formula>I108="n/a"</formula>
    </cfRule>
  </conditionalFormatting>
  <conditionalFormatting sqref="J134:J139">
    <cfRule type="expression" dxfId="67" priority="7">
      <formula>I134="n/a"</formula>
    </cfRule>
  </conditionalFormatting>
  <conditionalFormatting sqref="G22 G24">
    <cfRule type="expression" dxfId="66" priority="19">
      <formula>$F$23&lt;&gt;"Rehab"</formula>
    </cfRule>
  </conditionalFormatting>
  <conditionalFormatting sqref="H24">
    <cfRule type="expression" dxfId="65" priority="22">
      <formula>$F$23&lt;&gt;"Rehab"</formula>
    </cfRule>
  </conditionalFormatting>
  <conditionalFormatting sqref="D15 C15:C69">
    <cfRule type="expression" dxfId="64" priority="20">
      <formula>$F$21="Rural"</formula>
    </cfRule>
    <cfRule type="expression" dxfId="63" priority="21">
      <formula>$F$21="Urban"</formula>
    </cfRule>
  </conditionalFormatting>
  <conditionalFormatting sqref="C72:C129">
    <cfRule type="expression" dxfId="62" priority="3">
      <formula>$F$21="Rural"</formula>
    </cfRule>
    <cfRule type="expression" dxfId="61" priority="4">
      <formula>$F$21="Urban"</formula>
    </cfRule>
  </conditionalFormatting>
  <conditionalFormatting sqref="C132:C150">
    <cfRule type="expression" dxfId="60" priority="1">
      <formula>$F$21="Rural"</formula>
    </cfRule>
    <cfRule type="expression" dxfId="59" priority="2">
      <formula>$F$21="Urban"</formula>
    </cfRule>
  </conditionalFormatting>
  <dataValidations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2016
Version: 1.0</oddFooter>
  </headerFooter>
  <rowBreaks count="2" manualBreakCount="2">
    <brk id="70" min="1" max="9" man="1"/>
    <brk id="130" min="1" max="9" man="1"/>
  </row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I48"/>
  <sheetViews>
    <sheetView showGridLines="0" zoomScale="125" zoomScaleNormal="125" zoomScalePageLayoutView="125" workbookViewId="0">
      <selection activeCell="I1" sqref="I1:I1048576"/>
    </sheetView>
  </sheetViews>
  <sheetFormatPr defaultColWidth="8.85546875" defaultRowHeight="15" x14ac:dyDescent="0.25"/>
  <cols>
    <col min="1" max="2" width="1.7109375" style="394" customWidth="1"/>
    <col min="3" max="3" width="42.42578125" style="394" customWidth="1"/>
    <col min="4" max="4" width="11" style="394" customWidth="1"/>
    <col min="5" max="5" width="19.42578125" style="394" bestFit="1" customWidth="1"/>
    <col min="6" max="6" width="10.140625" style="394" customWidth="1"/>
    <col min="7" max="7" width="11" style="394" customWidth="1"/>
    <col min="8" max="8" width="1.7109375" style="394" customWidth="1"/>
    <col min="9" max="9" width="0" style="394" hidden="1" customWidth="1"/>
    <col min="10" max="16384" width="8.85546875" style="394"/>
  </cols>
  <sheetData>
    <row r="14" spans="2:8" ht="9" customHeight="1" thickBot="1" x14ac:dyDescent="0.3"/>
    <row r="15" spans="2:8" ht="9" customHeight="1" x14ac:dyDescent="0.25">
      <c r="B15" s="423"/>
      <c r="C15" s="424"/>
      <c r="D15" s="424"/>
      <c r="E15" s="424"/>
      <c r="F15" s="424"/>
      <c r="G15" s="424"/>
      <c r="H15" s="425"/>
    </row>
    <row r="16" spans="2:8" ht="18.75" x14ac:dyDescent="0.3">
      <c r="B16" s="426"/>
      <c r="C16" s="2283" t="s">
        <v>68</v>
      </c>
      <c r="D16" s="2283"/>
      <c r="E16" s="2283"/>
      <c r="F16" s="2283"/>
      <c r="G16" s="2283"/>
      <c r="H16" s="427"/>
    </row>
    <row r="17" spans="2:9" x14ac:dyDescent="0.25">
      <c r="B17" s="426"/>
      <c r="C17" s="428"/>
      <c r="D17" s="406"/>
      <c r="E17" s="406"/>
      <c r="F17" s="406"/>
      <c r="G17" s="406"/>
      <c r="H17" s="427"/>
    </row>
    <row r="18" spans="2:9" ht="15.75" thickBot="1" x14ac:dyDescent="0.3">
      <c r="B18" s="426"/>
      <c r="C18" s="2390" t="str">
        <f>IF('1'!G5="","Enter Project Name on Form 1",(CONCATENATE("Project Name: ",'1'!G5)))</f>
        <v>Project Name: Compass Broadview</v>
      </c>
      <c r="D18" s="2390"/>
      <c r="E18" s="2390"/>
      <c r="F18" s="2390"/>
      <c r="G18" s="407"/>
      <c r="H18" s="427"/>
    </row>
    <row r="19" spans="2:9" ht="15.75" thickBot="1" x14ac:dyDescent="0.3">
      <c r="B19" s="426"/>
      <c r="C19" s="428"/>
      <c r="D19" s="406"/>
      <c r="E19" s="406"/>
      <c r="F19" s="406"/>
      <c r="G19" s="406"/>
      <c r="H19" s="427"/>
    </row>
    <row r="20" spans="2:9" ht="30" x14ac:dyDescent="0.25">
      <c r="B20" s="426"/>
      <c r="C20" s="1058" t="s">
        <v>69</v>
      </c>
      <c r="D20" s="1059" t="s">
        <v>70</v>
      </c>
      <c r="E20" s="1060" t="s">
        <v>71</v>
      </c>
      <c r="F20" s="1059" t="s">
        <v>72</v>
      </c>
      <c r="G20" s="1061" t="s">
        <v>594</v>
      </c>
      <c r="H20" s="427"/>
    </row>
    <row r="21" spans="2:9" x14ac:dyDescent="0.25">
      <c r="B21" s="426"/>
      <c r="C21" s="1055" t="s">
        <v>517</v>
      </c>
      <c r="D21" s="843" t="s">
        <v>559</v>
      </c>
      <c r="E21" s="844" t="s">
        <v>564</v>
      </c>
      <c r="F21" s="843" t="s">
        <v>566</v>
      </c>
      <c r="G21" s="2156">
        <v>9</v>
      </c>
      <c r="H21" s="427"/>
      <c r="I21" s="2171" t="s">
        <v>1897</v>
      </c>
    </row>
    <row r="22" spans="2:9" x14ac:dyDescent="0.25">
      <c r="B22" s="426"/>
      <c r="C22" s="1056" t="s">
        <v>554</v>
      </c>
      <c r="D22" s="1023" t="s">
        <v>559</v>
      </c>
      <c r="E22" s="1024" t="s">
        <v>564</v>
      </c>
      <c r="F22" s="1023" t="s">
        <v>566</v>
      </c>
      <c r="G22" s="2157">
        <v>26</v>
      </c>
      <c r="H22" s="427"/>
      <c r="I22" s="1984"/>
    </row>
    <row r="23" spans="2:9" x14ac:dyDescent="0.25">
      <c r="B23" s="426"/>
      <c r="C23" s="1056" t="s">
        <v>554</v>
      </c>
      <c r="D23" s="1023" t="s">
        <v>558</v>
      </c>
      <c r="E23" s="1024" t="s">
        <v>563</v>
      </c>
      <c r="F23" s="1023" t="s">
        <v>566</v>
      </c>
      <c r="G23" s="2157">
        <v>12</v>
      </c>
      <c r="H23" s="427"/>
      <c r="I23" s="1984"/>
    </row>
    <row r="24" spans="2:9" x14ac:dyDescent="0.25">
      <c r="B24" s="426"/>
      <c r="C24" s="1056" t="s">
        <v>519</v>
      </c>
      <c r="D24" s="1023" t="s">
        <v>559</v>
      </c>
      <c r="E24" s="1024" t="s">
        <v>564</v>
      </c>
      <c r="F24" s="1023" t="s">
        <v>566</v>
      </c>
      <c r="G24" s="2157">
        <v>12</v>
      </c>
      <c r="H24" s="427"/>
      <c r="I24" s="1984"/>
    </row>
    <row r="25" spans="2:9" x14ac:dyDescent="0.25">
      <c r="B25" s="426"/>
      <c r="C25" s="1056"/>
      <c r="D25" s="1023"/>
      <c r="E25" s="1024"/>
      <c r="F25" s="1023"/>
      <c r="G25" s="1057"/>
      <c r="H25" s="427"/>
    </row>
    <row r="26" spans="2:9" x14ac:dyDescent="0.25">
      <c r="B26" s="426"/>
      <c r="C26" s="1056"/>
      <c r="D26" s="1023"/>
      <c r="E26" s="1024"/>
      <c r="F26" s="1023"/>
      <c r="G26" s="1057"/>
      <c r="H26" s="427"/>
    </row>
    <row r="27" spans="2:9" x14ac:dyDescent="0.25">
      <c r="B27" s="426"/>
      <c r="C27" s="1056"/>
      <c r="D27" s="1023"/>
      <c r="E27" s="1024"/>
      <c r="F27" s="1023"/>
      <c r="G27" s="1057"/>
      <c r="H27" s="427"/>
    </row>
    <row r="28" spans="2:9" x14ac:dyDescent="0.25">
      <c r="B28" s="426"/>
      <c r="C28" s="1056"/>
      <c r="D28" s="1023"/>
      <c r="E28" s="1024"/>
      <c r="F28" s="1023"/>
      <c r="G28" s="1057"/>
      <c r="H28" s="427"/>
    </row>
    <row r="29" spans="2:9" x14ac:dyDescent="0.25">
      <c r="B29" s="426"/>
      <c r="C29" s="1056"/>
      <c r="D29" s="1023"/>
      <c r="E29" s="1024"/>
      <c r="F29" s="1023"/>
      <c r="G29" s="1057"/>
      <c r="H29" s="427"/>
    </row>
    <row r="30" spans="2:9" x14ac:dyDescent="0.25">
      <c r="B30" s="426"/>
      <c r="C30" s="1056"/>
      <c r="D30" s="1023"/>
      <c r="E30" s="1024"/>
      <c r="F30" s="1023"/>
      <c r="G30" s="1057"/>
      <c r="H30" s="427"/>
    </row>
    <row r="31" spans="2:9" x14ac:dyDescent="0.25">
      <c r="B31" s="426"/>
      <c r="C31" s="1056"/>
      <c r="D31" s="1023"/>
      <c r="E31" s="1024"/>
      <c r="F31" s="1023"/>
      <c r="G31" s="1057"/>
      <c r="H31" s="427"/>
    </row>
    <row r="32" spans="2:9" ht="15.75" thickBot="1" x14ac:dyDescent="0.3">
      <c r="B32" s="426"/>
      <c r="C32" s="1531"/>
      <c r="D32" s="1532"/>
      <c r="E32" s="1533"/>
      <c r="F32" s="1532"/>
      <c r="G32" s="1534"/>
      <c r="H32" s="427"/>
    </row>
    <row r="33" spans="2:9" ht="16.5" thickTop="1" thickBot="1" x14ac:dyDescent="0.3">
      <c r="B33" s="426"/>
      <c r="C33" s="406"/>
      <c r="D33" s="406"/>
      <c r="E33" s="406"/>
      <c r="F33" s="429"/>
      <c r="G33" s="434">
        <f>SUM(G21:G32)</f>
        <v>59</v>
      </c>
      <c r="H33" s="427"/>
      <c r="I33" s="2171" t="s">
        <v>2016</v>
      </c>
    </row>
    <row r="34" spans="2:9" ht="15.75" thickTop="1" x14ac:dyDescent="0.25">
      <c r="B34" s="426"/>
      <c r="C34" s="430" t="s">
        <v>73</v>
      </c>
      <c r="D34" s="406"/>
      <c r="E34" s="406"/>
      <c r="F34" s="406"/>
      <c r="G34" s="406"/>
      <c r="H34" s="427"/>
    </row>
    <row r="35" spans="2:9" x14ac:dyDescent="0.25">
      <c r="B35" s="426"/>
      <c r="C35" s="2381" t="s">
        <v>2015</v>
      </c>
      <c r="D35" s="2382"/>
      <c r="E35" s="2382"/>
      <c r="F35" s="2382"/>
      <c r="G35" s="2383"/>
      <c r="H35" s="427"/>
    </row>
    <row r="36" spans="2:9" x14ac:dyDescent="0.25">
      <c r="B36" s="426"/>
      <c r="C36" s="2384"/>
      <c r="D36" s="2385"/>
      <c r="E36" s="2385"/>
      <c r="F36" s="2385"/>
      <c r="G36" s="2386"/>
      <c r="H36" s="427"/>
    </row>
    <row r="37" spans="2:9" x14ac:dyDescent="0.25">
      <c r="B37" s="426"/>
      <c r="C37" s="2384"/>
      <c r="D37" s="2385"/>
      <c r="E37" s="2385"/>
      <c r="F37" s="2385"/>
      <c r="G37" s="2386"/>
      <c r="H37" s="427"/>
    </row>
    <row r="38" spans="2:9" x14ac:dyDescent="0.25">
      <c r="B38" s="426"/>
      <c r="C38" s="2384"/>
      <c r="D38" s="2385"/>
      <c r="E38" s="2385"/>
      <c r="F38" s="2385"/>
      <c r="G38" s="2386"/>
      <c r="H38" s="427"/>
    </row>
    <row r="39" spans="2:9" x14ac:dyDescent="0.25">
      <c r="B39" s="426"/>
      <c r="C39" s="2384"/>
      <c r="D39" s="2385"/>
      <c r="E39" s="2385"/>
      <c r="F39" s="2385"/>
      <c r="G39" s="2386"/>
      <c r="H39" s="427"/>
    </row>
    <row r="40" spans="2:9" x14ac:dyDescent="0.25">
      <c r="B40" s="426"/>
      <c r="C40" s="2384"/>
      <c r="D40" s="2385"/>
      <c r="E40" s="2385"/>
      <c r="F40" s="2385"/>
      <c r="G40" s="2386"/>
      <c r="H40" s="427"/>
    </row>
    <row r="41" spans="2:9" x14ac:dyDescent="0.25">
      <c r="B41" s="426"/>
      <c r="C41" s="2384"/>
      <c r="D41" s="2385"/>
      <c r="E41" s="2385"/>
      <c r="F41" s="2385"/>
      <c r="G41" s="2386"/>
      <c r="H41" s="427"/>
    </row>
    <row r="42" spans="2:9" x14ac:dyDescent="0.25">
      <c r="B42" s="426"/>
      <c r="C42" s="2384"/>
      <c r="D42" s="2385"/>
      <c r="E42" s="2385"/>
      <c r="F42" s="2385"/>
      <c r="G42" s="2386"/>
      <c r="H42" s="427"/>
    </row>
    <row r="43" spans="2:9" x14ac:dyDescent="0.25">
      <c r="B43" s="426"/>
      <c r="C43" s="2384"/>
      <c r="D43" s="2385"/>
      <c r="E43" s="2385"/>
      <c r="F43" s="2385"/>
      <c r="G43" s="2386"/>
      <c r="H43" s="427"/>
    </row>
    <row r="44" spans="2:9" x14ac:dyDescent="0.25">
      <c r="B44" s="426"/>
      <c r="C44" s="2384"/>
      <c r="D44" s="2385"/>
      <c r="E44" s="2385"/>
      <c r="F44" s="2385"/>
      <c r="G44" s="2386"/>
      <c r="H44" s="427"/>
    </row>
    <row r="45" spans="2:9" x14ac:dyDescent="0.25">
      <c r="B45" s="426"/>
      <c r="C45" s="2384"/>
      <c r="D45" s="2385"/>
      <c r="E45" s="2385"/>
      <c r="F45" s="2385"/>
      <c r="G45" s="2386"/>
      <c r="H45" s="427"/>
    </row>
    <row r="46" spans="2:9" x14ac:dyDescent="0.25">
      <c r="B46" s="426"/>
      <c r="C46" s="2384"/>
      <c r="D46" s="2385"/>
      <c r="E46" s="2385"/>
      <c r="F46" s="2385"/>
      <c r="G46" s="2386"/>
      <c r="H46" s="427"/>
    </row>
    <row r="47" spans="2:9" ht="9" customHeight="1" x14ac:dyDescent="0.25">
      <c r="B47" s="426"/>
      <c r="C47" s="2387"/>
      <c r="D47" s="2388"/>
      <c r="E47" s="2388"/>
      <c r="F47" s="2388"/>
      <c r="G47" s="2389"/>
      <c r="H47" s="427"/>
    </row>
    <row r="48" spans="2:9" ht="15.75" thickBot="1" x14ac:dyDescent="0.3">
      <c r="B48" s="431"/>
      <c r="C48" s="432"/>
      <c r="D48" s="432"/>
      <c r="E48" s="432"/>
      <c r="F48" s="432"/>
      <c r="G48" s="432"/>
      <c r="H48" s="433"/>
    </row>
  </sheetData>
  <sheetProtection password="D666" sheet="1" objects="1" scenarios="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headerFooter>
    <oddFooter>&amp;LForm 3
Populations to be Served&amp;CCFA Forms&amp;REdition: 2016
Version: 1.0</oddFooter>
  </headerFooter>
  <drawing r:id="rId1"/>
  <tableParts count="1">
    <tablePart r:id="rId2"/>
  </tablePart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workbookViewId="0">
      <selection activeCell="U35" sqref="U35"/>
    </sheetView>
  </sheetViews>
  <sheetFormatPr defaultColWidth="8.85546875" defaultRowHeight="15" x14ac:dyDescent="0.25"/>
  <cols>
    <col min="1" max="1" width="1.7109375" style="394" customWidth="1"/>
    <col min="2" max="2" width="1.7109375" style="414" customWidth="1"/>
    <col min="3" max="3" width="32" style="394" customWidth="1"/>
    <col min="4" max="4" width="20" style="394" customWidth="1"/>
    <col min="5" max="5" width="11.42578125" style="394" customWidth="1"/>
    <col min="6" max="6" width="21.42578125" style="394" customWidth="1"/>
    <col min="7" max="7" width="21.42578125" customWidth="1"/>
    <col min="8" max="8" width="1.7109375" style="414" customWidth="1"/>
    <col min="9" max="16384" width="8.85546875" style="394"/>
  </cols>
  <sheetData>
    <row r="1" spans="2:8" ht="9" customHeight="1" thickBot="1" x14ac:dyDescent="0.3"/>
    <row r="2" spans="2:8" ht="9" customHeight="1" x14ac:dyDescent="0.25">
      <c r="B2" s="435"/>
      <c r="C2" s="436"/>
      <c r="D2" s="436"/>
      <c r="E2" s="436"/>
      <c r="F2" s="436"/>
      <c r="G2" s="1957"/>
      <c r="H2" s="437"/>
    </row>
    <row r="3" spans="2:8" ht="18.75" x14ac:dyDescent="0.3">
      <c r="B3" s="438"/>
      <c r="C3" s="2392" t="s">
        <v>74</v>
      </c>
      <c r="D3" s="2392"/>
      <c r="E3" s="2392"/>
      <c r="F3" s="2392"/>
      <c r="G3" s="2392"/>
      <c r="H3" s="439"/>
    </row>
    <row r="4" spans="2:8" x14ac:dyDescent="0.25">
      <c r="B4" s="438"/>
      <c r="C4" s="407"/>
      <c r="D4" s="407"/>
      <c r="E4" s="407"/>
      <c r="F4" s="407"/>
      <c r="H4" s="439"/>
    </row>
    <row r="5" spans="2:8" ht="15.75" thickBot="1" x14ac:dyDescent="0.3">
      <c r="B5" s="438"/>
      <c r="C5" s="2391" t="str">
        <f>IF('1'!G5="","Enter Project Name on Form 1",(CONCATENATE("Project Name: ",'1'!G5)))</f>
        <v>Project Name: Compass Broadview</v>
      </c>
      <c r="D5" s="2391"/>
      <c r="E5" s="2391"/>
      <c r="F5" s="2391"/>
      <c r="H5" s="439"/>
    </row>
    <row r="6" spans="2:8" ht="15.75" thickBot="1" x14ac:dyDescent="0.3">
      <c r="B6" s="438"/>
      <c r="C6" s="407"/>
      <c r="D6" s="407"/>
      <c r="E6" s="407"/>
      <c r="F6" s="407"/>
      <c r="H6" s="439"/>
    </row>
    <row r="7" spans="2:8" ht="26.25" thickBot="1" x14ac:dyDescent="0.3">
      <c r="B7" s="438"/>
      <c r="C7" s="440" t="s">
        <v>75</v>
      </c>
      <c r="D7" s="1949" t="s">
        <v>76</v>
      </c>
      <c r="E7" s="1950" t="s">
        <v>77</v>
      </c>
      <c r="F7" s="1950" t="s">
        <v>78</v>
      </c>
      <c r="G7" s="1951" t="s">
        <v>510</v>
      </c>
      <c r="H7" s="439"/>
    </row>
    <row r="8" spans="2:8" ht="26.25" x14ac:dyDescent="0.25">
      <c r="B8" s="438"/>
      <c r="C8" s="1942" t="s">
        <v>79</v>
      </c>
      <c r="D8" s="1953"/>
      <c r="E8" s="1952"/>
      <c r="F8" s="1952"/>
      <c r="G8" s="1954"/>
      <c r="H8" s="439"/>
    </row>
    <row r="9" spans="2:8" x14ac:dyDescent="0.25">
      <c r="B9" s="438"/>
      <c r="C9" s="1947" t="s">
        <v>541</v>
      </c>
      <c r="D9" s="845"/>
      <c r="E9" s="846"/>
      <c r="F9" s="847">
        <f>D9*E9</f>
        <v>0</v>
      </c>
      <c r="G9" s="1955"/>
      <c r="H9" s="439"/>
    </row>
    <row r="10" spans="2:8" x14ac:dyDescent="0.25">
      <c r="B10" s="438"/>
      <c r="C10" s="1948"/>
      <c r="D10" s="849"/>
      <c r="E10" s="850"/>
      <c r="F10" s="851">
        <f t="shared" ref="F10:F24" si="0">D10*E10</f>
        <v>0</v>
      </c>
      <c r="G10" s="1955"/>
      <c r="H10" s="439"/>
    </row>
    <row r="11" spans="2:8" x14ac:dyDescent="0.25">
      <c r="B11" s="438"/>
      <c r="C11" s="1948"/>
      <c r="D11" s="849"/>
      <c r="E11" s="850"/>
      <c r="F11" s="851">
        <f t="shared" si="0"/>
        <v>0</v>
      </c>
      <c r="G11" s="1955"/>
      <c r="H11" s="439"/>
    </row>
    <row r="12" spans="2:8" x14ac:dyDescent="0.25">
      <c r="B12" s="438"/>
      <c r="C12" s="1948"/>
      <c r="D12" s="849"/>
      <c r="E12" s="850"/>
      <c r="F12" s="851">
        <f t="shared" si="0"/>
        <v>0</v>
      </c>
      <c r="G12" s="1955"/>
      <c r="H12" s="439"/>
    </row>
    <row r="13" spans="2:8" x14ac:dyDescent="0.25">
      <c r="B13" s="438"/>
      <c r="C13" s="1948"/>
      <c r="D13" s="849"/>
      <c r="E13" s="850"/>
      <c r="F13" s="851">
        <f t="shared" si="0"/>
        <v>0</v>
      </c>
      <c r="G13" s="1955"/>
      <c r="H13" s="439"/>
    </row>
    <row r="14" spans="2:8" x14ac:dyDescent="0.25">
      <c r="B14" s="438"/>
      <c r="C14" s="1948"/>
      <c r="D14" s="849"/>
      <c r="E14" s="850"/>
      <c r="F14" s="851">
        <f t="shared" si="0"/>
        <v>0</v>
      </c>
      <c r="G14" s="1955"/>
      <c r="H14" s="439"/>
    </row>
    <row r="15" spans="2:8" x14ac:dyDescent="0.25">
      <c r="B15" s="438"/>
      <c r="C15" s="1948"/>
      <c r="D15" s="849"/>
      <c r="E15" s="850"/>
      <c r="F15" s="851">
        <f t="shared" si="0"/>
        <v>0</v>
      </c>
      <c r="G15" s="1955"/>
      <c r="H15" s="439"/>
    </row>
    <row r="16" spans="2:8" x14ac:dyDescent="0.25">
      <c r="B16" s="438"/>
      <c r="C16" s="1948"/>
      <c r="D16" s="849"/>
      <c r="E16" s="850"/>
      <c r="F16" s="851">
        <f t="shared" si="0"/>
        <v>0</v>
      </c>
      <c r="G16" s="1955"/>
      <c r="H16" s="439"/>
    </row>
    <row r="17" spans="2:8" x14ac:dyDescent="0.25">
      <c r="B17" s="438"/>
      <c r="C17" s="1948"/>
      <c r="D17" s="849"/>
      <c r="E17" s="850"/>
      <c r="F17" s="851">
        <f t="shared" si="0"/>
        <v>0</v>
      </c>
      <c r="G17" s="1955"/>
      <c r="H17" s="439"/>
    </row>
    <row r="18" spans="2:8" x14ac:dyDescent="0.25">
      <c r="B18" s="438"/>
      <c r="C18" s="1948"/>
      <c r="D18" s="849"/>
      <c r="E18" s="850"/>
      <c r="F18" s="851">
        <f t="shared" si="0"/>
        <v>0</v>
      </c>
      <c r="G18" s="1955"/>
      <c r="H18" s="439"/>
    </row>
    <row r="19" spans="2:8" ht="3.75" customHeight="1" x14ac:dyDescent="0.25">
      <c r="B19" s="438"/>
      <c r="C19" s="1943"/>
      <c r="D19" s="1944"/>
      <c r="E19" s="1945"/>
      <c r="F19" s="1946">
        <f t="shared" si="0"/>
        <v>0</v>
      </c>
      <c r="G19" s="1946"/>
      <c r="H19" s="439"/>
    </row>
    <row r="20" spans="2:8" x14ac:dyDescent="0.25">
      <c r="B20" s="438"/>
      <c r="C20" s="848" t="s">
        <v>80</v>
      </c>
      <c r="D20" s="849"/>
      <c r="E20" s="850"/>
      <c r="F20" s="851">
        <f t="shared" si="0"/>
        <v>0</v>
      </c>
      <c r="G20" s="1955"/>
      <c r="H20" s="439"/>
    </row>
    <row r="21" spans="2:8" x14ac:dyDescent="0.25">
      <c r="B21" s="438"/>
      <c r="C21" s="848" t="s">
        <v>81</v>
      </c>
      <c r="D21" s="849"/>
      <c r="E21" s="850"/>
      <c r="F21" s="851">
        <f t="shared" si="0"/>
        <v>0</v>
      </c>
      <c r="G21" s="1955"/>
      <c r="H21" s="439"/>
    </row>
    <row r="22" spans="2:8" x14ac:dyDescent="0.25">
      <c r="B22" s="438"/>
      <c r="C22" s="848" t="s">
        <v>82</v>
      </c>
      <c r="D22" s="849"/>
      <c r="E22" s="850"/>
      <c r="F22" s="851">
        <f t="shared" si="0"/>
        <v>0</v>
      </c>
      <c r="G22" s="1955"/>
      <c r="H22" s="439"/>
    </row>
    <row r="23" spans="2:8" x14ac:dyDescent="0.25">
      <c r="B23" s="438"/>
      <c r="C23" s="848" t="s">
        <v>83</v>
      </c>
      <c r="D23" s="849"/>
      <c r="E23" s="850"/>
      <c r="F23" s="851">
        <f t="shared" si="0"/>
        <v>0</v>
      </c>
      <c r="G23" s="1955"/>
      <c r="H23" s="439"/>
    </row>
    <row r="24" spans="2:8" ht="15.75" thickBot="1" x14ac:dyDescent="0.3">
      <c r="B24" s="438"/>
      <c r="C24" s="854" t="s">
        <v>84</v>
      </c>
      <c r="D24" s="855"/>
      <c r="E24" s="852"/>
      <c r="F24" s="853">
        <f t="shared" si="0"/>
        <v>0</v>
      </c>
      <c r="G24" s="1959"/>
      <c r="H24" s="439"/>
    </row>
    <row r="25" spans="2:8" ht="16.5" thickTop="1" thickBot="1" x14ac:dyDescent="0.3">
      <c r="B25" s="438"/>
      <c r="C25" s="441" t="s">
        <v>85</v>
      </c>
      <c r="D25" s="442"/>
      <c r="E25" s="329">
        <f>SUM(E9:E24)</f>
        <v>0</v>
      </c>
      <c r="F25" s="144">
        <f>SUM(F9:F24)</f>
        <v>0</v>
      </c>
      <c r="G25" s="1958"/>
      <c r="H25" s="439"/>
    </row>
    <row r="26" spans="2:8" s="414" customFormat="1" x14ac:dyDescent="0.25">
      <c r="B26" s="438"/>
      <c r="C26" s="443"/>
      <c r="D26" s="407"/>
      <c r="E26" s="407"/>
      <c r="F26" s="444" t="s">
        <v>34</v>
      </c>
      <c r="G26"/>
      <c r="H26" s="439"/>
    </row>
    <row r="27" spans="2:8" s="414" customFormat="1" x14ac:dyDescent="0.25">
      <c r="B27" s="438"/>
      <c r="C27" s="407" t="s">
        <v>86</v>
      </c>
      <c r="D27" s="407"/>
      <c r="E27" s="407"/>
      <c r="F27" s="407"/>
      <c r="G27"/>
      <c r="H27" s="439"/>
    </row>
    <row r="28" spans="2:8" x14ac:dyDescent="0.25">
      <c r="B28" s="438"/>
      <c r="C28" s="2393"/>
      <c r="D28" s="2394"/>
      <c r="E28" s="2394"/>
      <c r="F28" s="2394"/>
      <c r="G28" s="2395"/>
      <c r="H28" s="439"/>
    </row>
    <row r="29" spans="2:8" x14ac:dyDescent="0.25">
      <c r="B29" s="438"/>
      <c r="C29" s="2396"/>
      <c r="D29" s="2397"/>
      <c r="E29" s="2397"/>
      <c r="F29" s="2397"/>
      <c r="G29" s="2398"/>
      <c r="H29" s="439"/>
    </row>
    <row r="30" spans="2:8" x14ac:dyDescent="0.25">
      <c r="B30" s="438"/>
      <c r="C30" s="2396"/>
      <c r="D30" s="2397"/>
      <c r="E30" s="2397"/>
      <c r="F30" s="2397"/>
      <c r="G30" s="2398"/>
      <c r="H30" s="439"/>
    </row>
    <row r="31" spans="2:8" x14ac:dyDescent="0.25">
      <c r="B31" s="438"/>
      <c r="C31" s="2396"/>
      <c r="D31" s="2397"/>
      <c r="E31" s="2397"/>
      <c r="F31" s="2397"/>
      <c r="G31" s="2398"/>
      <c r="H31" s="439"/>
    </row>
    <row r="32" spans="2:8" x14ac:dyDescent="0.25">
      <c r="B32" s="438"/>
      <c r="C32" s="2396"/>
      <c r="D32" s="2397"/>
      <c r="E32" s="2397"/>
      <c r="F32" s="2397"/>
      <c r="G32" s="2398"/>
      <c r="H32" s="439"/>
    </row>
    <row r="33" spans="2:8" x14ac:dyDescent="0.25">
      <c r="B33" s="438"/>
      <c r="C33" s="2399"/>
      <c r="D33" s="2400"/>
      <c r="E33" s="2400"/>
      <c r="F33" s="2400"/>
      <c r="G33" s="2401"/>
      <c r="H33" s="439"/>
    </row>
    <row r="34" spans="2:8" ht="9" customHeight="1" thickBot="1" x14ac:dyDescent="0.3">
      <c r="B34" s="445"/>
      <c r="C34" s="446"/>
      <c r="D34" s="446"/>
      <c r="E34" s="446"/>
      <c r="F34" s="446"/>
      <c r="G34" s="1956"/>
      <c r="H34" s="447"/>
    </row>
  </sheetData>
  <sheetProtection password="D666" sheet="1" objects="1" scenarios="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headerFooter>
    <oddFooter>&amp;LForm 4
Relocation Budget&amp;CCFA Forms&amp;REdition: 2016
Version: 1.0</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78"/>
  <sheetViews>
    <sheetView showGridLines="0" topLeftCell="A44" zoomScale="125" zoomScaleNormal="125" zoomScalePageLayoutView="125" workbookViewId="0">
      <selection activeCell="U35" sqref="U35"/>
    </sheetView>
  </sheetViews>
  <sheetFormatPr defaultColWidth="8.85546875" defaultRowHeight="15" x14ac:dyDescent="0.25"/>
  <cols>
    <col min="1" max="2" width="1.7109375" style="394" customWidth="1"/>
    <col min="3" max="3" width="29.140625" style="394" bestFit="1" customWidth="1"/>
    <col min="4" max="4" width="35.140625" style="394" bestFit="1" customWidth="1"/>
    <col min="5" max="5" width="20.42578125" style="394" bestFit="1" customWidth="1"/>
    <col min="6" max="6" width="42.85546875" style="394" customWidth="1"/>
    <col min="7" max="7" width="1.7109375" style="394" customWidth="1"/>
    <col min="8" max="16384" width="8.85546875" style="394"/>
  </cols>
  <sheetData>
    <row r="10" spans="2:7" ht="9" customHeight="1" thickBot="1" x14ac:dyDescent="0.3"/>
    <row r="11" spans="2:7" ht="9" customHeight="1" x14ac:dyDescent="0.25">
      <c r="B11" s="8"/>
      <c r="C11" s="9"/>
      <c r="D11" s="9"/>
      <c r="E11" s="9"/>
      <c r="F11" s="9"/>
      <c r="G11" s="10"/>
    </row>
    <row r="12" spans="2:7" ht="18.75" x14ac:dyDescent="0.3">
      <c r="B12" s="11"/>
      <c r="C12" s="2402" t="s">
        <v>87</v>
      </c>
      <c r="D12" s="2402"/>
      <c r="E12" s="2402"/>
      <c r="F12" s="2402"/>
      <c r="G12" s="12"/>
    </row>
    <row r="13" spans="2:7" x14ac:dyDescent="0.25">
      <c r="B13" s="4"/>
      <c r="C13" s="2"/>
      <c r="D13" s="2"/>
      <c r="E13" s="1"/>
      <c r="F13" s="1"/>
      <c r="G13" s="3"/>
    </row>
    <row r="14" spans="2:7" ht="15.75" thickBot="1" x14ac:dyDescent="0.3">
      <c r="B14" s="4"/>
      <c r="C14" s="2391" t="str">
        <f>IF('1'!G5="","Enter Project Name on Form 1",(CONCATENATE("Project Name: ",'1'!G5)))</f>
        <v>Project Name: Compass Broadview</v>
      </c>
      <c r="D14" s="2391"/>
      <c r="E14" s="2391"/>
      <c r="F14" s="1"/>
      <c r="G14" s="3"/>
    </row>
    <row r="15" spans="2:7" ht="15.75" thickBot="1" x14ac:dyDescent="0.3">
      <c r="B15" s="4"/>
      <c r="C15" s="448"/>
      <c r="D15" s="406"/>
      <c r="E15" s="406"/>
      <c r="F15" s="145"/>
      <c r="G15" s="3"/>
    </row>
    <row r="16" spans="2:7" ht="26.25" thickBot="1" x14ac:dyDescent="0.3">
      <c r="B16" s="4"/>
      <c r="C16" s="1090" t="s">
        <v>88</v>
      </c>
      <c r="D16" s="146" t="s">
        <v>89</v>
      </c>
      <c r="E16" s="147" t="s">
        <v>501</v>
      </c>
      <c r="F16" s="148" t="s">
        <v>653</v>
      </c>
      <c r="G16" s="3"/>
    </row>
    <row r="17" spans="2:7" ht="25.5" x14ac:dyDescent="0.25">
      <c r="B17" s="4"/>
      <c r="C17" s="1091" t="s">
        <v>115</v>
      </c>
      <c r="D17" s="856" t="s">
        <v>116</v>
      </c>
      <c r="E17" s="1969">
        <v>42031</v>
      </c>
      <c r="F17" s="857" t="s">
        <v>1915</v>
      </c>
      <c r="G17" s="3"/>
    </row>
    <row r="18" spans="2:7" x14ac:dyDescent="0.25">
      <c r="B18" s="4"/>
      <c r="C18" s="1092" t="s">
        <v>95</v>
      </c>
      <c r="D18" s="858" t="s">
        <v>96</v>
      </c>
      <c r="E18" s="860">
        <v>42401</v>
      </c>
      <c r="F18" s="859" t="s">
        <v>1912</v>
      </c>
      <c r="G18" s="3"/>
    </row>
    <row r="19" spans="2:7" x14ac:dyDescent="0.25">
      <c r="B19" s="4"/>
      <c r="C19" s="1093" t="s">
        <v>117</v>
      </c>
      <c r="D19" s="861" t="s">
        <v>118</v>
      </c>
      <c r="E19" s="1970">
        <v>42401</v>
      </c>
      <c r="F19" s="2176" t="s">
        <v>2022</v>
      </c>
      <c r="G19" s="3"/>
    </row>
    <row r="20" spans="2:7" x14ac:dyDescent="0.25">
      <c r="B20" s="4"/>
      <c r="C20" s="1085" t="s">
        <v>135</v>
      </c>
      <c r="D20" s="1022" t="s">
        <v>136</v>
      </c>
      <c r="E20" s="860">
        <v>42401</v>
      </c>
      <c r="F20" s="2175" t="s">
        <v>2018</v>
      </c>
      <c r="G20" s="3"/>
    </row>
    <row r="21" spans="2:7" x14ac:dyDescent="0.25">
      <c r="B21" s="4"/>
      <c r="C21" s="1085" t="s">
        <v>135</v>
      </c>
      <c r="D21" s="858" t="s">
        <v>137</v>
      </c>
      <c r="E21" s="860">
        <v>42401</v>
      </c>
      <c r="F21" s="2175" t="s">
        <v>2018</v>
      </c>
      <c r="G21" s="3"/>
    </row>
    <row r="22" spans="2:7" x14ac:dyDescent="0.25">
      <c r="B22" s="4"/>
      <c r="C22" s="1085" t="s">
        <v>90</v>
      </c>
      <c r="D22" s="858" t="s">
        <v>2017</v>
      </c>
      <c r="E22" s="860">
        <v>42481</v>
      </c>
      <c r="F22" s="859" t="s">
        <v>1911</v>
      </c>
      <c r="G22" s="3"/>
    </row>
    <row r="23" spans="2:7" x14ac:dyDescent="0.25">
      <c r="B23" s="4"/>
      <c r="C23" s="1085" t="s">
        <v>95</v>
      </c>
      <c r="D23" s="1022" t="s">
        <v>98</v>
      </c>
      <c r="E23" s="860">
        <v>42541</v>
      </c>
      <c r="F23" s="2175" t="s">
        <v>1912</v>
      </c>
      <c r="G23" s="3"/>
    </row>
    <row r="24" spans="2:7" ht="25.5" x14ac:dyDescent="0.25">
      <c r="B24" s="4"/>
      <c r="C24" s="1085" t="s">
        <v>95</v>
      </c>
      <c r="D24" s="858" t="s">
        <v>104</v>
      </c>
      <c r="E24" s="860">
        <v>42552</v>
      </c>
      <c r="F24" s="859" t="s">
        <v>1914</v>
      </c>
      <c r="G24" s="3"/>
    </row>
    <row r="25" spans="2:7" x14ac:dyDescent="0.25">
      <c r="B25" s="4"/>
      <c r="C25" s="1085" t="s">
        <v>124</v>
      </c>
      <c r="D25" s="858" t="s">
        <v>125</v>
      </c>
      <c r="E25" s="860">
        <v>42583</v>
      </c>
      <c r="F25" s="859" t="s">
        <v>2019</v>
      </c>
      <c r="G25" s="3"/>
    </row>
    <row r="26" spans="2:7" x14ac:dyDescent="0.25">
      <c r="B26" s="4"/>
      <c r="C26" s="1085" t="s">
        <v>124</v>
      </c>
      <c r="D26" s="858" t="s">
        <v>2031</v>
      </c>
      <c r="E26" s="860">
        <v>42593</v>
      </c>
      <c r="F26" s="859" t="s">
        <v>1917</v>
      </c>
      <c r="G26" s="3"/>
    </row>
    <row r="27" spans="2:7" x14ac:dyDescent="0.25">
      <c r="B27" s="4"/>
      <c r="C27" s="1085" t="s">
        <v>95</v>
      </c>
      <c r="D27" s="1022" t="s">
        <v>97</v>
      </c>
      <c r="E27" s="860">
        <v>42612</v>
      </c>
      <c r="F27" s="2175" t="s">
        <v>1917</v>
      </c>
      <c r="G27" s="3"/>
    </row>
    <row r="28" spans="2:7" x14ac:dyDescent="0.25">
      <c r="B28" s="4"/>
      <c r="C28" s="1085" t="s">
        <v>117</v>
      </c>
      <c r="D28" s="1022" t="s">
        <v>120</v>
      </c>
      <c r="E28" s="860">
        <v>42622</v>
      </c>
      <c r="F28" s="859" t="s">
        <v>1919</v>
      </c>
      <c r="G28" s="3"/>
    </row>
    <row r="29" spans="2:7" x14ac:dyDescent="0.25">
      <c r="B29" s="4"/>
      <c r="C29" s="1085" t="s">
        <v>115</v>
      </c>
      <c r="D29" s="861" t="s">
        <v>1916</v>
      </c>
      <c r="E29" s="860">
        <v>42626</v>
      </c>
      <c r="F29" s="859" t="s">
        <v>1917</v>
      </c>
      <c r="G29" s="3"/>
    </row>
    <row r="30" spans="2:7" x14ac:dyDescent="0.25">
      <c r="B30" s="4"/>
      <c r="C30" s="1085" t="s">
        <v>115</v>
      </c>
      <c r="D30" s="861" t="s">
        <v>1918</v>
      </c>
      <c r="E30" s="860">
        <v>42628</v>
      </c>
      <c r="F30" s="859" t="s">
        <v>1917</v>
      </c>
      <c r="G30" s="3"/>
    </row>
    <row r="31" spans="2:7" x14ac:dyDescent="0.25">
      <c r="B31" s="4"/>
      <c r="C31" s="1085" t="s">
        <v>117</v>
      </c>
      <c r="D31" s="861" t="s">
        <v>2023</v>
      </c>
      <c r="E31" s="860">
        <v>42643</v>
      </c>
      <c r="F31" s="859" t="s">
        <v>2024</v>
      </c>
      <c r="G31" s="3"/>
    </row>
    <row r="32" spans="2:7" x14ac:dyDescent="0.25">
      <c r="B32" s="4"/>
      <c r="C32" s="1093" t="s">
        <v>117</v>
      </c>
      <c r="D32" s="1022" t="s">
        <v>2025</v>
      </c>
      <c r="E32" s="1970">
        <v>42719</v>
      </c>
      <c r="F32" s="2177" t="s">
        <v>2028</v>
      </c>
      <c r="G32" s="3"/>
    </row>
    <row r="33" spans="2:7" x14ac:dyDescent="0.25">
      <c r="B33" s="4"/>
      <c r="C33" s="1085" t="s">
        <v>115</v>
      </c>
      <c r="D33" s="858" t="s">
        <v>1920</v>
      </c>
      <c r="E33" s="860">
        <v>42719</v>
      </c>
      <c r="F33" s="859" t="s">
        <v>2028</v>
      </c>
      <c r="G33" s="3"/>
    </row>
    <row r="34" spans="2:7" x14ac:dyDescent="0.25">
      <c r="B34" s="4"/>
      <c r="C34" s="1085" t="s">
        <v>115</v>
      </c>
      <c r="D34" s="1022" t="s">
        <v>1921</v>
      </c>
      <c r="E34" s="860">
        <v>42719</v>
      </c>
      <c r="F34" s="859" t="s">
        <v>2028</v>
      </c>
      <c r="G34" s="3"/>
    </row>
    <row r="35" spans="2:7" x14ac:dyDescent="0.25">
      <c r="B35" s="4"/>
      <c r="C35" s="1085" t="s">
        <v>117</v>
      </c>
      <c r="D35" s="861" t="s">
        <v>2020</v>
      </c>
      <c r="E35" s="860">
        <v>42755</v>
      </c>
      <c r="F35" s="859" t="s">
        <v>2021</v>
      </c>
      <c r="G35" s="3"/>
    </row>
    <row r="36" spans="2:7" x14ac:dyDescent="0.25">
      <c r="B36" s="4"/>
      <c r="C36" s="1085" t="s">
        <v>117</v>
      </c>
      <c r="D36" s="858" t="s">
        <v>2026</v>
      </c>
      <c r="E36" s="860">
        <v>42767</v>
      </c>
      <c r="F36" s="859" t="s">
        <v>2021</v>
      </c>
      <c r="G36" s="3"/>
    </row>
    <row r="37" spans="2:7" x14ac:dyDescent="0.25">
      <c r="B37" s="4"/>
      <c r="C37" s="1085" t="s">
        <v>117</v>
      </c>
      <c r="D37" s="1022" t="s">
        <v>2036</v>
      </c>
      <c r="E37" s="860">
        <v>42795</v>
      </c>
      <c r="F37" s="859" t="s">
        <v>2037</v>
      </c>
      <c r="G37" s="3"/>
    </row>
    <row r="38" spans="2:7" x14ac:dyDescent="0.25">
      <c r="B38" s="4"/>
      <c r="C38" s="1085" t="s">
        <v>132</v>
      </c>
      <c r="D38" s="858" t="s">
        <v>133</v>
      </c>
      <c r="E38" s="860">
        <v>42795</v>
      </c>
      <c r="F38" s="2175" t="s">
        <v>2024</v>
      </c>
      <c r="G38" s="3"/>
    </row>
    <row r="39" spans="2:7" x14ac:dyDescent="0.25">
      <c r="B39" s="4"/>
      <c r="C39" s="1085" t="s">
        <v>95</v>
      </c>
      <c r="D39" s="858" t="s">
        <v>2027</v>
      </c>
      <c r="E39" s="860">
        <v>42826</v>
      </c>
      <c r="F39" s="2175" t="s">
        <v>2021</v>
      </c>
      <c r="G39" s="3"/>
    </row>
    <row r="40" spans="2:7" x14ac:dyDescent="0.25">
      <c r="B40" s="4"/>
      <c r="C40" s="1085" t="s">
        <v>124</v>
      </c>
      <c r="D40" s="1022" t="s">
        <v>128</v>
      </c>
      <c r="E40" s="860">
        <v>42826</v>
      </c>
      <c r="F40" s="859" t="s">
        <v>2021</v>
      </c>
      <c r="G40" s="3"/>
    </row>
    <row r="41" spans="2:7" x14ac:dyDescent="0.25">
      <c r="B41" s="4"/>
      <c r="C41" s="1085" t="s">
        <v>115</v>
      </c>
      <c r="D41" s="1022" t="s">
        <v>2029</v>
      </c>
      <c r="E41" s="860">
        <v>42856</v>
      </c>
      <c r="F41" s="859" t="s">
        <v>2021</v>
      </c>
      <c r="G41" s="3"/>
    </row>
    <row r="42" spans="2:7" x14ac:dyDescent="0.25">
      <c r="B42" s="4"/>
      <c r="C42" s="1085" t="s">
        <v>124</v>
      </c>
      <c r="D42" s="1022" t="s">
        <v>2032</v>
      </c>
      <c r="E42" s="860">
        <v>42887</v>
      </c>
      <c r="F42" s="859" t="s">
        <v>2021</v>
      </c>
      <c r="G42" s="3"/>
    </row>
    <row r="43" spans="2:7" x14ac:dyDescent="0.25">
      <c r="B43" s="4"/>
      <c r="C43" s="1085" t="s">
        <v>124</v>
      </c>
      <c r="D43" s="1022" t="s">
        <v>130</v>
      </c>
      <c r="E43" s="860">
        <v>42887</v>
      </c>
      <c r="F43" s="2175" t="s">
        <v>2024</v>
      </c>
      <c r="G43" s="3"/>
    </row>
    <row r="44" spans="2:7" x14ac:dyDescent="0.25">
      <c r="B44" s="4"/>
      <c r="C44" s="1085" t="s">
        <v>124</v>
      </c>
      <c r="D44" s="1022" t="s">
        <v>131</v>
      </c>
      <c r="E44" s="860">
        <v>42948</v>
      </c>
      <c r="F44" s="2175" t="s">
        <v>2033</v>
      </c>
      <c r="G44" s="3"/>
    </row>
    <row r="45" spans="2:7" x14ac:dyDescent="0.25">
      <c r="B45" s="4"/>
      <c r="C45" s="1085" t="s">
        <v>132</v>
      </c>
      <c r="D45" s="1022" t="s">
        <v>2030</v>
      </c>
      <c r="E45" s="860">
        <v>42948</v>
      </c>
      <c r="F45" s="2175" t="s">
        <v>2021</v>
      </c>
      <c r="G45" s="3"/>
    </row>
    <row r="46" spans="2:7" x14ac:dyDescent="0.25">
      <c r="B46" s="4"/>
      <c r="C46" s="1085" t="s">
        <v>95</v>
      </c>
      <c r="D46" s="858" t="s">
        <v>101</v>
      </c>
      <c r="E46" s="860">
        <v>42978</v>
      </c>
      <c r="F46" s="2175" t="s">
        <v>2021</v>
      </c>
      <c r="G46" s="3"/>
    </row>
    <row r="47" spans="2:7" x14ac:dyDescent="0.25">
      <c r="B47" s="4"/>
      <c r="C47" s="1085" t="s">
        <v>95</v>
      </c>
      <c r="D47" s="1022" t="s">
        <v>102</v>
      </c>
      <c r="E47" s="860">
        <v>42978</v>
      </c>
      <c r="F47" s="2175" t="s">
        <v>1910</v>
      </c>
      <c r="G47" s="3"/>
    </row>
    <row r="48" spans="2:7" x14ac:dyDescent="0.25">
      <c r="B48" s="4"/>
      <c r="C48" s="1085" t="s">
        <v>124</v>
      </c>
      <c r="D48" s="1022" t="s">
        <v>126</v>
      </c>
      <c r="E48" s="860">
        <v>42979</v>
      </c>
      <c r="F48" s="859" t="s">
        <v>2021</v>
      </c>
      <c r="G48" s="3"/>
    </row>
    <row r="49" spans="2:7" x14ac:dyDescent="0.25">
      <c r="B49" s="4"/>
      <c r="C49" s="1085" t="s">
        <v>124</v>
      </c>
      <c r="D49" s="1022" t="s">
        <v>127</v>
      </c>
      <c r="E49" s="860">
        <v>42979</v>
      </c>
      <c r="F49" s="859" t="s">
        <v>2021</v>
      </c>
      <c r="G49" s="3"/>
    </row>
    <row r="50" spans="2:7" x14ac:dyDescent="0.25">
      <c r="B50" s="4"/>
      <c r="C50" s="1085" t="s">
        <v>124</v>
      </c>
      <c r="D50" s="1022" t="s">
        <v>129</v>
      </c>
      <c r="E50" s="860">
        <v>42979</v>
      </c>
      <c r="F50" s="2175" t="s">
        <v>2021</v>
      </c>
      <c r="G50" s="3"/>
    </row>
    <row r="51" spans="2:7" x14ac:dyDescent="0.25">
      <c r="B51" s="4"/>
      <c r="C51" s="1085" t="s">
        <v>92</v>
      </c>
      <c r="D51" s="1022" t="s">
        <v>94</v>
      </c>
      <c r="E51" s="860">
        <v>43008</v>
      </c>
      <c r="F51" s="859" t="s">
        <v>2034</v>
      </c>
      <c r="G51" s="3"/>
    </row>
    <row r="52" spans="2:7" x14ac:dyDescent="0.25">
      <c r="B52" s="4"/>
      <c r="C52" s="1085" t="s">
        <v>115</v>
      </c>
      <c r="D52" s="1022" t="s">
        <v>123</v>
      </c>
      <c r="E52" s="860">
        <v>43008</v>
      </c>
      <c r="F52" s="859" t="s">
        <v>2021</v>
      </c>
      <c r="G52" s="3"/>
    </row>
    <row r="53" spans="2:7" x14ac:dyDescent="0.25">
      <c r="B53" s="4"/>
      <c r="C53" s="1085" t="s">
        <v>132</v>
      </c>
      <c r="D53" s="1022" t="s">
        <v>698</v>
      </c>
      <c r="E53" s="860">
        <v>43009</v>
      </c>
      <c r="F53" s="859" t="s">
        <v>2021</v>
      </c>
      <c r="G53" s="3"/>
    </row>
    <row r="54" spans="2:7" x14ac:dyDescent="0.25">
      <c r="B54" s="4"/>
      <c r="C54" s="1085" t="s">
        <v>92</v>
      </c>
      <c r="D54" s="1022" t="s">
        <v>93</v>
      </c>
      <c r="E54" s="860">
        <v>43190</v>
      </c>
      <c r="F54" s="859" t="s">
        <v>2021</v>
      </c>
      <c r="G54" s="3"/>
    </row>
    <row r="55" spans="2:7" x14ac:dyDescent="0.25">
      <c r="B55" s="4"/>
      <c r="C55" s="1085" t="s">
        <v>132</v>
      </c>
      <c r="D55" s="1022" t="s">
        <v>134</v>
      </c>
      <c r="E55" s="860">
        <v>43466</v>
      </c>
      <c r="F55" s="859" t="s">
        <v>2021</v>
      </c>
      <c r="G55" s="3"/>
    </row>
    <row r="56" spans="2:7" x14ac:dyDescent="0.25">
      <c r="B56" s="4"/>
      <c r="C56" s="1085" t="s">
        <v>135</v>
      </c>
      <c r="D56" s="1022" t="s">
        <v>140</v>
      </c>
      <c r="E56" s="860">
        <v>43466</v>
      </c>
      <c r="F56" s="859" t="s">
        <v>2021</v>
      </c>
      <c r="G56" s="3"/>
    </row>
    <row r="57" spans="2:7" x14ac:dyDescent="0.25">
      <c r="B57" s="4"/>
      <c r="C57" s="1085" t="s">
        <v>135</v>
      </c>
      <c r="D57" s="1022" t="s">
        <v>138</v>
      </c>
      <c r="E57" s="860">
        <v>43466</v>
      </c>
      <c r="F57" s="859" t="s">
        <v>2021</v>
      </c>
      <c r="G57" s="3"/>
    </row>
    <row r="58" spans="2:7" x14ac:dyDescent="0.25">
      <c r="B58" s="4"/>
      <c r="C58" s="1085" t="s">
        <v>135</v>
      </c>
      <c r="D58" s="858" t="s">
        <v>2035</v>
      </c>
      <c r="E58" s="860">
        <v>43466</v>
      </c>
      <c r="F58" s="859" t="s">
        <v>2021</v>
      </c>
      <c r="G58" s="3"/>
    </row>
    <row r="59" spans="2:7" ht="25.5" x14ac:dyDescent="0.25">
      <c r="B59" s="4"/>
      <c r="C59" s="1085" t="s">
        <v>135</v>
      </c>
      <c r="D59" s="1021" t="s">
        <v>142</v>
      </c>
      <c r="E59" s="860">
        <v>43525</v>
      </c>
      <c r="F59" s="859" t="s">
        <v>2021</v>
      </c>
      <c r="G59" s="3"/>
    </row>
    <row r="60" spans="2:7" x14ac:dyDescent="0.25">
      <c r="B60" s="4"/>
      <c r="C60" s="1085" t="s">
        <v>95</v>
      </c>
      <c r="D60" s="1022" t="s">
        <v>103</v>
      </c>
      <c r="E60" s="1970">
        <v>43525</v>
      </c>
      <c r="F60" s="2175" t="s">
        <v>1913</v>
      </c>
      <c r="G60" s="3"/>
    </row>
    <row r="61" spans="2:7" x14ac:dyDescent="0.25">
      <c r="B61" s="4"/>
      <c r="C61" s="1085" t="s">
        <v>135</v>
      </c>
      <c r="D61" s="858" t="s">
        <v>139</v>
      </c>
      <c r="E61" s="860">
        <v>43586</v>
      </c>
      <c r="F61" s="859" t="s">
        <v>2021</v>
      </c>
      <c r="G61" s="3"/>
    </row>
    <row r="62" spans="2:7" x14ac:dyDescent="0.25">
      <c r="B62" s="4"/>
      <c r="C62" s="1085" t="s">
        <v>135</v>
      </c>
      <c r="D62" s="858" t="s">
        <v>143</v>
      </c>
      <c r="E62" s="860">
        <v>43678</v>
      </c>
      <c r="F62" s="859" t="s">
        <v>2021</v>
      </c>
      <c r="G62" s="3"/>
    </row>
    <row r="63" spans="2:7" x14ac:dyDescent="0.25">
      <c r="B63" s="4"/>
      <c r="C63" s="1085" t="s">
        <v>115</v>
      </c>
      <c r="D63" s="858" t="s">
        <v>697</v>
      </c>
      <c r="E63" s="1970">
        <v>43678</v>
      </c>
      <c r="F63" s="859" t="s">
        <v>2021</v>
      </c>
      <c r="G63" s="3"/>
    </row>
    <row r="64" spans="2:7" x14ac:dyDescent="0.25">
      <c r="B64" s="4"/>
      <c r="C64" s="1085" t="s">
        <v>95</v>
      </c>
      <c r="D64" s="1022" t="s">
        <v>99</v>
      </c>
      <c r="E64" s="860"/>
      <c r="F64" s="2175" t="s">
        <v>1910</v>
      </c>
      <c r="G64" s="3"/>
    </row>
    <row r="65" spans="2:7" x14ac:dyDescent="0.25">
      <c r="B65" s="4"/>
      <c r="C65" s="1085" t="s">
        <v>95</v>
      </c>
      <c r="D65" s="858" t="s">
        <v>105</v>
      </c>
      <c r="E65" s="860"/>
      <c r="F65" s="859" t="s">
        <v>1910</v>
      </c>
      <c r="G65" s="3"/>
    </row>
    <row r="66" spans="2:7" ht="15.75" customHeight="1" x14ac:dyDescent="0.25">
      <c r="B66" s="13"/>
      <c r="C66" s="1092" t="s">
        <v>106</v>
      </c>
      <c r="D66" s="1022" t="s">
        <v>107</v>
      </c>
      <c r="E66" s="860"/>
      <c r="F66" s="859" t="s">
        <v>1910</v>
      </c>
      <c r="G66" s="14"/>
    </row>
    <row r="67" spans="2:7" x14ac:dyDescent="0.25">
      <c r="B67" s="4"/>
      <c r="C67" s="1092" t="s">
        <v>106</v>
      </c>
      <c r="D67" s="1022" t="s">
        <v>108</v>
      </c>
      <c r="E67" s="860"/>
      <c r="F67" s="859" t="s">
        <v>1910</v>
      </c>
      <c r="G67" s="3"/>
    </row>
    <row r="68" spans="2:7" x14ac:dyDescent="0.25">
      <c r="B68" s="4"/>
      <c r="C68" s="1092" t="s">
        <v>106</v>
      </c>
      <c r="D68" s="1022" t="s">
        <v>109</v>
      </c>
      <c r="E68" s="860"/>
      <c r="F68" s="859" t="s">
        <v>1910</v>
      </c>
      <c r="G68" s="3"/>
    </row>
    <row r="69" spans="2:7" x14ac:dyDescent="0.25">
      <c r="B69" s="4"/>
      <c r="C69" s="1092" t="s">
        <v>106</v>
      </c>
      <c r="D69" s="1022" t="s">
        <v>110</v>
      </c>
      <c r="E69" s="860"/>
      <c r="F69" s="859" t="s">
        <v>1910</v>
      </c>
      <c r="G69" s="3"/>
    </row>
    <row r="70" spans="2:7" x14ac:dyDescent="0.25">
      <c r="B70" s="4"/>
      <c r="C70" s="1092" t="s">
        <v>106</v>
      </c>
      <c r="D70" s="1022" t="s">
        <v>111</v>
      </c>
      <c r="E70" s="860"/>
      <c r="F70" s="859" t="s">
        <v>1910</v>
      </c>
      <c r="G70" s="3"/>
    </row>
    <row r="71" spans="2:7" x14ac:dyDescent="0.25">
      <c r="B71" s="4"/>
      <c r="C71" s="1092" t="s">
        <v>106</v>
      </c>
      <c r="D71" s="1022" t="s">
        <v>112</v>
      </c>
      <c r="E71" s="860"/>
      <c r="F71" s="859" t="s">
        <v>1910</v>
      </c>
      <c r="G71" s="3"/>
    </row>
    <row r="72" spans="2:7" x14ac:dyDescent="0.25">
      <c r="B72" s="4"/>
      <c r="C72" s="1092" t="s">
        <v>106</v>
      </c>
      <c r="D72" s="1022" t="s">
        <v>113</v>
      </c>
      <c r="E72" s="860"/>
      <c r="F72" s="859" t="s">
        <v>1910</v>
      </c>
      <c r="G72" s="3"/>
    </row>
    <row r="73" spans="2:7" x14ac:dyDescent="0.25">
      <c r="B73" s="4"/>
      <c r="C73" s="1092" t="s">
        <v>106</v>
      </c>
      <c r="D73" s="1022" t="s">
        <v>114</v>
      </c>
      <c r="E73" s="860"/>
      <c r="F73" s="859" t="s">
        <v>1910</v>
      </c>
      <c r="G73" s="3"/>
    </row>
    <row r="74" spans="2:7" x14ac:dyDescent="0.25">
      <c r="B74" s="4"/>
      <c r="C74" s="1085" t="s">
        <v>115</v>
      </c>
      <c r="D74" s="861" t="s">
        <v>119</v>
      </c>
      <c r="E74" s="860"/>
      <c r="F74" s="859" t="s">
        <v>1910</v>
      </c>
      <c r="G74" s="3"/>
    </row>
    <row r="75" spans="2:7" x14ac:dyDescent="0.25">
      <c r="B75" s="4"/>
      <c r="C75" s="1085" t="s">
        <v>115</v>
      </c>
      <c r="D75" s="1022" t="s">
        <v>122</v>
      </c>
      <c r="E75" s="860"/>
      <c r="F75" s="859" t="s">
        <v>1910</v>
      </c>
      <c r="G75" s="3"/>
    </row>
    <row r="76" spans="2:7" x14ac:dyDescent="0.25">
      <c r="B76" s="4"/>
      <c r="C76" s="1183" t="s">
        <v>135</v>
      </c>
      <c r="D76" s="1184" t="s">
        <v>141</v>
      </c>
      <c r="E76" s="1971"/>
      <c r="F76" s="2178" t="s">
        <v>1910</v>
      </c>
      <c r="G76" s="3"/>
    </row>
    <row r="77" spans="2:7" ht="15.75" thickBot="1" x14ac:dyDescent="0.3">
      <c r="B77" s="4"/>
      <c r="C77" s="1086"/>
      <c r="D77" s="1082"/>
      <c r="E77" s="1972"/>
      <c r="F77" s="1083"/>
      <c r="G77" s="3"/>
    </row>
    <row r="78" spans="2:7" ht="9" customHeight="1" thickBot="1" x14ac:dyDescent="0.3">
      <c r="B78" s="5"/>
      <c r="C78" s="6"/>
      <c r="D78" s="6"/>
      <c r="E78" s="6"/>
      <c r="F78" s="6"/>
      <c r="G78" s="7"/>
    </row>
  </sheetData>
  <sheetProtection formatCells="0" formatColumns="0" formatRows="0" insertRows="0"/>
  <autoFilter ref="C16:F76">
    <sortState ref="C17:F79">
      <sortCondition ref="E16:E79"/>
    </sortState>
  </autoFilter>
  <mergeCells count="2">
    <mergeCell ref="C12:F12"/>
    <mergeCell ref="C14:E14"/>
  </mergeCells>
  <dataValidations count="1">
    <dataValidation type="date" allowBlank="1" showInputMessage="1" showErrorMessage="1" errorTitle="Date Format" error="Please enter a date in the MM/DD/YYYY format" sqref="E17:E77">
      <formula1>1</formula1>
      <formula2>402133</formula2>
    </dataValidation>
  </dataValidations>
  <pageMargins left="0.7" right="0.7" top="0.75" bottom="0.75" header="0.3" footer="0.3"/>
  <pageSetup scale="72" orientation="portrait"/>
  <headerFooter>
    <oddFooter>&amp;LForm 5
Project Schedule&amp;CCFA Forms&amp;REdition: 2016
Version: 1.0</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topLeftCell="A83" zoomScaleSheetLayoutView="100" workbookViewId="0">
      <selection activeCell="U35" sqref="U35"/>
    </sheetView>
  </sheetViews>
  <sheetFormatPr defaultColWidth="8.85546875" defaultRowHeight="15" x14ac:dyDescent="0.25"/>
  <cols>
    <col min="1" max="2" width="1.7109375" style="394" customWidth="1"/>
    <col min="3" max="3" width="2.85546875" style="394" customWidth="1"/>
    <col min="4" max="4" width="5.7109375" style="394" customWidth="1"/>
    <col min="5" max="5" width="8.42578125" style="394" customWidth="1"/>
    <col min="6" max="6" width="12.85546875" style="394" customWidth="1"/>
    <col min="7" max="7" width="10.7109375" style="394" customWidth="1"/>
    <col min="8" max="8" width="1.42578125" style="394" customWidth="1"/>
    <col min="9" max="9" width="7.85546875" style="394" customWidth="1"/>
    <col min="10" max="11" width="11.42578125" style="394" customWidth="1"/>
    <col min="12" max="12" width="10.28515625" style="394" customWidth="1"/>
    <col min="13" max="13" width="9.28515625" style="394" bestFit="1" customWidth="1"/>
    <col min="14" max="14" width="10.42578125" style="394" customWidth="1"/>
    <col min="15" max="17" width="8.85546875" style="394"/>
    <col min="18" max="18" width="0.7109375" style="394" customWidth="1"/>
    <col min="19" max="19" width="10.85546875" style="394" customWidth="1"/>
    <col min="20" max="21" width="8.85546875" style="394"/>
    <col min="22" max="22" width="1.7109375" style="394" customWidth="1"/>
    <col min="23" max="16384" width="8.85546875" style="394"/>
  </cols>
  <sheetData>
    <row r="11" spans="2:22" ht="9" customHeight="1" thickBot="1" x14ac:dyDescent="0.3"/>
    <row r="12" spans="2:22" ht="9" customHeight="1" x14ac:dyDescent="0.25">
      <c r="B12" s="450"/>
      <c r="C12" s="451"/>
      <c r="D12" s="451"/>
      <c r="E12" s="451"/>
      <c r="F12" s="451"/>
      <c r="G12" s="451"/>
      <c r="H12" s="451"/>
      <c r="I12" s="401"/>
      <c r="J12" s="401"/>
      <c r="K12" s="401"/>
      <c r="L12" s="401"/>
      <c r="M12" s="451"/>
      <c r="N12" s="451"/>
      <c r="O12" s="26"/>
      <c r="P12" s="26"/>
      <c r="Q12" s="26"/>
      <c r="R12" s="26"/>
      <c r="S12" s="26"/>
      <c r="T12" s="26"/>
      <c r="U12" s="26"/>
      <c r="V12" s="27"/>
    </row>
    <row r="13" spans="2:22" ht="18.75" x14ac:dyDescent="0.3">
      <c r="B13" s="452"/>
      <c r="C13" s="2283" t="s">
        <v>144</v>
      </c>
      <c r="D13" s="2283"/>
      <c r="E13" s="2283"/>
      <c r="F13" s="2283"/>
      <c r="G13" s="2283"/>
      <c r="H13" s="2283"/>
      <c r="I13" s="2283"/>
      <c r="J13" s="2283"/>
      <c r="K13" s="2283"/>
      <c r="L13" s="2283"/>
      <c r="M13" s="2283"/>
      <c r="N13" s="2283"/>
      <c r="O13" s="2283"/>
      <c r="P13" s="2283"/>
      <c r="Q13" s="2283"/>
      <c r="R13" s="2283"/>
      <c r="S13" s="2283"/>
      <c r="T13" s="2283"/>
      <c r="U13" s="2283"/>
      <c r="V13" s="33"/>
    </row>
    <row r="14" spans="2:22" ht="15" customHeight="1" x14ac:dyDescent="0.25">
      <c r="B14" s="452"/>
      <c r="C14" s="67"/>
      <c r="D14" s="67"/>
      <c r="E14" s="67"/>
      <c r="F14" s="67"/>
      <c r="G14" s="67"/>
      <c r="H14" s="67"/>
      <c r="I14" s="406"/>
      <c r="J14" s="367"/>
      <c r="K14" s="406"/>
      <c r="L14" s="406"/>
      <c r="M14" s="67"/>
      <c r="N14" s="67"/>
      <c r="O14" s="18"/>
      <c r="P14" s="18"/>
      <c r="Q14" s="18"/>
      <c r="R14" s="18"/>
      <c r="S14" s="18"/>
      <c r="T14" s="18"/>
      <c r="U14" s="18"/>
      <c r="V14" s="33"/>
    </row>
    <row r="15" spans="2:22" ht="15.75" thickBot="1" x14ac:dyDescent="0.3">
      <c r="B15" s="453"/>
      <c r="C15" s="2423" t="str">
        <f>IF('1'!G5="","Enter Project Name on Form 1",(CONCATENATE("Project Name: ",'1'!G5)))</f>
        <v>Project Name: Compass Broadview</v>
      </c>
      <c r="D15" s="2423"/>
      <c r="E15" s="2423"/>
      <c r="F15" s="2423"/>
      <c r="G15" s="2423"/>
      <c r="H15" s="2423"/>
      <c r="I15" s="2423"/>
      <c r="J15" s="2423"/>
      <c r="K15" s="2423"/>
      <c r="L15" s="2423"/>
      <c r="M15" s="2423"/>
      <c r="N15" s="2423"/>
      <c r="O15" s="44"/>
      <c r="P15" s="44"/>
      <c r="Q15" s="44"/>
      <c r="R15" s="44"/>
      <c r="S15" s="67"/>
      <c r="T15" s="67"/>
      <c r="U15" s="67"/>
      <c r="V15" s="455"/>
    </row>
    <row r="16" spans="2:22" ht="7.5" customHeight="1" thickBot="1" x14ac:dyDescent="0.3">
      <c r="B16" s="453"/>
      <c r="C16" s="44"/>
      <c r="D16" s="17"/>
      <c r="E16" s="454"/>
      <c r="F16" s="454"/>
      <c r="G16" s="454"/>
      <c r="H16" s="454"/>
      <c r="I16" s="454"/>
      <c r="J16" s="454"/>
      <c r="K16" s="44"/>
      <c r="L16" s="454"/>
      <c r="M16" s="44"/>
      <c r="N16" s="44"/>
      <c r="O16" s="44"/>
      <c r="P16" s="44"/>
      <c r="Q16" s="44"/>
      <c r="R16" s="44"/>
      <c r="S16" s="67"/>
      <c r="T16" s="67"/>
      <c r="U16" s="67"/>
      <c r="V16" s="455"/>
    </row>
    <row r="17" spans="2:22" x14ac:dyDescent="0.25">
      <c r="B17" s="452"/>
      <c r="C17" s="133" t="s">
        <v>145</v>
      </c>
      <c r="D17" s="1520"/>
      <c r="E17" s="454"/>
      <c r="F17" s="449"/>
      <c r="G17" s="406"/>
      <c r="H17" s="406"/>
      <c r="I17" s="2410" t="s">
        <v>146</v>
      </c>
      <c r="J17" s="2410" t="s">
        <v>147</v>
      </c>
      <c r="K17" s="2408" t="s">
        <v>53</v>
      </c>
      <c r="L17" s="2409"/>
      <c r="M17" s="2409"/>
      <c r="N17" s="2409"/>
      <c r="O17" s="2409"/>
      <c r="P17" s="2409"/>
      <c r="Q17" s="2409"/>
      <c r="R17" s="456"/>
      <c r="S17" s="2406" t="s">
        <v>54</v>
      </c>
      <c r="T17" s="2406"/>
      <c r="U17" s="2407"/>
      <c r="V17" s="455"/>
    </row>
    <row r="18" spans="2:22" x14ac:dyDescent="0.25">
      <c r="B18" s="452"/>
      <c r="C18" s="44"/>
      <c r="D18" s="454"/>
      <c r="E18" s="454"/>
      <c r="F18" s="454"/>
      <c r="G18" s="454"/>
      <c r="H18" s="454"/>
      <c r="I18" s="2411"/>
      <c r="J18" s="2411"/>
      <c r="K18" s="2413" t="s">
        <v>149</v>
      </c>
      <c r="L18" s="457" t="s">
        <v>150</v>
      </c>
      <c r="M18" s="457" t="s">
        <v>150</v>
      </c>
      <c r="N18" s="457" t="s">
        <v>150</v>
      </c>
      <c r="O18" s="457" t="s">
        <v>150</v>
      </c>
      <c r="P18" s="457" t="s">
        <v>150</v>
      </c>
      <c r="Q18" s="457" t="s">
        <v>150</v>
      </c>
      <c r="R18" s="458"/>
      <c r="S18" s="2415" t="s">
        <v>504</v>
      </c>
      <c r="T18" s="457" t="s">
        <v>150</v>
      </c>
      <c r="U18" s="459" t="s">
        <v>150</v>
      </c>
      <c r="V18" s="455"/>
    </row>
    <row r="19" spans="2:22" x14ac:dyDescent="0.25">
      <c r="B19" s="452"/>
      <c r="C19" s="44"/>
      <c r="D19" s="454"/>
      <c r="E19" s="454"/>
      <c r="F19" s="454"/>
      <c r="G19" s="454"/>
      <c r="H19" s="454"/>
      <c r="I19" s="2411"/>
      <c r="J19" s="2411"/>
      <c r="K19" s="2413"/>
      <c r="L19" s="2419" t="s">
        <v>1883</v>
      </c>
      <c r="M19" s="2419" t="s">
        <v>1884</v>
      </c>
      <c r="N19" s="2419" t="s">
        <v>1922</v>
      </c>
      <c r="O19" s="2419" t="s">
        <v>1961</v>
      </c>
      <c r="P19" s="2419"/>
      <c r="Q19" s="2417"/>
      <c r="R19" s="458"/>
      <c r="S19" s="2415"/>
      <c r="T19" s="2419" t="s">
        <v>1885</v>
      </c>
      <c r="U19" s="2421"/>
      <c r="V19" s="455"/>
    </row>
    <row r="20" spans="2:22" ht="15.75" thickBot="1" x14ac:dyDescent="0.3">
      <c r="B20" s="452"/>
      <c r="C20" s="44"/>
      <c r="D20" s="454"/>
      <c r="E20" s="70"/>
      <c r="F20" s="70"/>
      <c r="G20" s="70"/>
      <c r="H20" s="70"/>
      <c r="I20" s="2412"/>
      <c r="J20" s="2412"/>
      <c r="K20" s="2414"/>
      <c r="L20" s="2420"/>
      <c r="M20" s="2420"/>
      <c r="N20" s="2420"/>
      <c r="O20" s="2420"/>
      <c r="P20" s="2420"/>
      <c r="Q20" s="2418"/>
      <c r="R20" s="460"/>
      <c r="S20" s="2416"/>
      <c r="T20" s="2420"/>
      <c r="U20" s="2422"/>
      <c r="V20" s="405"/>
    </row>
    <row r="21" spans="2:22" ht="15.75" thickBot="1" x14ac:dyDescent="0.3">
      <c r="B21" s="452"/>
      <c r="C21" s="77" t="s">
        <v>151</v>
      </c>
      <c r="D21" s="77"/>
      <c r="E21" s="77"/>
      <c r="F21" s="77"/>
      <c r="G21" s="77"/>
      <c r="H21" s="46"/>
      <c r="I21" s="46"/>
      <c r="J21" s="46"/>
      <c r="K21" s="46"/>
      <c r="L21" s="454"/>
      <c r="M21" s="44"/>
      <c r="N21" s="44"/>
      <c r="O21" s="15"/>
      <c r="P21" s="461"/>
      <c r="Q21" s="461"/>
      <c r="R21" s="67"/>
      <c r="S21" s="67"/>
      <c r="T21" s="461"/>
      <c r="U21" s="461"/>
      <c r="V21" s="405"/>
    </row>
    <row r="22" spans="2:22" x14ac:dyDescent="0.25">
      <c r="B22" s="452"/>
      <c r="C22" s="44"/>
      <c r="D22" s="149" t="s">
        <v>152</v>
      </c>
      <c r="E22" s="149"/>
      <c r="F22" s="149"/>
      <c r="G22" s="149"/>
      <c r="H22" s="149"/>
      <c r="I22" s="862">
        <f t="shared" ref="I22:I28" si="0">IFERROR(J22/J$120," ")</f>
        <v>8.3089393636401429E-2</v>
      </c>
      <c r="J22" s="1368">
        <v>1800000</v>
      </c>
      <c r="K22" s="863">
        <f t="shared" ref="K22:K27" si="1">SUM(L22:Q22)</f>
        <v>1800000</v>
      </c>
      <c r="L22" s="864"/>
      <c r="M22" s="865">
        <f>J22</f>
        <v>1800000</v>
      </c>
      <c r="N22" s="865"/>
      <c r="O22" s="865"/>
      <c r="P22" s="865"/>
      <c r="Q22" s="865"/>
      <c r="R22" s="462"/>
      <c r="S22" s="874">
        <f t="shared" ref="S22:S27" si="2">SUM(T22:U22)</f>
        <v>0</v>
      </c>
      <c r="T22" s="864"/>
      <c r="U22" s="875"/>
      <c r="V22" s="405"/>
    </row>
    <row r="23" spans="2:22" x14ac:dyDescent="0.25">
      <c r="B23" s="452"/>
      <c r="C23" s="44"/>
      <c r="D23" s="151" t="s">
        <v>153</v>
      </c>
      <c r="E23" s="151"/>
      <c r="F23" s="151"/>
      <c r="G23" s="151"/>
      <c r="H23" s="151"/>
      <c r="I23" s="866">
        <f t="shared" si="0"/>
        <v>0</v>
      </c>
      <c r="J23" s="1366"/>
      <c r="K23" s="867">
        <f t="shared" si="1"/>
        <v>0</v>
      </c>
      <c r="L23" s="868"/>
      <c r="M23" s="869"/>
      <c r="N23" s="869"/>
      <c r="O23" s="869"/>
      <c r="P23" s="869"/>
      <c r="Q23" s="869"/>
      <c r="R23" s="463"/>
      <c r="S23" s="876">
        <f t="shared" si="2"/>
        <v>0</v>
      </c>
      <c r="T23" s="868"/>
      <c r="U23" s="877"/>
      <c r="V23" s="405"/>
    </row>
    <row r="24" spans="2:22" x14ac:dyDescent="0.25">
      <c r="B24" s="452"/>
      <c r="C24" s="44"/>
      <c r="D24" s="43" t="s">
        <v>154</v>
      </c>
      <c r="E24" s="43"/>
      <c r="F24" s="43"/>
      <c r="G24" s="43"/>
      <c r="H24" s="43"/>
      <c r="I24" s="866">
        <f t="shared" si="0"/>
        <v>0</v>
      </c>
      <c r="J24" s="1366"/>
      <c r="K24" s="867">
        <f t="shared" si="1"/>
        <v>0</v>
      </c>
      <c r="L24" s="868"/>
      <c r="M24" s="869"/>
      <c r="N24" s="869"/>
      <c r="O24" s="869"/>
      <c r="P24" s="869"/>
      <c r="Q24" s="869"/>
      <c r="R24" s="463"/>
      <c r="S24" s="876">
        <f t="shared" si="2"/>
        <v>0</v>
      </c>
      <c r="T24" s="868"/>
      <c r="U24" s="877"/>
      <c r="V24" s="405"/>
    </row>
    <row r="25" spans="2:22" x14ac:dyDescent="0.25">
      <c r="B25" s="452"/>
      <c r="C25" s="44"/>
      <c r="D25" s="43" t="s">
        <v>155</v>
      </c>
      <c r="E25" s="43"/>
      <c r="F25" s="43"/>
      <c r="G25" s="43"/>
      <c r="H25" s="43"/>
      <c r="I25" s="866">
        <f t="shared" si="0"/>
        <v>1.2324926722732878E-3</v>
      </c>
      <c r="J25" s="1366">
        <v>26700</v>
      </c>
      <c r="K25" s="867">
        <f t="shared" si="1"/>
        <v>26700</v>
      </c>
      <c r="L25" s="868"/>
      <c r="M25" s="869">
        <f>J25</f>
        <v>26700</v>
      </c>
      <c r="N25" s="869"/>
      <c r="O25" s="869"/>
      <c r="P25" s="869"/>
      <c r="Q25" s="869"/>
      <c r="R25" s="463"/>
      <c r="S25" s="876">
        <f t="shared" si="2"/>
        <v>0</v>
      </c>
      <c r="T25" s="868"/>
      <c r="U25" s="877"/>
      <c r="V25" s="405"/>
    </row>
    <row r="26" spans="2:22" x14ac:dyDescent="0.25">
      <c r="B26" s="452"/>
      <c r="C26" s="44"/>
      <c r="D26" s="49" t="s">
        <v>156</v>
      </c>
      <c r="E26" s="49"/>
      <c r="F26" s="49"/>
      <c r="G26" s="49"/>
      <c r="H26" s="49"/>
      <c r="I26" s="866">
        <f t="shared" si="0"/>
        <v>0</v>
      </c>
      <c r="J26" s="1366"/>
      <c r="K26" s="867">
        <f t="shared" si="1"/>
        <v>0</v>
      </c>
      <c r="L26" s="868"/>
      <c r="M26" s="869"/>
      <c r="N26" s="869"/>
      <c r="O26" s="869"/>
      <c r="P26" s="869"/>
      <c r="Q26" s="869"/>
      <c r="R26" s="463"/>
      <c r="S26" s="876">
        <f t="shared" si="2"/>
        <v>0</v>
      </c>
      <c r="T26" s="868"/>
      <c r="U26" s="877"/>
      <c r="V26" s="405"/>
    </row>
    <row r="27" spans="2:22" x14ac:dyDescent="0.25">
      <c r="B27" s="452"/>
      <c r="C27" s="44"/>
      <c r="D27" s="49" t="s">
        <v>426</v>
      </c>
      <c r="E27" s="2403"/>
      <c r="F27" s="2404"/>
      <c r="G27" s="2405"/>
      <c r="H27" s="159"/>
      <c r="I27" s="870">
        <f t="shared" si="0"/>
        <v>0</v>
      </c>
      <c r="J27" s="1367"/>
      <c r="K27" s="871">
        <f t="shared" si="1"/>
        <v>0</v>
      </c>
      <c r="L27" s="872"/>
      <c r="M27" s="873"/>
      <c r="N27" s="873"/>
      <c r="O27" s="873"/>
      <c r="P27" s="873"/>
      <c r="Q27" s="873"/>
      <c r="R27" s="463"/>
      <c r="S27" s="878">
        <f t="shared" si="2"/>
        <v>0</v>
      </c>
      <c r="T27" s="872"/>
      <c r="U27" s="879"/>
      <c r="V27" s="405"/>
    </row>
    <row r="28" spans="2:22" ht="15.75" thickBot="1" x14ac:dyDescent="0.3">
      <c r="B28" s="452"/>
      <c r="C28" s="44"/>
      <c r="D28" s="43"/>
      <c r="E28" s="43"/>
      <c r="F28" s="43"/>
      <c r="G28" s="47" t="s">
        <v>157</v>
      </c>
      <c r="H28" s="47"/>
      <c r="I28" s="342">
        <f t="shared" si="0"/>
        <v>8.4321886308674709E-2</v>
      </c>
      <c r="J28" s="36">
        <f t="shared" ref="J28:Q28" si="3">SUM(J22:J27)</f>
        <v>1826700</v>
      </c>
      <c r="K28" s="22">
        <f t="shared" si="3"/>
        <v>1826700</v>
      </c>
      <c r="L28" s="1536">
        <f t="shared" si="3"/>
        <v>0</v>
      </c>
      <c r="M28" s="1537">
        <f t="shared" si="3"/>
        <v>1826700</v>
      </c>
      <c r="N28" s="1537">
        <f t="shared" si="3"/>
        <v>0</v>
      </c>
      <c r="O28" s="1537">
        <f t="shared" si="3"/>
        <v>0</v>
      </c>
      <c r="P28" s="1537">
        <f t="shared" si="3"/>
        <v>0</v>
      </c>
      <c r="Q28" s="1537">
        <f t="shared" si="3"/>
        <v>0</v>
      </c>
      <c r="R28" s="464"/>
      <c r="S28" s="465">
        <f>SUM(S22:S27)</f>
        <v>0</v>
      </c>
      <c r="T28" s="1536">
        <f>SUM(T22:T27)</f>
        <v>0</v>
      </c>
      <c r="U28" s="1538">
        <f>SUM(U22:U27)</f>
        <v>0</v>
      </c>
      <c r="V28" s="405"/>
    </row>
    <row r="29" spans="2:22" ht="3.75" customHeight="1" x14ac:dyDescent="0.25">
      <c r="B29" s="452"/>
      <c r="C29" s="43"/>
      <c r="D29" s="43"/>
      <c r="E29" s="43"/>
      <c r="F29" s="43"/>
      <c r="G29" s="43"/>
      <c r="H29" s="43"/>
      <c r="I29" s="454"/>
      <c r="J29" s="466"/>
      <c r="K29" s="44"/>
      <c r="L29" s="16"/>
      <c r="M29" s="16"/>
      <c r="N29" s="16"/>
      <c r="O29" s="16"/>
      <c r="P29" s="44"/>
      <c r="Q29" s="16"/>
      <c r="R29" s="463"/>
      <c r="S29" s="16"/>
      <c r="T29" s="16"/>
      <c r="U29" s="16"/>
      <c r="V29" s="405"/>
    </row>
    <row r="30" spans="2:22" ht="15.75" thickBot="1" x14ac:dyDescent="0.3">
      <c r="B30" s="452"/>
      <c r="C30" s="77" t="s">
        <v>158</v>
      </c>
      <c r="D30" s="77"/>
      <c r="E30" s="77"/>
      <c r="F30" s="77"/>
      <c r="G30" s="77"/>
      <c r="H30" s="46"/>
      <c r="I30" s="46"/>
      <c r="J30" s="46"/>
      <c r="K30" s="46"/>
      <c r="L30" s="454"/>
      <c r="M30" s="44"/>
      <c r="N30" s="44"/>
      <c r="O30" s="15"/>
      <c r="P30" s="461"/>
      <c r="Q30" s="461"/>
      <c r="R30" s="458"/>
      <c r="S30" s="67"/>
      <c r="T30" s="461"/>
      <c r="U30" s="461"/>
      <c r="V30" s="405"/>
    </row>
    <row r="31" spans="2:22" x14ac:dyDescent="0.25">
      <c r="B31" s="452"/>
      <c r="C31" s="44"/>
      <c r="D31" s="153" t="s">
        <v>159</v>
      </c>
      <c r="E31" s="153"/>
      <c r="F31" s="153"/>
      <c r="G31" s="153"/>
      <c r="H31" s="153"/>
      <c r="I31" s="862">
        <f t="shared" ref="I31:I47" si="4">IFERROR(J31/J$120," ")</f>
        <v>0</v>
      </c>
      <c r="J31" s="1368"/>
      <c r="K31" s="880">
        <f t="shared" ref="K31:K46" si="5">SUM(L31:Q31)</f>
        <v>0</v>
      </c>
      <c r="L31" s="864"/>
      <c r="M31" s="881"/>
      <c r="N31" s="881"/>
      <c r="O31" s="881"/>
      <c r="P31" s="881"/>
      <c r="Q31" s="881"/>
      <c r="R31" s="462"/>
      <c r="S31" s="887">
        <f t="shared" ref="S31:S46" si="6">SUM(T31:U31)</f>
        <v>0</v>
      </c>
      <c r="T31" s="864"/>
      <c r="U31" s="875"/>
      <c r="V31" s="405"/>
    </row>
    <row r="32" spans="2:22" x14ac:dyDescent="0.25">
      <c r="B32" s="452"/>
      <c r="C32" s="44"/>
      <c r="D32" s="43" t="s">
        <v>160</v>
      </c>
      <c r="E32" s="43"/>
      <c r="F32" s="43"/>
      <c r="G32" s="43"/>
      <c r="H32" s="43"/>
      <c r="I32" s="866">
        <f t="shared" si="4"/>
        <v>0.59055666509059279</v>
      </c>
      <c r="J32" s="1366">
        <v>12793474</v>
      </c>
      <c r="K32" s="882">
        <f t="shared" si="5"/>
        <v>12512721</v>
      </c>
      <c r="L32" s="868">
        <f>J32-N32-S32</f>
        <v>3560884</v>
      </c>
      <c r="M32" s="883"/>
      <c r="N32" s="883">
        <f>8950652-29000+900+78-2+19000-700-35+1+11000-60+3</f>
        <v>8951837</v>
      </c>
      <c r="O32" s="883"/>
      <c r="P32" s="883"/>
      <c r="Q32" s="883"/>
      <c r="R32" s="463"/>
      <c r="S32" s="876">
        <f t="shared" si="6"/>
        <v>280753</v>
      </c>
      <c r="T32" s="868">
        <v>280753</v>
      </c>
      <c r="U32" s="877"/>
      <c r="V32" s="405"/>
    </row>
    <row r="33" spans="2:22" x14ac:dyDescent="0.25">
      <c r="B33" s="452"/>
      <c r="C33" s="44"/>
      <c r="D33" s="43" t="s">
        <v>161</v>
      </c>
      <c r="E33" s="43"/>
      <c r="F33" s="43"/>
      <c r="G33" s="43"/>
      <c r="H33" s="43"/>
      <c r="I33" s="866">
        <f t="shared" si="4"/>
        <v>0</v>
      </c>
      <c r="J33" s="1366"/>
      <c r="K33" s="882">
        <f t="shared" si="5"/>
        <v>0</v>
      </c>
      <c r="L33" s="868"/>
      <c r="M33" s="883"/>
      <c r="N33" s="883"/>
      <c r="O33" s="883"/>
      <c r="P33" s="883"/>
      <c r="Q33" s="883"/>
      <c r="R33" s="463"/>
      <c r="S33" s="876">
        <f t="shared" si="6"/>
        <v>0</v>
      </c>
      <c r="T33" s="868"/>
      <c r="U33" s="877"/>
      <c r="V33" s="405"/>
    </row>
    <row r="34" spans="2:22" x14ac:dyDescent="0.25">
      <c r="B34" s="452"/>
      <c r="C34" s="44"/>
      <c r="D34" s="43" t="s">
        <v>162</v>
      </c>
      <c r="E34" s="43"/>
      <c r="F34" s="43"/>
      <c r="G34" s="43"/>
      <c r="H34" s="43"/>
      <c r="I34" s="866">
        <f t="shared" si="4"/>
        <v>0</v>
      </c>
      <c r="J34" s="1366"/>
      <c r="K34" s="882">
        <f t="shared" si="5"/>
        <v>0</v>
      </c>
      <c r="L34" s="868"/>
      <c r="M34" s="883"/>
      <c r="N34" s="883"/>
      <c r="O34" s="883"/>
      <c r="P34" s="883"/>
      <c r="Q34" s="883"/>
      <c r="R34" s="463"/>
      <c r="S34" s="876">
        <f t="shared" si="6"/>
        <v>0</v>
      </c>
      <c r="T34" s="868"/>
      <c r="U34" s="877"/>
      <c r="V34" s="405"/>
    </row>
    <row r="35" spans="2:22" x14ac:dyDescent="0.25">
      <c r="B35" s="452"/>
      <c r="C35" s="44"/>
      <c r="D35" s="43" t="s">
        <v>163</v>
      </c>
      <c r="E35" s="43"/>
      <c r="F35" s="43"/>
      <c r="G35" s="43"/>
      <c r="H35" s="43"/>
      <c r="I35" s="866">
        <f t="shared" si="4"/>
        <v>0</v>
      </c>
      <c r="J35" s="1366"/>
      <c r="K35" s="882">
        <f t="shared" si="5"/>
        <v>0</v>
      </c>
      <c r="L35" s="868"/>
      <c r="M35" s="883"/>
      <c r="N35" s="883"/>
      <c r="O35" s="883"/>
      <c r="P35" s="883"/>
      <c r="Q35" s="883"/>
      <c r="R35" s="463"/>
      <c r="S35" s="876">
        <f t="shared" si="6"/>
        <v>0</v>
      </c>
      <c r="T35" s="868"/>
      <c r="U35" s="877"/>
      <c r="V35" s="405"/>
    </row>
    <row r="36" spans="2:22" x14ac:dyDescent="0.25">
      <c r="B36" s="452"/>
      <c r="C36" s="44"/>
      <c r="D36" s="43" t="s">
        <v>503</v>
      </c>
      <c r="E36" s="43"/>
      <c r="F36" s="43"/>
      <c r="G36" s="341">
        <f>IFERROR(J36/(J32+J34+J35+J44),)</f>
        <v>0.06</v>
      </c>
      <c r="H36" s="52"/>
      <c r="I36" s="866">
        <f t="shared" si="4"/>
        <v>3.5433399905435564E-2</v>
      </c>
      <c r="J36" s="2179">
        <f>J32*6%</f>
        <v>767608.44</v>
      </c>
      <c r="K36" s="882">
        <f t="shared" si="5"/>
        <v>750763.44</v>
      </c>
      <c r="L36" s="868"/>
      <c r="M36" s="883"/>
      <c r="N36" s="883">
        <f>J36-L36-M36-S36</f>
        <v>750763.44</v>
      </c>
      <c r="O36" s="883"/>
      <c r="P36" s="883"/>
      <c r="Q36" s="883"/>
      <c r="R36" s="463"/>
      <c r="S36" s="876">
        <f t="shared" si="6"/>
        <v>16845</v>
      </c>
      <c r="T36" s="868">
        <v>16845</v>
      </c>
      <c r="U36" s="877"/>
      <c r="V36" s="405"/>
    </row>
    <row r="37" spans="2:22" x14ac:dyDescent="0.25">
      <c r="B37" s="452"/>
      <c r="C37" s="44"/>
      <c r="D37" s="43" t="s">
        <v>165</v>
      </c>
      <c r="E37" s="43"/>
      <c r="F37" s="43"/>
      <c r="G37" s="341">
        <f>IFERROR(J37/(J33+J34+J35+J44),)</f>
        <v>0</v>
      </c>
      <c r="H37" s="52"/>
      <c r="I37" s="866">
        <f t="shared" si="4"/>
        <v>0</v>
      </c>
      <c r="J37" s="1366"/>
      <c r="K37" s="882">
        <f t="shared" si="5"/>
        <v>0</v>
      </c>
      <c r="L37" s="868"/>
      <c r="M37" s="883"/>
      <c r="N37" s="883"/>
      <c r="O37" s="883"/>
      <c r="P37" s="883"/>
      <c r="Q37" s="883"/>
      <c r="R37" s="463"/>
      <c r="S37" s="876">
        <f t="shared" si="6"/>
        <v>0</v>
      </c>
      <c r="T37" s="868"/>
      <c r="U37" s="877"/>
      <c r="V37" s="405"/>
    </row>
    <row r="38" spans="2:22" x14ac:dyDescent="0.25">
      <c r="B38" s="452"/>
      <c r="C38" s="44"/>
      <c r="D38" s="43" t="s">
        <v>166</v>
      </c>
      <c r="E38" s="43"/>
      <c r="F38" s="43"/>
      <c r="G38" s="43"/>
      <c r="H38" s="43"/>
      <c r="I38" s="866">
        <f t="shared" si="4"/>
        <v>0</v>
      </c>
      <c r="J38" s="1366"/>
      <c r="K38" s="882">
        <f t="shared" si="5"/>
        <v>0</v>
      </c>
      <c r="L38" s="868"/>
      <c r="M38" s="883"/>
      <c r="N38" s="883"/>
      <c r="O38" s="883"/>
      <c r="P38" s="883"/>
      <c r="Q38" s="883"/>
      <c r="R38" s="463"/>
      <c r="S38" s="876">
        <f t="shared" si="6"/>
        <v>0</v>
      </c>
      <c r="T38" s="868"/>
      <c r="U38" s="877"/>
      <c r="V38" s="405"/>
    </row>
    <row r="39" spans="2:22" x14ac:dyDescent="0.25">
      <c r="B39" s="452"/>
      <c r="C39" s="44"/>
      <c r="D39" s="43" t="s">
        <v>167</v>
      </c>
      <c r="E39" s="43"/>
      <c r="F39" s="43"/>
      <c r="G39" s="43"/>
      <c r="H39" s="43"/>
      <c r="I39" s="866">
        <f t="shared" si="4"/>
        <v>0</v>
      </c>
      <c r="J39" s="1366"/>
      <c r="K39" s="882">
        <f t="shared" si="5"/>
        <v>0</v>
      </c>
      <c r="L39" s="868"/>
      <c r="M39" s="883"/>
      <c r="N39" s="883"/>
      <c r="O39" s="883"/>
      <c r="P39" s="883"/>
      <c r="Q39" s="883"/>
      <c r="R39" s="463"/>
      <c r="S39" s="876">
        <f t="shared" si="6"/>
        <v>0</v>
      </c>
      <c r="T39" s="868"/>
      <c r="U39" s="877"/>
      <c r="V39" s="405"/>
    </row>
    <row r="40" spans="2:22" x14ac:dyDescent="0.25">
      <c r="B40" s="452"/>
      <c r="C40" s="44"/>
      <c r="D40" s="43" t="s">
        <v>168</v>
      </c>
      <c r="E40" s="43"/>
      <c r="F40" s="43"/>
      <c r="G40" s="43"/>
      <c r="H40" s="43"/>
      <c r="I40" s="866">
        <f t="shared" si="4"/>
        <v>0</v>
      </c>
      <c r="J40" s="1366"/>
      <c r="K40" s="882">
        <f t="shared" si="5"/>
        <v>0</v>
      </c>
      <c r="L40" s="868"/>
      <c r="M40" s="883"/>
      <c r="N40" s="883"/>
      <c r="O40" s="883"/>
      <c r="P40" s="883"/>
      <c r="Q40" s="883"/>
      <c r="R40" s="463"/>
      <c r="S40" s="876">
        <f t="shared" si="6"/>
        <v>0</v>
      </c>
      <c r="T40" s="868"/>
      <c r="U40" s="877"/>
      <c r="V40" s="405"/>
    </row>
    <row r="41" spans="2:22" x14ac:dyDescent="0.25">
      <c r="B41" s="452"/>
      <c r="C41" s="44"/>
      <c r="D41" s="43" t="s">
        <v>169</v>
      </c>
      <c r="E41" s="43"/>
      <c r="F41" s="43"/>
      <c r="G41" s="43"/>
      <c r="H41" s="43"/>
      <c r="I41" s="866">
        <f t="shared" si="4"/>
        <v>0</v>
      </c>
      <c r="J41" s="1366"/>
      <c r="K41" s="882">
        <f t="shared" si="5"/>
        <v>0</v>
      </c>
      <c r="L41" s="868"/>
      <c r="M41" s="883"/>
      <c r="N41" s="883"/>
      <c r="O41" s="883"/>
      <c r="P41" s="883"/>
      <c r="Q41" s="883"/>
      <c r="R41" s="463"/>
      <c r="S41" s="876">
        <f t="shared" si="6"/>
        <v>0</v>
      </c>
      <c r="T41" s="868"/>
      <c r="U41" s="877"/>
      <c r="V41" s="405"/>
    </row>
    <row r="42" spans="2:22" x14ac:dyDescent="0.25">
      <c r="B42" s="452"/>
      <c r="C42" s="44"/>
      <c r="D42" s="43" t="s">
        <v>170</v>
      </c>
      <c r="E42" s="43"/>
      <c r="F42" s="43"/>
      <c r="G42" s="43"/>
      <c r="H42" s="43"/>
      <c r="I42" s="866">
        <f t="shared" si="4"/>
        <v>0</v>
      </c>
      <c r="J42" s="1366"/>
      <c r="K42" s="882">
        <f t="shared" si="5"/>
        <v>0</v>
      </c>
      <c r="L42" s="868"/>
      <c r="M42" s="883"/>
      <c r="N42" s="883"/>
      <c r="O42" s="883"/>
      <c r="P42" s="883"/>
      <c r="Q42" s="883"/>
      <c r="R42" s="463"/>
      <c r="S42" s="876">
        <f t="shared" si="6"/>
        <v>0</v>
      </c>
      <c r="T42" s="868"/>
      <c r="U42" s="877"/>
      <c r="V42" s="405"/>
    </row>
    <row r="43" spans="2:22" x14ac:dyDescent="0.25">
      <c r="B43" s="452"/>
      <c r="C43" s="44"/>
      <c r="D43" s="43" t="s">
        <v>171</v>
      </c>
      <c r="E43" s="43"/>
      <c r="F43" s="43"/>
      <c r="G43" s="43"/>
      <c r="H43" s="43"/>
      <c r="I43" s="866">
        <f t="shared" si="4"/>
        <v>6.0095046239618727E-2</v>
      </c>
      <c r="J43" s="1366">
        <f>(J32+J36)*9.6%</f>
        <v>1301863.9142400001</v>
      </c>
      <c r="K43" s="882">
        <f t="shared" si="5"/>
        <v>1273294.9142400001</v>
      </c>
      <c r="L43" s="868">
        <f>J43-N43-S43</f>
        <v>341845.27200000011</v>
      </c>
      <c r="M43" s="883"/>
      <c r="N43" s="883">
        <f>(N32+N36)*9.6%</f>
        <v>931449.64223999996</v>
      </c>
      <c r="O43" s="883"/>
      <c r="P43" s="883"/>
      <c r="Q43" s="883"/>
      <c r="R43" s="463"/>
      <c r="S43" s="876">
        <f t="shared" si="6"/>
        <v>28569</v>
      </c>
      <c r="T43" s="868">
        <v>28569</v>
      </c>
      <c r="U43" s="877"/>
      <c r="V43" s="405"/>
    </row>
    <row r="44" spans="2:22" x14ac:dyDescent="0.25">
      <c r="B44" s="452"/>
      <c r="C44" s="44"/>
      <c r="D44" s="43" t="s">
        <v>172</v>
      </c>
      <c r="E44" s="43"/>
      <c r="F44" s="43"/>
      <c r="G44" s="43"/>
      <c r="H44" s="43"/>
      <c r="I44" s="866">
        <f t="shared" si="4"/>
        <v>0</v>
      </c>
      <c r="J44" s="1366"/>
      <c r="K44" s="882">
        <f t="shared" si="5"/>
        <v>0</v>
      </c>
      <c r="L44" s="868"/>
      <c r="M44" s="883"/>
      <c r="N44" s="883"/>
      <c r="O44" s="883"/>
      <c r="P44" s="883"/>
      <c r="Q44" s="883"/>
      <c r="R44" s="463"/>
      <c r="S44" s="876">
        <f t="shared" si="6"/>
        <v>0</v>
      </c>
      <c r="T44" s="868"/>
      <c r="U44" s="877"/>
      <c r="V44" s="405"/>
    </row>
    <row r="45" spans="2:22" x14ac:dyDescent="0.25">
      <c r="B45" s="452"/>
      <c r="C45" s="44"/>
      <c r="D45" s="43" t="s">
        <v>173</v>
      </c>
      <c r="E45" s="43"/>
      <c r="F45" s="43"/>
      <c r="G45" s="43"/>
      <c r="H45" s="43"/>
      <c r="I45" s="866">
        <f t="shared" si="4"/>
        <v>5.7700967803056549E-3</v>
      </c>
      <c r="J45" s="1366">
        <v>125000</v>
      </c>
      <c r="K45" s="882">
        <f t="shared" si="5"/>
        <v>125000</v>
      </c>
      <c r="L45" s="868"/>
      <c r="M45" s="883"/>
      <c r="N45" s="883">
        <f>J45-L45-M45-S45</f>
        <v>125000</v>
      </c>
      <c r="O45" s="883"/>
      <c r="P45" s="883"/>
      <c r="Q45" s="883"/>
      <c r="R45" s="463"/>
      <c r="S45" s="876">
        <f t="shared" si="6"/>
        <v>0</v>
      </c>
      <c r="T45" s="868"/>
      <c r="U45" s="877"/>
      <c r="V45" s="405"/>
    </row>
    <row r="46" spans="2:22" x14ac:dyDescent="0.25">
      <c r="B46" s="452"/>
      <c r="C46" s="44"/>
      <c r="D46" s="48" t="s">
        <v>426</v>
      </c>
      <c r="E46" s="2403" t="s">
        <v>1841</v>
      </c>
      <c r="F46" s="2404"/>
      <c r="G46" s="2405"/>
      <c r="H46" s="48"/>
      <c r="I46" s="870">
        <f t="shared" si="4"/>
        <v>1.6266292783255292E-2</v>
      </c>
      <c r="J46" s="1367">
        <f>(J32+J43)*2.5%</f>
        <v>352383.44785600004</v>
      </c>
      <c r="K46" s="884">
        <f t="shared" si="5"/>
        <v>346795.44785600004</v>
      </c>
      <c r="L46" s="885"/>
      <c r="M46" s="886"/>
      <c r="N46" s="886">
        <f>J46-L46-M46-S46</f>
        <v>346795.44785600004</v>
      </c>
      <c r="O46" s="886"/>
      <c r="P46" s="886"/>
      <c r="Q46" s="886"/>
      <c r="R46" s="463"/>
      <c r="S46" s="888">
        <f t="shared" si="6"/>
        <v>5588</v>
      </c>
      <c r="T46" s="885">
        <v>5588</v>
      </c>
      <c r="U46" s="889"/>
      <c r="V46" s="405"/>
    </row>
    <row r="47" spans="2:22" ht="15.75" thickBot="1" x14ac:dyDescent="0.3">
      <c r="B47" s="452"/>
      <c r="C47" s="44"/>
      <c r="D47" s="43"/>
      <c r="E47" s="43"/>
      <c r="F47" s="43"/>
      <c r="G47" s="47" t="s">
        <v>157</v>
      </c>
      <c r="H47" s="47"/>
      <c r="I47" s="342">
        <f t="shared" si="4"/>
        <v>0.7081215007992081</v>
      </c>
      <c r="J47" s="36">
        <f>SUM(J31:J46)</f>
        <v>15340329.802096</v>
      </c>
      <c r="K47" s="22">
        <f>SUM(K31:K46)</f>
        <v>15008574.802096</v>
      </c>
      <c r="L47" s="1536">
        <f>SUM(L31:L46)</f>
        <v>3902729.2719999999</v>
      </c>
      <c r="M47" s="1537">
        <f t="shared" ref="M47:Q47" si="7">SUM(M31:M46)</f>
        <v>0</v>
      </c>
      <c r="N47" s="1537">
        <f t="shared" si="7"/>
        <v>11105845.530096</v>
      </c>
      <c r="O47" s="1537">
        <f t="shared" si="7"/>
        <v>0</v>
      </c>
      <c r="P47" s="1537">
        <f t="shared" si="7"/>
        <v>0</v>
      </c>
      <c r="Q47" s="1537">
        <f t="shared" si="7"/>
        <v>0</v>
      </c>
      <c r="R47" s="464"/>
      <c r="S47" s="465">
        <f>SUM(S31:S46)</f>
        <v>331755</v>
      </c>
      <c r="T47" s="1536">
        <f t="shared" ref="T47:U47" si="8">SUM(T31:T46)</f>
        <v>331755</v>
      </c>
      <c r="U47" s="1538">
        <f t="shared" si="8"/>
        <v>0</v>
      </c>
      <c r="V47" s="405"/>
    </row>
    <row r="48" spans="2:22" ht="9" customHeight="1" thickBot="1" x14ac:dyDescent="0.3">
      <c r="B48" s="467"/>
      <c r="C48" s="28"/>
      <c r="D48" s="28"/>
      <c r="E48" s="28"/>
      <c r="F48" s="28"/>
      <c r="G48" s="28"/>
      <c r="H48" s="28"/>
      <c r="I48" s="412"/>
      <c r="J48" s="468"/>
      <c r="K48" s="469"/>
      <c r="L48" s="470"/>
      <c r="M48" s="29"/>
      <c r="N48" s="29"/>
      <c r="O48" s="29"/>
      <c r="P48" s="469"/>
      <c r="Q48" s="29"/>
      <c r="R48" s="471"/>
      <c r="S48" s="29"/>
      <c r="T48" s="470"/>
      <c r="U48" s="29"/>
      <c r="V48" s="413"/>
    </row>
    <row r="49" spans="2:22" ht="15.75" thickBot="1" x14ac:dyDescent="0.3">
      <c r="B49" s="452"/>
      <c r="C49" s="77" t="s">
        <v>174</v>
      </c>
      <c r="D49" s="77"/>
      <c r="E49" s="77"/>
      <c r="F49" s="77"/>
      <c r="G49" s="77"/>
      <c r="H49" s="46"/>
      <c r="I49" s="46"/>
      <c r="J49" s="46"/>
      <c r="K49" s="46"/>
      <c r="L49" s="454"/>
      <c r="M49" s="44"/>
      <c r="N49" s="44"/>
      <c r="O49" s="15"/>
      <c r="P49" s="461"/>
      <c r="Q49" s="461"/>
      <c r="R49" s="458"/>
      <c r="S49" s="67"/>
      <c r="T49" s="461"/>
      <c r="U49" s="461"/>
      <c r="V49" s="405"/>
    </row>
    <row r="50" spans="2:22" x14ac:dyDescent="0.25">
      <c r="B50" s="452"/>
      <c r="C50" s="44"/>
      <c r="D50" s="153" t="s">
        <v>175</v>
      </c>
      <c r="E50" s="153"/>
      <c r="F50" s="153"/>
      <c r="G50" s="153"/>
      <c r="H50" s="153"/>
      <c r="I50" s="862">
        <f t="shared" ref="I50:I63" si="9">IFERROR(J50/J$120," ")</f>
        <v>3.6928619393956192E-4</v>
      </c>
      <c r="J50" s="1368">
        <v>8000</v>
      </c>
      <c r="K50" s="880">
        <f t="shared" ref="K50:K62" si="10">SUM(L50:Q50)</f>
        <v>8000</v>
      </c>
      <c r="L50" s="864">
        <f>J50</f>
        <v>8000</v>
      </c>
      <c r="M50" s="881"/>
      <c r="N50" s="881"/>
      <c r="O50" s="881"/>
      <c r="P50" s="881"/>
      <c r="Q50" s="881"/>
      <c r="R50" s="462"/>
      <c r="S50" s="887">
        <f t="shared" ref="S50:S62" si="11">SUM(T50:U50)</f>
        <v>0</v>
      </c>
      <c r="T50" s="864"/>
      <c r="U50" s="875"/>
      <c r="V50" s="405"/>
    </row>
    <row r="51" spans="2:22" x14ac:dyDescent="0.25">
      <c r="B51" s="452"/>
      <c r="C51" s="44"/>
      <c r="D51" s="43" t="s">
        <v>176</v>
      </c>
      <c r="E51" s="43"/>
      <c r="F51" s="43"/>
      <c r="G51" s="43"/>
      <c r="H51" s="43"/>
      <c r="I51" s="866">
        <f t="shared" si="9"/>
        <v>2.3080387121222619E-4</v>
      </c>
      <c r="J51" s="1366">
        <v>5000</v>
      </c>
      <c r="K51" s="882">
        <f t="shared" si="10"/>
        <v>5000</v>
      </c>
      <c r="L51" s="868">
        <f>J51</f>
        <v>5000</v>
      </c>
      <c r="M51" s="883"/>
      <c r="N51" s="883"/>
      <c r="O51" s="883"/>
      <c r="P51" s="883"/>
      <c r="Q51" s="883"/>
      <c r="R51" s="463"/>
      <c r="S51" s="876">
        <f t="shared" si="11"/>
        <v>0</v>
      </c>
      <c r="T51" s="868"/>
      <c r="U51" s="877"/>
      <c r="V51" s="405"/>
    </row>
    <row r="52" spans="2:22" x14ac:dyDescent="0.25">
      <c r="B52" s="452"/>
      <c r="C52" s="44"/>
      <c r="D52" s="43" t="s">
        <v>177</v>
      </c>
      <c r="E52" s="43"/>
      <c r="F52" s="43"/>
      <c r="G52" s="43"/>
      <c r="H52" s="43"/>
      <c r="I52" s="866">
        <f t="shared" si="9"/>
        <v>3.4620580681833928E-2</v>
      </c>
      <c r="J52" s="1366">
        <v>750000</v>
      </c>
      <c r="K52" s="882">
        <f t="shared" si="10"/>
        <v>738104</v>
      </c>
      <c r="L52" s="868">
        <f>J52-M52-S52</f>
        <v>359804</v>
      </c>
      <c r="M52" s="883">
        <v>378300</v>
      </c>
      <c r="N52" s="883"/>
      <c r="O52" s="883"/>
      <c r="P52" s="883"/>
      <c r="Q52" s="883"/>
      <c r="R52" s="463"/>
      <c r="S52" s="876">
        <f t="shared" si="11"/>
        <v>11896</v>
      </c>
      <c r="T52" s="868">
        <v>11896</v>
      </c>
      <c r="U52" s="877"/>
      <c r="V52" s="405"/>
    </row>
    <row r="53" spans="2:22" x14ac:dyDescent="0.25">
      <c r="B53" s="452"/>
      <c r="C53" s="44"/>
      <c r="D53" s="43" t="s">
        <v>178</v>
      </c>
      <c r="E53" s="43"/>
      <c r="F53" s="43"/>
      <c r="G53" s="43"/>
      <c r="H53" s="43"/>
      <c r="I53" s="866">
        <f t="shared" si="9"/>
        <v>0</v>
      </c>
      <c r="J53" s="1366"/>
      <c r="K53" s="882">
        <f t="shared" si="10"/>
        <v>0</v>
      </c>
      <c r="L53" s="868"/>
      <c r="M53" s="883"/>
      <c r="N53" s="883"/>
      <c r="O53" s="883"/>
      <c r="P53" s="883"/>
      <c r="Q53" s="883"/>
      <c r="R53" s="463"/>
      <c r="S53" s="876">
        <f t="shared" si="11"/>
        <v>0</v>
      </c>
      <c r="T53" s="868"/>
      <c r="U53" s="877"/>
      <c r="V53" s="405"/>
    </row>
    <row r="54" spans="2:22" x14ac:dyDescent="0.25">
      <c r="B54" s="452"/>
      <c r="C54" s="44"/>
      <c r="D54" s="49" t="s">
        <v>179</v>
      </c>
      <c r="E54" s="49"/>
      <c r="F54" s="49"/>
      <c r="G54" s="49"/>
      <c r="H54" s="49"/>
      <c r="I54" s="866">
        <f t="shared" si="9"/>
        <v>2.3080387121222619E-4</v>
      </c>
      <c r="J54" s="1366">
        <v>5000</v>
      </c>
      <c r="K54" s="882">
        <f t="shared" si="10"/>
        <v>4921</v>
      </c>
      <c r="L54" s="868">
        <f>J54-S54</f>
        <v>4921</v>
      </c>
      <c r="M54" s="883"/>
      <c r="N54" s="883"/>
      <c r="O54" s="883"/>
      <c r="P54" s="883"/>
      <c r="Q54" s="883"/>
      <c r="R54" s="463"/>
      <c r="S54" s="876">
        <f t="shared" si="11"/>
        <v>79</v>
      </c>
      <c r="T54" s="868">
        <v>79</v>
      </c>
      <c r="U54" s="877"/>
      <c r="V54" s="405"/>
    </row>
    <row r="55" spans="2:22" x14ac:dyDescent="0.25">
      <c r="B55" s="452"/>
      <c r="C55" s="44"/>
      <c r="D55" s="43" t="s">
        <v>180</v>
      </c>
      <c r="E55" s="43"/>
      <c r="F55" s="43"/>
      <c r="G55" s="43"/>
      <c r="H55" s="43"/>
      <c r="I55" s="866">
        <f t="shared" si="9"/>
        <v>9.2321548484890475E-4</v>
      </c>
      <c r="J55" s="1366">
        <v>20000</v>
      </c>
      <c r="K55" s="882">
        <f t="shared" si="10"/>
        <v>19683</v>
      </c>
      <c r="L55" s="868">
        <f t="shared" ref="L55:L61" si="12">J55-S55</f>
        <v>19683</v>
      </c>
      <c r="M55" s="883"/>
      <c r="N55" s="883"/>
      <c r="O55" s="883"/>
      <c r="P55" s="883"/>
      <c r="Q55" s="883"/>
      <c r="R55" s="463"/>
      <c r="S55" s="876">
        <f t="shared" si="11"/>
        <v>317</v>
      </c>
      <c r="T55" s="868">
        <v>317</v>
      </c>
      <c r="U55" s="877"/>
      <c r="V55" s="405"/>
    </row>
    <row r="56" spans="2:22" x14ac:dyDescent="0.25">
      <c r="B56" s="452"/>
      <c r="C56" s="44"/>
      <c r="D56" s="43" t="s">
        <v>181</v>
      </c>
      <c r="E56" s="43"/>
      <c r="F56" s="43"/>
      <c r="G56" s="43"/>
      <c r="H56" s="43"/>
      <c r="I56" s="866">
        <f t="shared" si="9"/>
        <v>6.9241161363667856E-4</v>
      </c>
      <c r="J56" s="1366">
        <v>15000</v>
      </c>
      <c r="K56" s="882">
        <f t="shared" si="10"/>
        <v>14762</v>
      </c>
      <c r="L56" s="868">
        <f t="shared" si="12"/>
        <v>14762</v>
      </c>
      <c r="M56" s="883"/>
      <c r="N56" s="883"/>
      <c r="O56" s="883"/>
      <c r="P56" s="883"/>
      <c r="Q56" s="883"/>
      <c r="R56" s="463"/>
      <c r="S56" s="876">
        <f t="shared" si="11"/>
        <v>238</v>
      </c>
      <c r="T56" s="868">
        <v>238</v>
      </c>
      <c r="U56" s="877"/>
      <c r="V56" s="405"/>
    </row>
    <row r="57" spans="2:22" x14ac:dyDescent="0.25">
      <c r="B57" s="452"/>
      <c r="C57" s="44"/>
      <c r="D57" s="43" t="s">
        <v>182</v>
      </c>
      <c r="E57" s="43"/>
      <c r="F57" s="43"/>
      <c r="G57" s="43"/>
      <c r="H57" s="43"/>
      <c r="I57" s="866">
        <f t="shared" si="9"/>
        <v>3.692861939395619E-3</v>
      </c>
      <c r="J57" s="1366">
        <v>80000</v>
      </c>
      <c r="K57" s="882">
        <f t="shared" si="10"/>
        <v>79683</v>
      </c>
      <c r="L57" s="868">
        <f t="shared" si="12"/>
        <v>79683</v>
      </c>
      <c r="M57" s="883"/>
      <c r="N57" s="883"/>
      <c r="O57" s="883"/>
      <c r="P57" s="883"/>
      <c r="Q57" s="883"/>
      <c r="R57" s="463"/>
      <c r="S57" s="876">
        <f t="shared" si="11"/>
        <v>317</v>
      </c>
      <c r="T57" s="868">
        <v>317</v>
      </c>
      <c r="U57" s="877"/>
      <c r="V57" s="405"/>
    </row>
    <row r="58" spans="2:22" x14ac:dyDescent="0.25">
      <c r="B58" s="452"/>
      <c r="C58" s="44"/>
      <c r="D58" s="49" t="s">
        <v>183</v>
      </c>
      <c r="E58" s="49"/>
      <c r="F58" s="49"/>
      <c r="G58" s="49"/>
      <c r="H58" s="49"/>
      <c r="I58" s="866">
        <f t="shared" si="9"/>
        <v>4.5469793612810075E-2</v>
      </c>
      <c r="J58" s="1366">
        <f>585031+400000</f>
        <v>985031</v>
      </c>
      <c r="K58" s="882">
        <f t="shared" si="10"/>
        <v>985031</v>
      </c>
      <c r="L58" s="868">
        <f>J58-S58-O58</f>
        <v>585031</v>
      </c>
      <c r="M58" s="883"/>
      <c r="N58" s="883"/>
      <c r="O58" s="883">
        <v>400000</v>
      </c>
      <c r="P58" s="883"/>
      <c r="Q58" s="883"/>
      <c r="R58" s="463"/>
      <c r="S58" s="876">
        <f t="shared" si="11"/>
        <v>0</v>
      </c>
      <c r="T58" s="868"/>
      <c r="U58" s="877"/>
      <c r="V58" s="405"/>
    </row>
    <row r="59" spans="2:22" x14ac:dyDescent="0.25">
      <c r="B59" s="452"/>
      <c r="C59" s="44"/>
      <c r="D59" s="49" t="s">
        <v>184</v>
      </c>
      <c r="E59" s="49"/>
      <c r="F59" s="49"/>
      <c r="G59" s="49"/>
      <c r="H59" s="49"/>
      <c r="I59" s="866">
        <f t="shared" si="9"/>
        <v>1.8464309696978095E-2</v>
      </c>
      <c r="J59" s="1366">
        <v>400000</v>
      </c>
      <c r="K59" s="882">
        <f t="shared" si="10"/>
        <v>400000</v>
      </c>
      <c r="L59" s="868">
        <f t="shared" si="12"/>
        <v>400000</v>
      </c>
      <c r="M59" s="883"/>
      <c r="N59" s="883"/>
      <c r="O59" s="883"/>
      <c r="P59" s="883"/>
      <c r="Q59" s="883"/>
      <c r="R59" s="463"/>
      <c r="S59" s="876">
        <f t="shared" si="11"/>
        <v>0</v>
      </c>
      <c r="T59" s="868"/>
      <c r="U59" s="877"/>
      <c r="V59" s="405"/>
    </row>
    <row r="60" spans="2:22" x14ac:dyDescent="0.25">
      <c r="B60" s="452"/>
      <c r="C60" s="44"/>
      <c r="D60" s="49" t="s">
        <v>185</v>
      </c>
      <c r="E60" s="49"/>
      <c r="F60" s="49"/>
      <c r="G60" s="49"/>
      <c r="H60" s="49"/>
      <c r="I60" s="866">
        <f t="shared" si="9"/>
        <v>3.692861939395619E-3</v>
      </c>
      <c r="J60" s="1366">
        <v>80000</v>
      </c>
      <c r="K60" s="882">
        <f t="shared" si="10"/>
        <v>78731</v>
      </c>
      <c r="L60" s="890">
        <f t="shared" si="12"/>
        <v>78731</v>
      </c>
      <c r="M60" s="891"/>
      <c r="N60" s="891"/>
      <c r="O60" s="891"/>
      <c r="P60" s="891"/>
      <c r="Q60" s="891"/>
      <c r="R60" s="463"/>
      <c r="S60" s="876">
        <f t="shared" si="11"/>
        <v>1269</v>
      </c>
      <c r="T60" s="890">
        <v>1269</v>
      </c>
      <c r="U60" s="893"/>
      <c r="V60" s="405"/>
    </row>
    <row r="61" spans="2:22" x14ac:dyDescent="0.25">
      <c r="B61" s="452"/>
      <c r="C61" s="44"/>
      <c r="D61" s="82" t="s">
        <v>186</v>
      </c>
      <c r="E61" s="82"/>
      <c r="F61" s="82"/>
      <c r="G61" s="82"/>
      <c r="H61" s="82"/>
      <c r="I61" s="866">
        <f t="shared" si="9"/>
        <v>1.8464309696978095E-3</v>
      </c>
      <c r="J61" s="1366">
        <v>40000</v>
      </c>
      <c r="K61" s="882">
        <f t="shared" si="10"/>
        <v>39366</v>
      </c>
      <c r="L61" s="890">
        <f t="shared" si="12"/>
        <v>39366</v>
      </c>
      <c r="M61" s="891"/>
      <c r="N61" s="891"/>
      <c r="O61" s="891"/>
      <c r="P61" s="891"/>
      <c r="Q61" s="891"/>
      <c r="R61" s="463"/>
      <c r="S61" s="876">
        <f t="shared" si="11"/>
        <v>634</v>
      </c>
      <c r="T61" s="890">
        <v>634</v>
      </c>
      <c r="U61" s="893"/>
      <c r="V61" s="405"/>
    </row>
    <row r="62" spans="2:22" x14ac:dyDescent="0.25">
      <c r="B62" s="452"/>
      <c r="C62" s="44"/>
      <c r="D62" s="48" t="s">
        <v>426</v>
      </c>
      <c r="E62" s="2403"/>
      <c r="F62" s="2404"/>
      <c r="G62" s="2405"/>
      <c r="H62" s="48"/>
      <c r="I62" s="870">
        <f t="shared" si="9"/>
        <v>0</v>
      </c>
      <c r="J62" s="1367"/>
      <c r="K62" s="884">
        <f t="shared" si="10"/>
        <v>0</v>
      </c>
      <c r="L62" s="872"/>
      <c r="M62" s="892"/>
      <c r="N62" s="892"/>
      <c r="O62" s="892"/>
      <c r="P62" s="892"/>
      <c r="Q62" s="892"/>
      <c r="R62" s="463"/>
      <c r="S62" s="888">
        <f t="shared" si="11"/>
        <v>0</v>
      </c>
      <c r="T62" s="872"/>
      <c r="U62" s="879"/>
      <c r="V62" s="405"/>
    </row>
    <row r="63" spans="2:22" ht="15.75" thickBot="1" x14ac:dyDescent="0.3">
      <c r="B63" s="452"/>
      <c r="C63" s="44"/>
      <c r="D63" s="43"/>
      <c r="E63" s="43"/>
      <c r="F63" s="43"/>
      <c r="G63" s="47" t="s">
        <v>157</v>
      </c>
      <c r="H63" s="47"/>
      <c r="I63" s="342">
        <f t="shared" si="9"/>
        <v>0.11023335987496075</v>
      </c>
      <c r="J63" s="36">
        <f>SUM(J50:J62)</f>
        <v>2388031</v>
      </c>
      <c r="K63" s="22">
        <f>SUM(K50:K62)</f>
        <v>2373281</v>
      </c>
      <c r="L63" s="1536">
        <f>SUM(L50:L62)</f>
        <v>1594981</v>
      </c>
      <c r="M63" s="1537">
        <f t="shared" ref="M63:Q63" si="13">SUM(M50:M62)</f>
        <v>378300</v>
      </c>
      <c r="N63" s="1537">
        <f t="shared" si="13"/>
        <v>0</v>
      </c>
      <c r="O63" s="1537">
        <f t="shared" si="13"/>
        <v>400000</v>
      </c>
      <c r="P63" s="1537">
        <f t="shared" si="13"/>
        <v>0</v>
      </c>
      <c r="Q63" s="1537">
        <f t="shared" si="13"/>
        <v>0</v>
      </c>
      <c r="R63" s="464"/>
      <c r="S63" s="465">
        <f>SUM(S50:S62)</f>
        <v>14750</v>
      </c>
      <c r="T63" s="1536">
        <f t="shared" ref="T63:U63" si="14">SUM(T50:T62)</f>
        <v>14750</v>
      </c>
      <c r="U63" s="1538">
        <f t="shared" si="14"/>
        <v>0</v>
      </c>
      <c r="V63" s="405"/>
    </row>
    <row r="64" spans="2:22" ht="3.75" customHeight="1" x14ac:dyDescent="0.25">
      <c r="B64" s="452"/>
      <c r="C64" s="43"/>
      <c r="D64" s="43"/>
      <c r="E64" s="43"/>
      <c r="F64" s="43"/>
      <c r="G64" s="43"/>
      <c r="H64" s="43"/>
      <c r="I64" s="406"/>
      <c r="J64" s="472"/>
      <c r="K64" s="473"/>
      <c r="L64" s="474"/>
      <c r="M64" s="351"/>
      <c r="N64" s="351"/>
      <c r="O64" s="351"/>
      <c r="P64" s="473"/>
      <c r="Q64" s="351"/>
      <c r="R64" s="475"/>
      <c r="S64" s="351"/>
      <c r="T64" s="474"/>
      <c r="U64" s="351"/>
      <c r="V64" s="405"/>
    </row>
    <row r="65" spans="2:22" ht="15.75" thickBot="1" x14ac:dyDescent="0.3">
      <c r="B65" s="452"/>
      <c r="C65" s="77" t="s">
        <v>187</v>
      </c>
      <c r="D65" s="77"/>
      <c r="E65" s="77"/>
      <c r="F65" s="77"/>
      <c r="G65" s="77"/>
      <c r="H65" s="46"/>
      <c r="I65" s="46"/>
      <c r="J65" s="46"/>
      <c r="K65" s="46"/>
      <c r="L65" s="454"/>
      <c r="M65" s="44"/>
      <c r="N65" s="44"/>
      <c r="O65" s="15"/>
      <c r="P65" s="461"/>
      <c r="Q65" s="461"/>
      <c r="R65" s="458"/>
      <c r="S65" s="67"/>
      <c r="T65" s="461"/>
      <c r="U65" s="461"/>
      <c r="V65" s="405"/>
    </row>
    <row r="66" spans="2:22" x14ac:dyDescent="0.25">
      <c r="B66" s="452"/>
      <c r="C66" s="44"/>
      <c r="D66" s="153" t="s">
        <v>188</v>
      </c>
      <c r="E66" s="153"/>
      <c r="F66" s="153"/>
      <c r="G66" s="153"/>
      <c r="H66" s="153"/>
      <c r="I66" s="862">
        <f t="shared" ref="I66:I68" si="15">IFERROR(J66/J$120," ")</f>
        <v>6.9241161363667856E-4</v>
      </c>
      <c r="J66" s="1368">
        <v>15000</v>
      </c>
      <c r="K66" s="880">
        <f>SUM(L66:Q66)</f>
        <v>15000</v>
      </c>
      <c r="L66" s="864">
        <f>J66</f>
        <v>15000</v>
      </c>
      <c r="M66" s="881"/>
      <c r="N66" s="881"/>
      <c r="O66" s="881"/>
      <c r="P66" s="881"/>
      <c r="Q66" s="881"/>
      <c r="R66" s="462"/>
      <c r="S66" s="887">
        <f t="shared" ref="S66:S67" si="16">SUM(T66:U66)</f>
        <v>0</v>
      </c>
      <c r="T66" s="864"/>
      <c r="U66" s="875"/>
      <c r="V66" s="405"/>
    </row>
    <row r="67" spans="2:22" x14ac:dyDescent="0.25">
      <c r="B67" s="452"/>
      <c r="C67" s="44"/>
      <c r="D67" s="43" t="s">
        <v>189</v>
      </c>
      <c r="E67" s="43"/>
      <c r="F67" s="43"/>
      <c r="G67" s="43"/>
      <c r="H67" s="43"/>
      <c r="I67" s="870">
        <f t="shared" si="15"/>
        <v>8.0781354924279165E-4</v>
      </c>
      <c r="J67" s="1367">
        <v>17500</v>
      </c>
      <c r="K67" s="884">
        <f>SUM(L67:Q67)</f>
        <v>17500</v>
      </c>
      <c r="L67" s="885">
        <f>J67</f>
        <v>17500</v>
      </c>
      <c r="M67" s="886"/>
      <c r="N67" s="886"/>
      <c r="O67" s="886"/>
      <c r="P67" s="886"/>
      <c r="Q67" s="886"/>
      <c r="R67" s="463"/>
      <c r="S67" s="888">
        <f t="shared" si="16"/>
        <v>0</v>
      </c>
      <c r="T67" s="885"/>
      <c r="U67" s="889"/>
      <c r="V67" s="405"/>
    </row>
    <row r="68" spans="2:22" ht="15.75" thickBot="1" x14ac:dyDescent="0.3">
      <c r="B68" s="452"/>
      <c r="C68" s="44"/>
      <c r="D68" s="43"/>
      <c r="E68" s="43"/>
      <c r="F68" s="43"/>
      <c r="G68" s="47" t="s">
        <v>157</v>
      </c>
      <c r="H68" s="47"/>
      <c r="I68" s="342">
        <f t="shared" si="15"/>
        <v>1.5002251628794701E-3</v>
      </c>
      <c r="J68" s="36">
        <f>SUM(J66:J67)</f>
        <v>32500</v>
      </c>
      <c r="K68" s="22">
        <f>SUM(K66:K67)</f>
        <v>32500</v>
      </c>
      <c r="L68" s="1536">
        <f>SUM(L66:L67)</f>
        <v>32500</v>
      </c>
      <c r="M68" s="1537">
        <f t="shared" ref="M68:Q68" si="17">SUM(M66:M67)</f>
        <v>0</v>
      </c>
      <c r="N68" s="1537">
        <f t="shared" si="17"/>
        <v>0</v>
      </c>
      <c r="O68" s="1537">
        <f t="shared" si="17"/>
        <v>0</v>
      </c>
      <c r="P68" s="1537">
        <f t="shared" si="17"/>
        <v>0</v>
      </c>
      <c r="Q68" s="1537">
        <f t="shared" si="17"/>
        <v>0</v>
      </c>
      <c r="R68" s="464"/>
      <c r="S68" s="465">
        <f>SUM(S66:S67)</f>
        <v>0</v>
      </c>
      <c r="T68" s="1536">
        <f t="shared" ref="T68:U68" si="18">SUM(T66:T67)</f>
        <v>0</v>
      </c>
      <c r="U68" s="1538">
        <f t="shared" si="18"/>
        <v>0</v>
      </c>
      <c r="V68" s="405"/>
    </row>
    <row r="69" spans="2:22" ht="3.75" customHeight="1" x14ac:dyDescent="0.25">
      <c r="B69" s="452"/>
      <c r="C69" s="43"/>
      <c r="D69" s="47"/>
      <c r="E69" s="47"/>
      <c r="F69" s="47"/>
      <c r="G69" s="47"/>
      <c r="H69" s="47"/>
      <c r="I69" s="454"/>
      <c r="J69" s="454"/>
      <c r="K69" s="44"/>
      <c r="L69" s="16"/>
      <c r="M69" s="16"/>
      <c r="N69" s="16"/>
      <c r="O69" s="16"/>
      <c r="P69" s="44"/>
      <c r="Q69" s="16"/>
      <c r="R69" s="463"/>
      <c r="S69" s="16"/>
      <c r="T69" s="16"/>
      <c r="U69" s="16"/>
      <c r="V69" s="405"/>
    </row>
    <row r="70" spans="2:22" ht="15.75" thickBot="1" x14ac:dyDescent="0.3">
      <c r="B70" s="452"/>
      <c r="C70" s="77" t="s">
        <v>190</v>
      </c>
      <c r="D70" s="77"/>
      <c r="E70" s="77"/>
      <c r="F70" s="77"/>
      <c r="G70" s="77"/>
      <c r="H70" s="46"/>
      <c r="I70" s="46"/>
      <c r="J70" s="46"/>
      <c r="K70" s="46"/>
      <c r="L70" s="454"/>
      <c r="M70" s="44"/>
      <c r="N70" s="44"/>
      <c r="O70" s="15"/>
      <c r="P70" s="461"/>
      <c r="Q70" s="461"/>
      <c r="R70" s="458"/>
      <c r="S70" s="67"/>
      <c r="T70" s="461"/>
      <c r="U70" s="461"/>
      <c r="V70" s="405"/>
    </row>
    <row r="71" spans="2:22" x14ac:dyDescent="0.25">
      <c r="B71" s="452"/>
      <c r="C71" s="44"/>
      <c r="D71" s="153" t="s">
        <v>191</v>
      </c>
      <c r="E71" s="153"/>
      <c r="F71" s="153"/>
      <c r="G71" s="153"/>
      <c r="H71" s="153"/>
      <c r="I71" s="862">
        <f t="shared" ref="I71:I76" si="19">IFERROR(J71/J$120," ")</f>
        <v>5.0935183122341344E-3</v>
      </c>
      <c r="J71" s="1368">
        <v>110343</v>
      </c>
      <c r="K71" s="880">
        <f>SUM(L71:Q71)</f>
        <v>110343</v>
      </c>
      <c r="L71" s="864">
        <f t="shared" ref="L71:L73" si="20">J71</f>
        <v>110343</v>
      </c>
      <c r="M71" s="881"/>
      <c r="N71" s="881"/>
      <c r="O71" s="881"/>
      <c r="P71" s="881"/>
      <c r="Q71" s="881"/>
      <c r="R71" s="462"/>
      <c r="S71" s="887">
        <f t="shared" ref="S71:S75" si="21">SUM(T71:U71)</f>
        <v>0</v>
      </c>
      <c r="T71" s="864"/>
      <c r="U71" s="875"/>
      <c r="V71" s="405"/>
    </row>
    <row r="72" spans="2:22" x14ac:dyDescent="0.25">
      <c r="B72" s="452"/>
      <c r="C72" s="44"/>
      <c r="D72" s="43" t="s">
        <v>192</v>
      </c>
      <c r="E72" s="43"/>
      <c r="F72" s="43"/>
      <c r="G72" s="43"/>
      <c r="H72" s="43"/>
      <c r="I72" s="866">
        <f t="shared" si="19"/>
        <v>6.9241161363667856E-4</v>
      </c>
      <c r="J72" s="1366">
        <v>15000</v>
      </c>
      <c r="K72" s="882">
        <f>SUM(L72:Q72)</f>
        <v>15000</v>
      </c>
      <c r="L72" s="868">
        <f t="shared" si="20"/>
        <v>15000</v>
      </c>
      <c r="M72" s="883"/>
      <c r="N72" s="883"/>
      <c r="O72" s="883"/>
      <c r="P72" s="883"/>
      <c r="Q72" s="883"/>
      <c r="R72" s="463"/>
      <c r="S72" s="876">
        <f t="shared" si="21"/>
        <v>0</v>
      </c>
      <c r="T72" s="868"/>
      <c r="U72" s="877"/>
      <c r="V72" s="405"/>
    </row>
    <row r="73" spans="2:22" x14ac:dyDescent="0.25">
      <c r="B73" s="452"/>
      <c r="C73" s="44"/>
      <c r="D73" s="43" t="s">
        <v>193</v>
      </c>
      <c r="E73" s="43"/>
      <c r="F73" s="43"/>
      <c r="G73" s="43"/>
      <c r="H73" s="43"/>
      <c r="I73" s="866">
        <f t="shared" si="19"/>
        <v>1.1540193560611309E-3</v>
      </c>
      <c r="J73" s="1366">
        <v>25000</v>
      </c>
      <c r="K73" s="882">
        <f>SUM(L73:Q73)</f>
        <v>25000</v>
      </c>
      <c r="L73" s="868">
        <f t="shared" si="20"/>
        <v>25000</v>
      </c>
      <c r="M73" s="883"/>
      <c r="N73" s="883"/>
      <c r="O73" s="883"/>
      <c r="P73" s="883"/>
      <c r="Q73" s="883"/>
      <c r="R73" s="463"/>
      <c r="S73" s="876">
        <f t="shared" si="21"/>
        <v>0</v>
      </c>
      <c r="T73" s="868"/>
      <c r="U73" s="877"/>
      <c r="V73" s="405"/>
    </row>
    <row r="74" spans="2:22" x14ac:dyDescent="0.25">
      <c r="B74" s="452"/>
      <c r="C74" s="44"/>
      <c r="D74" s="43" t="s">
        <v>194</v>
      </c>
      <c r="E74" s="43"/>
      <c r="F74" s="43"/>
      <c r="G74" s="43"/>
      <c r="H74" s="43"/>
      <c r="I74" s="866">
        <f t="shared" si="19"/>
        <v>1.0696420768233652E-2</v>
      </c>
      <c r="J74" s="1366">
        <v>231721</v>
      </c>
      <c r="K74" s="882">
        <f>SUM(L74:Q74)</f>
        <v>231721</v>
      </c>
      <c r="L74" s="868"/>
      <c r="M74" s="883"/>
      <c r="N74" s="883">
        <f>J74</f>
        <v>231721</v>
      </c>
      <c r="O74" s="883"/>
      <c r="P74" s="883"/>
      <c r="Q74" s="883"/>
      <c r="R74" s="463"/>
      <c r="S74" s="876">
        <f t="shared" si="21"/>
        <v>0</v>
      </c>
      <c r="T74" s="868"/>
      <c r="U74" s="877"/>
      <c r="V74" s="405"/>
    </row>
    <row r="75" spans="2:22" x14ac:dyDescent="0.25">
      <c r="B75" s="452"/>
      <c r="C75" s="44"/>
      <c r="D75" s="43" t="s">
        <v>195</v>
      </c>
      <c r="E75" s="43"/>
      <c r="F75" s="43"/>
      <c r="G75" s="43"/>
      <c r="H75" s="43"/>
      <c r="I75" s="870">
        <f t="shared" si="19"/>
        <v>1.3370514420098505E-2</v>
      </c>
      <c r="J75" s="1367">
        <v>289651</v>
      </c>
      <c r="K75" s="894">
        <f>SUM(L75:Q75)</f>
        <v>289651</v>
      </c>
      <c r="L75" s="885"/>
      <c r="M75" s="886"/>
      <c r="N75" s="886">
        <f>J75</f>
        <v>289651</v>
      </c>
      <c r="O75" s="886"/>
      <c r="P75" s="886"/>
      <c r="Q75" s="886"/>
      <c r="R75" s="463"/>
      <c r="S75" s="888">
        <f t="shared" si="21"/>
        <v>0</v>
      </c>
      <c r="T75" s="885"/>
      <c r="U75" s="889"/>
      <c r="V75" s="405"/>
    </row>
    <row r="76" spans="2:22" ht="15.75" thickBot="1" x14ac:dyDescent="0.3">
      <c r="B76" s="452"/>
      <c r="C76" s="44"/>
      <c r="D76" s="43"/>
      <c r="E76" s="43"/>
      <c r="F76" s="43"/>
      <c r="G76" s="47" t="s">
        <v>157</v>
      </c>
      <c r="H76" s="47"/>
      <c r="I76" s="342">
        <f t="shared" si="19"/>
        <v>3.1006884470264104E-2</v>
      </c>
      <c r="J76" s="36">
        <f>SUM(J71:J75)</f>
        <v>671715</v>
      </c>
      <c r="K76" s="22">
        <f>SUM(K71:K75)</f>
        <v>671715</v>
      </c>
      <c r="L76" s="1536">
        <f>SUM(L71:L75)</f>
        <v>150343</v>
      </c>
      <c r="M76" s="1537">
        <f t="shared" ref="M76:Q76" si="22">SUM(M71:M75)</f>
        <v>0</v>
      </c>
      <c r="N76" s="1537">
        <f t="shared" si="22"/>
        <v>521372</v>
      </c>
      <c r="O76" s="1537">
        <f t="shared" si="22"/>
        <v>0</v>
      </c>
      <c r="P76" s="1537">
        <f t="shared" si="22"/>
        <v>0</v>
      </c>
      <c r="Q76" s="1537">
        <f t="shared" si="22"/>
        <v>0</v>
      </c>
      <c r="R76" s="464"/>
      <c r="S76" s="465">
        <f>SUM(S71:S75)</f>
        <v>0</v>
      </c>
      <c r="T76" s="1536">
        <f t="shared" ref="T76:U76" si="23">SUM(T71:T75)</f>
        <v>0</v>
      </c>
      <c r="U76" s="1538">
        <f t="shared" si="23"/>
        <v>0</v>
      </c>
      <c r="V76" s="405"/>
    </row>
    <row r="77" spans="2:22" ht="9" customHeight="1" thickBot="1" x14ac:dyDescent="0.3">
      <c r="B77" s="467"/>
      <c r="C77" s="28"/>
      <c r="D77" s="31"/>
      <c r="E77" s="31"/>
      <c r="F77" s="31"/>
      <c r="G77" s="31"/>
      <c r="H77" s="31"/>
      <c r="I77" s="412"/>
      <c r="J77" s="468"/>
      <c r="K77" s="469"/>
      <c r="L77" s="29"/>
      <c r="M77" s="29"/>
      <c r="N77" s="29"/>
      <c r="O77" s="29"/>
      <c r="P77" s="469"/>
      <c r="Q77" s="29"/>
      <c r="R77" s="471"/>
      <c r="S77" s="29"/>
      <c r="T77" s="29"/>
      <c r="U77" s="29"/>
      <c r="V77" s="413"/>
    </row>
    <row r="78" spans="2:22" ht="15.75" thickBot="1" x14ac:dyDescent="0.3">
      <c r="B78" s="452"/>
      <c r="C78" s="77" t="s">
        <v>196</v>
      </c>
      <c r="D78" s="77"/>
      <c r="E78" s="77"/>
      <c r="F78" s="77"/>
      <c r="G78" s="77"/>
      <c r="H78" s="46"/>
      <c r="I78" s="46"/>
      <c r="J78" s="46"/>
      <c r="K78" s="46"/>
      <c r="L78" s="16"/>
      <c r="M78" s="16"/>
      <c r="N78" s="16"/>
      <c r="O78" s="16"/>
      <c r="P78" s="44"/>
      <c r="Q78" s="16"/>
      <c r="R78" s="463"/>
      <c r="S78" s="16"/>
      <c r="T78" s="16"/>
      <c r="U78" s="16"/>
      <c r="V78" s="405"/>
    </row>
    <row r="79" spans="2:22" x14ac:dyDescent="0.25">
      <c r="B79" s="452"/>
      <c r="C79" s="44"/>
      <c r="D79" s="153" t="s">
        <v>197</v>
      </c>
      <c r="E79" s="153"/>
      <c r="F79" s="153"/>
      <c r="G79" s="153"/>
      <c r="H79" s="153"/>
      <c r="I79" s="862">
        <f t="shared" ref="I79:I87" si="24">IFERROR(J79/J$120," ")</f>
        <v>0</v>
      </c>
      <c r="J79" s="1368"/>
      <c r="K79" s="880">
        <f t="shared" ref="K79:K86" si="25">SUM(L79:Q79)</f>
        <v>0</v>
      </c>
      <c r="L79" s="864"/>
      <c r="M79" s="881"/>
      <c r="N79" s="881"/>
      <c r="O79" s="881"/>
      <c r="P79" s="881"/>
      <c r="Q79" s="881"/>
      <c r="R79" s="462"/>
      <c r="S79" s="887">
        <f t="shared" ref="S79:S86" si="26">SUM(T79:U79)</f>
        <v>0</v>
      </c>
      <c r="T79" s="864"/>
      <c r="U79" s="875"/>
      <c r="V79" s="405"/>
    </row>
    <row r="80" spans="2:22" x14ac:dyDescent="0.25">
      <c r="B80" s="452"/>
      <c r="C80" s="44"/>
      <c r="D80" s="43" t="s">
        <v>198</v>
      </c>
      <c r="E80" s="43"/>
      <c r="F80" s="43"/>
      <c r="G80" s="43"/>
      <c r="H80" s="43"/>
      <c r="I80" s="866">
        <f t="shared" si="24"/>
        <v>0</v>
      </c>
      <c r="J80" s="1366"/>
      <c r="K80" s="882">
        <f t="shared" si="25"/>
        <v>0</v>
      </c>
      <c r="L80" s="868"/>
      <c r="M80" s="883"/>
      <c r="N80" s="883"/>
      <c r="O80" s="883"/>
      <c r="P80" s="883"/>
      <c r="Q80" s="883"/>
      <c r="R80" s="463"/>
      <c r="S80" s="876">
        <f t="shared" si="26"/>
        <v>0</v>
      </c>
      <c r="T80" s="868"/>
      <c r="U80" s="877"/>
      <c r="V80" s="405"/>
    </row>
    <row r="81" spans="2:22" x14ac:dyDescent="0.25">
      <c r="B81" s="452"/>
      <c r="C81" s="44"/>
      <c r="D81" s="43" t="s">
        <v>199</v>
      </c>
      <c r="E81" s="43"/>
      <c r="F81" s="43"/>
      <c r="G81" s="43"/>
      <c r="H81" s="43"/>
      <c r="I81" s="866">
        <f t="shared" si="24"/>
        <v>0</v>
      </c>
      <c r="J81" s="1366"/>
      <c r="K81" s="882">
        <f t="shared" si="25"/>
        <v>0</v>
      </c>
      <c r="L81" s="868"/>
      <c r="M81" s="883"/>
      <c r="N81" s="883"/>
      <c r="O81" s="883"/>
      <c r="P81" s="883"/>
      <c r="Q81" s="883"/>
      <c r="R81" s="463"/>
      <c r="S81" s="876">
        <f t="shared" si="26"/>
        <v>0</v>
      </c>
      <c r="T81" s="868"/>
      <c r="U81" s="877"/>
      <c r="V81" s="405"/>
    </row>
    <row r="82" spans="2:22" x14ac:dyDescent="0.25">
      <c r="B82" s="452"/>
      <c r="C82" s="44"/>
      <c r="D82" s="48" t="s">
        <v>200</v>
      </c>
      <c r="E82" s="48"/>
      <c r="F82" s="48"/>
      <c r="G82" s="48"/>
      <c r="H82" s="48"/>
      <c r="I82" s="866">
        <f t="shared" si="24"/>
        <v>5.4930398133024982E-3</v>
      </c>
      <c r="J82" s="1366">
        <v>118998</v>
      </c>
      <c r="K82" s="882">
        <f t="shared" si="25"/>
        <v>118998</v>
      </c>
      <c r="L82" s="868"/>
      <c r="M82" s="883"/>
      <c r="N82" s="883">
        <f t="shared" ref="N82:N84" si="27">J82-S82</f>
        <v>118998</v>
      </c>
      <c r="O82" s="883"/>
      <c r="P82" s="883"/>
      <c r="Q82" s="883"/>
      <c r="R82" s="463"/>
      <c r="S82" s="876">
        <f t="shared" si="26"/>
        <v>0</v>
      </c>
      <c r="T82" s="868"/>
      <c r="U82" s="877"/>
      <c r="V82" s="405"/>
    </row>
    <row r="83" spans="2:22" x14ac:dyDescent="0.25">
      <c r="B83" s="452"/>
      <c r="C83" s="44"/>
      <c r="D83" s="48" t="s">
        <v>201</v>
      </c>
      <c r="E83" s="48"/>
      <c r="F83" s="48"/>
      <c r="G83" s="48"/>
      <c r="H83" s="48"/>
      <c r="I83" s="866">
        <f t="shared" si="24"/>
        <v>2.7696464545467142E-3</v>
      </c>
      <c r="J83" s="1366">
        <v>60000</v>
      </c>
      <c r="K83" s="882">
        <f t="shared" si="25"/>
        <v>60000</v>
      </c>
      <c r="L83" s="868"/>
      <c r="M83" s="883"/>
      <c r="N83" s="883">
        <f t="shared" si="27"/>
        <v>60000</v>
      </c>
      <c r="O83" s="883"/>
      <c r="P83" s="883"/>
      <c r="Q83" s="883"/>
      <c r="R83" s="463"/>
      <c r="S83" s="876">
        <f t="shared" si="26"/>
        <v>0</v>
      </c>
      <c r="T83" s="868"/>
      <c r="U83" s="877"/>
      <c r="V83" s="405"/>
    </row>
    <row r="84" spans="2:22" x14ac:dyDescent="0.25">
      <c r="B84" s="452"/>
      <c r="C84" s="44"/>
      <c r="D84" s="48" t="s">
        <v>202</v>
      </c>
      <c r="E84" s="48"/>
      <c r="F84" s="48"/>
      <c r="G84" s="48"/>
      <c r="H84" s="48"/>
      <c r="I84" s="866">
        <f t="shared" si="24"/>
        <v>1.3848232272733571E-3</v>
      </c>
      <c r="J84" s="1366">
        <v>30000</v>
      </c>
      <c r="K84" s="882">
        <f t="shared" si="25"/>
        <v>30000</v>
      </c>
      <c r="L84" s="868"/>
      <c r="M84" s="883"/>
      <c r="N84" s="883">
        <f t="shared" si="27"/>
        <v>30000</v>
      </c>
      <c r="O84" s="883"/>
      <c r="P84" s="883"/>
      <c r="Q84" s="883"/>
      <c r="R84" s="463"/>
      <c r="S84" s="876">
        <f t="shared" si="26"/>
        <v>0</v>
      </c>
      <c r="T84" s="868"/>
      <c r="U84" s="877"/>
      <c r="V84" s="405"/>
    </row>
    <row r="85" spans="2:22" x14ac:dyDescent="0.25">
      <c r="B85" s="452"/>
      <c r="C85" s="44"/>
      <c r="D85" s="49" t="s">
        <v>203</v>
      </c>
      <c r="E85" s="49"/>
      <c r="F85" s="49"/>
      <c r="G85" s="49"/>
      <c r="H85" s="49"/>
      <c r="I85" s="866">
        <f t="shared" si="24"/>
        <v>2.0772348409100355E-3</v>
      </c>
      <c r="J85" s="1366">
        <v>45000</v>
      </c>
      <c r="K85" s="882">
        <f t="shared" si="25"/>
        <v>45000</v>
      </c>
      <c r="L85" s="868"/>
      <c r="M85" s="883">
        <f>J85</f>
        <v>45000</v>
      </c>
      <c r="N85" s="883"/>
      <c r="O85" s="883"/>
      <c r="P85" s="883"/>
      <c r="Q85" s="883"/>
      <c r="R85" s="463"/>
      <c r="S85" s="876">
        <f t="shared" si="26"/>
        <v>0</v>
      </c>
      <c r="T85" s="868"/>
      <c r="U85" s="877"/>
      <c r="V85" s="405"/>
    </row>
    <row r="86" spans="2:22" x14ac:dyDescent="0.25">
      <c r="B86" s="452"/>
      <c r="C86" s="44"/>
      <c r="D86" s="48" t="s">
        <v>426</v>
      </c>
      <c r="E86" s="2403"/>
      <c r="F86" s="2404"/>
      <c r="G86" s="2405"/>
      <c r="H86" s="48"/>
      <c r="I86" s="870">
        <f t="shared" si="24"/>
        <v>0</v>
      </c>
      <c r="J86" s="1367"/>
      <c r="K86" s="894">
        <f t="shared" si="25"/>
        <v>0</v>
      </c>
      <c r="L86" s="885"/>
      <c r="M86" s="886"/>
      <c r="N86" s="886"/>
      <c r="O86" s="886"/>
      <c r="P86" s="886"/>
      <c r="Q86" s="886"/>
      <c r="R86" s="463"/>
      <c r="S86" s="888">
        <f t="shared" si="26"/>
        <v>0</v>
      </c>
      <c r="T86" s="885"/>
      <c r="U86" s="889"/>
      <c r="V86" s="405"/>
    </row>
    <row r="87" spans="2:22" ht="15.75" thickBot="1" x14ac:dyDescent="0.3">
      <c r="B87" s="452"/>
      <c r="C87" s="44"/>
      <c r="D87" s="43"/>
      <c r="E87" s="43"/>
      <c r="F87" s="43"/>
      <c r="G87" s="47" t="s">
        <v>157</v>
      </c>
      <c r="H87" s="47"/>
      <c r="I87" s="342">
        <f t="shared" si="24"/>
        <v>1.1724744336032605E-2</v>
      </c>
      <c r="J87" s="36">
        <f>SUM(J79:J86)</f>
        <v>253998</v>
      </c>
      <c r="K87" s="22">
        <f>SUM(K79:K86)</f>
        <v>253998</v>
      </c>
      <c r="L87" s="1536">
        <f>SUM(L79:L86)</f>
        <v>0</v>
      </c>
      <c r="M87" s="1537">
        <f t="shared" ref="M87:Q87" si="28">SUM(M79:M86)</f>
        <v>45000</v>
      </c>
      <c r="N87" s="1537">
        <f t="shared" si="28"/>
        <v>208998</v>
      </c>
      <c r="O87" s="1537">
        <f t="shared" si="28"/>
        <v>0</v>
      </c>
      <c r="P87" s="1537">
        <f t="shared" si="28"/>
        <v>0</v>
      </c>
      <c r="Q87" s="1537">
        <f t="shared" si="28"/>
        <v>0</v>
      </c>
      <c r="R87" s="464"/>
      <c r="S87" s="465">
        <f>SUM(S79:S86)</f>
        <v>0</v>
      </c>
      <c r="T87" s="1536">
        <f t="shared" ref="T87:U87" si="29">SUM(T79:T86)</f>
        <v>0</v>
      </c>
      <c r="U87" s="1538">
        <f t="shared" si="29"/>
        <v>0</v>
      </c>
      <c r="V87" s="405"/>
    </row>
    <row r="88" spans="2:22" ht="3.75" customHeight="1" x14ac:dyDescent="0.25">
      <c r="B88" s="452"/>
      <c r="C88" s="43"/>
      <c r="D88" s="43"/>
      <c r="E88" s="43"/>
      <c r="F88" s="43"/>
      <c r="G88" s="43"/>
      <c r="H88" s="43"/>
      <c r="I88" s="454"/>
      <c r="J88" s="466"/>
      <c r="K88" s="44"/>
      <c r="L88" s="16"/>
      <c r="M88" s="16"/>
      <c r="N88" s="16"/>
      <c r="O88" s="16"/>
      <c r="P88" s="44"/>
      <c r="Q88" s="16"/>
      <c r="R88" s="463"/>
      <c r="S88" s="16"/>
      <c r="T88" s="16"/>
      <c r="U88" s="16"/>
      <c r="V88" s="405"/>
    </row>
    <row r="89" spans="2:22" ht="15.75" thickBot="1" x14ac:dyDescent="0.3">
      <c r="B89" s="452"/>
      <c r="C89" s="77" t="s">
        <v>204</v>
      </c>
      <c r="D89" s="77"/>
      <c r="E89" s="77"/>
      <c r="F89" s="77"/>
      <c r="G89" s="77"/>
      <c r="H89" s="46"/>
      <c r="I89" s="46"/>
      <c r="J89" s="46"/>
      <c r="K89" s="46"/>
      <c r="L89" s="476"/>
      <c r="M89" s="19"/>
      <c r="N89" s="19"/>
      <c r="O89" s="19"/>
      <c r="P89" s="44"/>
      <c r="Q89" s="19"/>
      <c r="R89" s="463"/>
      <c r="S89" s="19"/>
      <c r="T89" s="19"/>
      <c r="U89" s="19"/>
      <c r="V89" s="405"/>
    </row>
    <row r="90" spans="2:22" x14ac:dyDescent="0.25">
      <c r="B90" s="452"/>
      <c r="C90" s="44"/>
      <c r="D90" s="154" t="s">
        <v>205</v>
      </c>
      <c r="E90" s="154"/>
      <c r="F90" s="154"/>
      <c r="G90" s="154"/>
      <c r="H90" s="154"/>
      <c r="I90" s="862">
        <f t="shared" ref="I90:I93" si="30">IFERROR(J90/J$120," ")</f>
        <v>1.0900912998127685E-2</v>
      </c>
      <c r="J90" s="1368">
        <v>236151</v>
      </c>
      <c r="K90" s="880">
        <f>SUM(L90:Q90)</f>
        <v>236151</v>
      </c>
      <c r="L90" s="864"/>
      <c r="M90" s="881"/>
      <c r="N90" s="881">
        <f t="shared" ref="N90:N91" si="31">J90-S90</f>
        <v>236151</v>
      </c>
      <c r="O90" s="881"/>
      <c r="P90" s="881"/>
      <c r="Q90" s="881"/>
      <c r="R90" s="462"/>
      <c r="S90" s="887">
        <f t="shared" ref="S90:S92" si="32">SUM(T90:U90)</f>
        <v>0</v>
      </c>
      <c r="T90" s="864"/>
      <c r="U90" s="875"/>
      <c r="V90" s="405"/>
    </row>
    <row r="91" spans="2:22" x14ac:dyDescent="0.25">
      <c r="B91" s="452"/>
      <c r="C91" s="44"/>
      <c r="D91" s="49" t="s">
        <v>206</v>
      </c>
      <c r="E91" s="49"/>
      <c r="F91" s="49"/>
      <c r="G91" s="49"/>
      <c r="H91" s="49"/>
      <c r="I91" s="866">
        <f t="shared" si="30"/>
        <v>2.723485680304269E-3</v>
      </c>
      <c r="J91" s="1366">
        <v>59000</v>
      </c>
      <c r="K91" s="882">
        <f>SUM(L91:Q91)</f>
        <v>59000</v>
      </c>
      <c r="L91" s="868"/>
      <c r="M91" s="883"/>
      <c r="N91" s="883">
        <f t="shared" si="31"/>
        <v>59000</v>
      </c>
      <c r="O91" s="883"/>
      <c r="P91" s="883"/>
      <c r="Q91" s="883"/>
      <c r="R91" s="463"/>
      <c r="S91" s="876">
        <f t="shared" si="32"/>
        <v>0</v>
      </c>
      <c r="T91" s="868"/>
      <c r="U91" s="877"/>
      <c r="V91" s="405"/>
    </row>
    <row r="92" spans="2:22" x14ac:dyDescent="0.25">
      <c r="B92" s="452"/>
      <c r="C92" s="44"/>
      <c r="D92" s="48" t="s">
        <v>426</v>
      </c>
      <c r="E92" s="2403"/>
      <c r="F92" s="2404"/>
      <c r="G92" s="2405"/>
      <c r="H92" s="48"/>
      <c r="I92" s="870">
        <f t="shared" si="30"/>
        <v>0</v>
      </c>
      <c r="J92" s="1367"/>
      <c r="K92" s="894">
        <f>SUM(L92:Q92)</f>
        <v>0</v>
      </c>
      <c r="L92" s="885"/>
      <c r="M92" s="886"/>
      <c r="N92" s="886"/>
      <c r="O92" s="886"/>
      <c r="P92" s="886"/>
      <c r="Q92" s="886"/>
      <c r="R92" s="463"/>
      <c r="S92" s="888">
        <f t="shared" si="32"/>
        <v>0</v>
      </c>
      <c r="T92" s="885"/>
      <c r="U92" s="889"/>
      <c r="V92" s="405"/>
    </row>
    <row r="93" spans="2:22" ht="15.75" thickBot="1" x14ac:dyDescent="0.3">
      <c r="B93" s="452"/>
      <c r="C93" s="44"/>
      <c r="D93" s="43"/>
      <c r="E93" s="43"/>
      <c r="F93" s="43"/>
      <c r="G93" s="47" t="s">
        <v>157</v>
      </c>
      <c r="H93" s="47"/>
      <c r="I93" s="342">
        <f t="shared" si="30"/>
        <v>1.3624398678431954E-2</v>
      </c>
      <c r="J93" s="36">
        <f>SUM(J90:J92)</f>
        <v>295151</v>
      </c>
      <c r="K93" s="22">
        <f>SUM(K90:K92)</f>
        <v>295151</v>
      </c>
      <c r="L93" s="1536">
        <f>SUM(L90:L92)</f>
        <v>0</v>
      </c>
      <c r="M93" s="1537">
        <f t="shared" ref="M93:Q93" si="33">SUM(M90:M92)</f>
        <v>0</v>
      </c>
      <c r="N93" s="1537">
        <f t="shared" si="33"/>
        <v>295151</v>
      </c>
      <c r="O93" s="1537">
        <f t="shared" si="33"/>
        <v>0</v>
      </c>
      <c r="P93" s="1537">
        <f t="shared" si="33"/>
        <v>0</v>
      </c>
      <c r="Q93" s="1537">
        <f t="shared" si="33"/>
        <v>0</v>
      </c>
      <c r="R93" s="464"/>
      <c r="S93" s="465">
        <f>SUM(S90:S92)</f>
        <v>0</v>
      </c>
      <c r="T93" s="1536">
        <f t="shared" ref="T93:U93" si="34">SUM(T90:T92)</f>
        <v>0</v>
      </c>
      <c r="U93" s="1538">
        <f t="shared" si="34"/>
        <v>0</v>
      </c>
      <c r="V93" s="405"/>
    </row>
    <row r="94" spans="2:22" ht="3.75" customHeight="1" x14ac:dyDescent="0.25">
      <c r="B94" s="452"/>
      <c r="C94" s="43"/>
      <c r="D94" s="43"/>
      <c r="E94" s="43"/>
      <c r="F94" s="43"/>
      <c r="G94" s="43"/>
      <c r="H94" s="43"/>
      <c r="I94" s="454"/>
      <c r="J94" s="466"/>
      <c r="K94" s="44"/>
      <c r="L94" s="75"/>
      <c r="M94" s="75"/>
      <c r="N94" s="75"/>
      <c r="O94" s="75"/>
      <c r="P94" s="44"/>
      <c r="Q94" s="75"/>
      <c r="R94" s="463"/>
      <c r="S94" s="75"/>
      <c r="T94" s="75"/>
      <c r="U94" s="75"/>
      <c r="V94" s="405"/>
    </row>
    <row r="95" spans="2:22" ht="15.75" thickBot="1" x14ac:dyDescent="0.3">
      <c r="B95" s="452"/>
      <c r="C95" s="77" t="s">
        <v>207</v>
      </c>
      <c r="D95" s="77"/>
      <c r="E95" s="77"/>
      <c r="F95" s="77"/>
      <c r="G95" s="77"/>
      <c r="H95" s="46"/>
      <c r="I95" s="46"/>
      <c r="J95" s="46"/>
      <c r="K95" s="46"/>
      <c r="L95" s="19"/>
      <c r="M95" s="19"/>
      <c r="N95" s="19"/>
      <c r="O95" s="19"/>
      <c r="P95" s="44"/>
      <c r="Q95" s="19"/>
      <c r="R95" s="463"/>
      <c r="S95" s="19"/>
      <c r="T95" s="19"/>
      <c r="U95" s="19"/>
      <c r="V95" s="405"/>
    </row>
    <row r="96" spans="2:22" x14ac:dyDescent="0.25">
      <c r="B96" s="452"/>
      <c r="C96" s="44"/>
      <c r="D96" s="154" t="s">
        <v>208</v>
      </c>
      <c r="E96" s="154"/>
      <c r="F96" s="154"/>
      <c r="G96" s="154"/>
      <c r="H96" s="154"/>
      <c r="I96" s="862">
        <f t="shared" ref="I96:I107" si="35">IFERROR(J96/J$120," ")</f>
        <v>2.4880657316677984E-4</v>
      </c>
      <c r="J96" s="1368">
        <v>5390</v>
      </c>
      <c r="K96" s="880">
        <f t="shared" ref="K96:K106" si="36">SUM(L96:Q96)</f>
        <v>5305</v>
      </c>
      <c r="L96" s="864"/>
      <c r="M96" s="881"/>
      <c r="N96" s="881">
        <f>J96-S96</f>
        <v>5305</v>
      </c>
      <c r="O96" s="881"/>
      <c r="P96" s="881"/>
      <c r="Q96" s="881"/>
      <c r="R96" s="462"/>
      <c r="S96" s="887">
        <f t="shared" ref="S96:S106" si="37">SUM(T96:U96)</f>
        <v>85</v>
      </c>
      <c r="T96" s="864">
        <v>85</v>
      </c>
      <c r="U96" s="875"/>
      <c r="V96" s="405"/>
    </row>
    <row r="97" spans="2:22" x14ac:dyDescent="0.25">
      <c r="B97" s="452"/>
      <c r="C97" s="44"/>
      <c r="D97" s="49" t="s">
        <v>209</v>
      </c>
      <c r="E97" s="49"/>
      <c r="F97" s="49"/>
      <c r="G97" s="49"/>
      <c r="H97" s="49"/>
      <c r="I97" s="866">
        <f t="shared" si="35"/>
        <v>4.6160774242445237E-3</v>
      </c>
      <c r="J97" s="1366">
        <v>100000</v>
      </c>
      <c r="K97" s="882">
        <f t="shared" si="36"/>
        <v>98414</v>
      </c>
      <c r="L97" s="868"/>
      <c r="M97" s="883"/>
      <c r="N97" s="883">
        <f>J97-S97</f>
        <v>98414</v>
      </c>
      <c r="O97" s="883"/>
      <c r="P97" s="883"/>
      <c r="Q97" s="883"/>
      <c r="R97" s="463"/>
      <c r="S97" s="876">
        <f t="shared" si="37"/>
        <v>1586</v>
      </c>
      <c r="T97" s="868">
        <v>1586</v>
      </c>
      <c r="U97" s="877"/>
      <c r="V97" s="405"/>
    </row>
    <row r="98" spans="2:22" x14ac:dyDescent="0.25">
      <c r="B98" s="452"/>
      <c r="C98" s="44"/>
      <c r="D98" s="49" t="s">
        <v>106</v>
      </c>
      <c r="E98" s="49"/>
      <c r="F98" s="49"/>
      <c r="G98" s="49"/>
      <c r="H98" s="49"/>
      <c r="I98" s="866">
        <f t="shared" si="35"/>
        <v>0</v>
      </c>
      <c r="J98" s="1366"/>
      <c r="K98" s="882">
        <f t="shared" si="36"/>
        <v>0</v>
      </c>
      <c r="L98" s="868"/>
      <c r="M98" s="883"/>
      <c r="N98" s="883"/>
      <c r="O98" s="883"/>
      <c r="P98" s="883"/>
      <c r="Q98" s="883"/>
      <c r="R98" s="463"/>
      <c r="S98" s="876">
        <f t="shared" si="37"/>
        <v>0</v>
      </c>
      <c r="T98" s="868"/>
      <c r="U98" s="877"/>
      <c r="V98" s="405"/>
    </row>
    <row r="99" spans="2:22" x14ac:dyDescent="0.25">
      <c r="B99" s="452"/>
      <c r="C99" s="44"/>
      <c r="D99" s="49" t="s">
        <v>210</v>
      </c>
      <c r="E99" s="49"/>
      <c r="F99" s="49"/>
      <c r="G99" s="49"/>
      <c r="H99" s="49"/>
      <c r="I99" s="866">
        <f t="shared" si="35"/>
        <v>1.3848232272733571E-4</v>
      </c>
      <c r="J99" s="1366">
        <v>3000</v>
      </c>
      <c r="K99" s="882">
        <f t="shared" si="36"/>
        <v>3000</v>
      </c>
      <c r="L99" s="868"/>
      <c r="M99" s="883"/>
      <c r="N99" s="883">
        <f>J99-S99</f>
        <v>3000</v>
      </c>
      <c r="O99" s="883"/>
      <c r="P99" s="883"/>
      <c r="Q99" s="883"/>
      <c r="R99" s="463"/>
      <c r="S99" s="876">
        <f t="shared" si="37"/>
        <v>0</v>
      </c>
      <c r="T99" s="868"/>
      <c r="U99" s="877"/>
      <c r="V99" s="405"/>
    </row>
    <row r="100" spans="2:22" x14ac:dyDescent="0.25">
      <c r="B100" s="452"/>
      <c r="C100" s="44"/>
      <c r="D100" s="49" t="s">
        <v>211</v>
      </c>
      <c r="E100" s="49"/>
      <c r="F100" s="49"/>
      <c r="G100" s="343" t="str">
        <f>IF(AND(J100&lt;&gt;0,'6E'!I58=0),"Complete Form 6E","")</f>
        <v/>
      </c>
      <c r="H100" s="49"/>
      <c r="I100" s="866">
        <f t="shared" si="35"/>
        <v>3.0078360496377316E-2</v>
      </c>
      <c r="J100" s="1366">
        <v>651600</v>
      </c>
      <c r="K100" s="882">
        <f t="shared" si="36"/>
        <v>649776</v>
      </c>
      <c r="L100" s="868"/>
      <c r="M100" s="883"/>
      <c r="N100" s="883">
        <f>J100-S100</f>
        <v>649776</v>
      </c>
      <c r="O100" s="883"/>
      <c r="P100" s="883"/>
      <c r="Q100" s="883"/>
      <c r="R100" s="463"/>
      <c r="S100" s="876">
        <f t="shared" si="37"/>
        <v>1824</v>
      </c>
      <c r="T100" s="868">
        <v>1824</v>
      </c>
      <c r="U100" s="877"/>
      <c r="V100" s="405"/>
    </row>
    <row r="101" spans="2:22" x14ac:dyDescent="0.25">
      <c r="B101" s="452"/>
      <c r="C101" s="44"/>
      <c r="D101" s="48" t="s">
        <v>212</v>
      </c>
      <c r="E101" s="48"/>
      <c r="F101" s="48"/>
      <c r="G101" s="343" t="str">
        <f>IF(AND(J101&lt;&gt;0,'6E'!I58=0),"Complete Form 6E","")</f>
        <v/>
      </c>
      <c r="H101" s="48"/>
      <c r="I101" s="866">
        <f t="shared" si="35"/>
        <v>0</v>
      </c>
      <c r="J101" s="1366"/>
      <c r="K101" s="882">
        <f t="shared" si="36"/>
        <v>0</v>
      </c>
      <c r="L101" s="868"/>
      <c r="M101" s="883"/>
      <c r="N101" s="883"/>
      <c r="O101" s="883"/>
      <c r="P101" s="883"/>
      <c r="Q101" s="883"/>
      <c r="R101" s="463"/>
      <c r="S101" s="876">
        <f t="shared" si="37"/>
        <v>0</v>
      </c>
      <c r="T101" s="868"/>
      <c r="U101" s="877"/>
      <c r="V101" s="405"/>
    </row>
    <row r="102" spans="2:22" x14ac:dyDescent="0.25">
      <c r="B102" s="452"/>
      <c r="C102" s="44"/>
      <c r="D102" s="48" t="s">
        <v>213</v>
      </c>
      <c r="E102" s="48"/>
      <c r="F102" s="48"/>
      <c r="G102" s="48"/>
      <c r="H102" s="48"/>
      <c r="I102" s="866">
        <f t="shared" si="35"/>
        <v>0</v>
      </c>
      <c r="J102" s="1366"/>
      <c r="K102" s="882">
        <f t="shared" si="36"/>
        <v>0</v>
      </c>
      <c r="L102" s="868"/>
      <c r="M102" s="883"/>
      <c r="N102" s="883"/>
      <c r="O102" s="883"/>
      <c r="P102" s="883"/>
      <c r="Q102" s="883"/>
      <c r="R102" s="463"/>
      <c r="S102" s="876">
        <f t="shared" si="37"/>
        <v>0</v>
      </c>
      <c r="T102" s="868"/>
      <c r="U102" s="877"/>
      <c r="V102" s="405"/>
    </row>
    <row r="103" spans="2:22" x14ac:dyDescent="0.25">
      <c r="B103" s="452"/>
      <c r="C103" s="44"/>
      <c r="D103" s="48" t="s">
        <v>214</v>
      </c>
      <c r="E103" s="48"/>
      <c r="F103" s="48"/>
      <c r="G103" s="48"/>
      <c r="H103" s="48"/>
      <c r="I103" s="866">
        <f t="shared" si="35"/>
        <v>1.1540193560611309E-3</v>
      </c>
      <c r="J103" s="1366">
        <v>25000</v>
      </c>
      <c r="K103" s="882">
        <f t="shared" si="36"/>
        <v>25000</v>
      </c>
      <c r="L103" s="868"/>
      <c r="M103" s="883"/>
      <c r="N103" s="883">
        <f>J103-S103</f>
        <v>25000</v>
      </c>
      <c r="O103" s="883"/>
      <c r="P103" s="883"/>
      <c r="Q103" s="883"/>
      <c r="R103" s="463"/>
      <c r="S103" s="876">
        <f t="shared" si="37"/>
        <v>0</v>
      </c>
      <c r="T103" s="868"/>
      <c r="U103" s="877"/>
      <c r="V103" s="405"/>
    </row>
    <row r="104" spans="2:22" x14ac:dyDescent="0.25">
      <c r="B104" s="452"/>
      <c r="C104" s="44"/>
      <c r="D104" s="49" t="s">
        <v>215</v>
      </c>
      <c r="E104" s="49"/>
      <c r="F104" s="49"/>
      <c r="G104" s="49"/>
      <c r="H104" s="49"/>
      <c r="I104" s="866">
        <f t="shared" si="35"/>
        <v>9.2321548484890475E-4</v>
      </c>
      <c r="J104" s="1366">
        <v>20000</v>
      </c>
      <c r="K104" s="882">
        <f t="shared" si="36"/>
        <v>20000</v>
      </c>
      <c r="L104" s="868"/>
      <c r="M104" s="883"/>
      <c r="N104" s="883">
        <f>J104-S104</f>
        <v>20000</v>
      </c>
      <c r="O104" s="883"/>
      <c r="P104" s="883"/>
      <c r="Q104" s="883"/>
      <c r="R104" s="463"/>
      <c r="S104" s="876">
        <f t="shared" si="37"/>
        <v>0</v>
      </c>
      <c r="T104" s="868"/>
      <c r="U104" s="877"/>
      <c r="V104" s="405"/>
    </row>
    <row r="105" spans="2:22" x14ac:dyDescent="0.25">
      <c r="B105" s="452"/>
      <c r="C105" s="44"/>
      <c r="D105" s="49" t="s">
        <v>216</v>
      </c>
      <c r="E105" s="48"/>
      <c r="F105" s="48"/>
      <c r="G105" s="48"/>
      <c r="H105" s="48"/>
      <c r="I105" s="866">
        <f t="shared" si="35"/>
        <v>2.3080387121222619E-3</v>
      </c>
      <c r="J105" s="1366">
        <v>50000</v>
      </c>
      <c r="K105" s="882">
        <f t="shared" si="36"/>
        <v>50000</v>
      </c>
      <c r="L105" s="868"/>
      <c r="M105" s="883"/>
      <c r="N105" s="883">
        <f>J105-S105</f>
        <v>50000</v>
      </c>
      <c r="O105" s="883"/>
      <c r="P105" s="883"/>
      <c r="Q105" s="883"/>
      <c r="R105" s="463"/>
      <c r="S105" s="876">
        <f t="shared" si="37"/>
        <v>0</v>
      </c>
      <c r="T105" s="868"/>
      <c r="U105" s="877"/>
      <c r="V105" s="405"/>
    </row>
    <row r="106" spans="2:22" x14ac:dyDescent="0.25">
      <c r="B106" s="452"/>
      <c r="C106" s="44"/>
      <c r="D106" s="49" t="s">
        <v>502</v>
      </c>
      <c r="E106" s="49"/>
      <c r="F106" s="49"/>
      <c r="G106" s="49"/>
      <c r="H106" s="49"/>
      <c r="I106" s="870">
        <f t="shared" si="35"/>
        <v>0</v>
      </c>
      <c r="J106" s="1367"/>
      <c r="K106" s="894">
        <f t="shared" si="36"/>
        <v>0</v>
      </c>
      <c r="L106" s="885"/>
      <c r="M106" s="886"/>
      <c r="N106" s="886">
        <f>J106</f>
        <v>0</v>
      </c>
      <c r="O106" s="886"/>
      <c r="P106" s="886"/>
      <c r="Q106" s="886"/>
      <c r="R106" s="463"/>
      <c r="S106" s="888">
        <f t="shared" si="37"/>
        <v>0</v>
      </c>
      <c r="T106" s="885"/>
      <c r="U106" s="889"/>
      <c r="V106" s="405"/>
    </row>
    <row r="107" spans="2:22" ht="15.75" thickBot="1" x14ac:dyDescent="0.3">
      <c r="B107" s="452"/>
      <c r="C107" s="44"/>
      <c r="D107" s="43"/>
      <c r="E107" s="43"/>
      <c r="F107" s="43"/>
      <c r="G107" s="47" t="s">
        <v>157</v>
      </c>
      <c r="H107" s="47"/>
      <c r="I107" s="342">
        <f t="shared" si="35"/>
        <v>3.9467000369548255E-2</v>
      </c>
      <c r="J107" s="36">
        <f>SUM(J96:J106)</f>
        <v>854990</v>
      </c>
      <c r="K107" s="22">
        <f>SUM(K96:K106)</f>
        <v>851495</v>
      </c>
      <c r="L107" s="1536">
        <f>SUM(L96:L106)</f>
        <v>0</v>
      </c>
      <c r="M107" s="1537">
        <f t="shared" ref="M107:Q107" si="38">SUM(M96:M106)</f>
        <v>0</v>
      </c>
      <c r="N107" s="1537">
        <f t="shared" si="38"/>
        <v>851495</v>
      </c>
      <c r="O107" s="1537">
        <f t="shared" si="38"/>
        <v>0</v>
      </c>
      <c r="P107" s="1537">
        <f t="shared" si="38"/>
        <v>0</v>
      </c>
      <c r="Q107" s="1537">
        <f t="shared" si="38"/>
        <v>0</v>
      </c>
      <c r="R107" s="464"/>
      <c r="S107" s="465">
        <f>SUM(S96:S106)</f>
        <v>3495</v>
      </c>
      <c r="T107" s="1536">
        <f t="shared" ref="T107:U107" si="39">SUM(T96:T106)</f>
        <v>3495</v>
      </c>
      <c r="U107" s="1538">
        <f t="shared" si="39"/>
        <v>0</v>
      </c>
      <c r="V107" s="405"/>
    </row>
    <row r="108" spans="2:22" ht="9" customHeight="1" thickBot="1" x14ac:dyDescent="0.3">
      <c r="B108" s="467"/>
      <c r="C108" s="30"/>
      <c r="D108" s="31"/>
      <c r="E108" s="31"/>
      <c r="F108" s="31"/>
      <c r="G108" s="31"/>
      <c r="H108" s="31"/>
      <c r="I108" s="412"/>
      <c r="J108" s="468"/>
      <c r="K108" s="477"/>
      <c r="L108" s="32"/>
      <c r="M108" s="32"/>
      <c r="N108" s="32"/>
      <c r="O108" s="32"/>
      <c r="P108" s="477"/>
      <c r="Q108" s="32"/>
      <c r="R108" s="478"/>
      <c r="S108" s="32"/>
      <c r="T108" s="32"/>
      <c r="U108" s="32"/>
      <c r="V108" s="413"/>
    </row>
    <row r="109" spans="2:22" ht="3.75" customHeight="1" x14ac:dyDescent="0.25">
      <c r="B109" s="452"/>
      <c r="C109" s="46"/>
      <c r="D109" s="47"/>
      <c r="E109" s="47"/>
      <c r="F109" s="47"/>
      <c r="G109" s="47"/>
      <c r="H109" s="47"/>
      <c r="I109" s="454"/>
      <c r="J109" s="454"/>
      <c r="K109" s="44"/>
      <c r="L109" s="16"/>
      <c r="M109" s="16"/>
      <c r="N109" s="16"/>
      <c r="O109" s="16"/>
      <c r="P109" s="44"/>
      <c r="Q109" s="16"/>
      <c r="R109" s="463"/>
      <c r="S109" s="16"/>
      <c r="T109" s="16"/>
      <c r="U109" s="16"/>
      <c r="V109" s="405"/>
    </row>
    <row r="110" spans="2:22" ht="15.75" thickBot="1" x14ac:dyDescent="0.3">
      <c r="B110" s="452"/>
      <c r="C110" s="77" t="s">
        <v>218</v>
      </c>
      <c r="D110" s="77"/>
      <c r="E110" s="77"/>
      <c r="F110" s="77"/>
      <c r="G110" s="77"/>
      <c r="H110" s="46"/>
      <c r="I110" s="46"/>
      <c r="J110" s="46"/>
      <c r="K110" s="46"/>
      <c r="L110" s="16"/>
      <c r="M110" s="16"/>
      <c r="N110" s="16"/>
      <c r="O110" s="16"/>
      <c r="P110" s="67"/>
      <c r="Q110" s="16"/>
      <c r="R110" s="463"/>
      <c r="S110" s="16"/>
      <c r="T110" s="16"/>
      <c r="U110" s="16"/>
      <c r="V110" s="405"/>
    </row>
    <row r="111" spans="2:22" x14ac:dyDescent="0.25">
      <c r="B111" s="452"/>
      <c r="C111" s="67"/>
      <c r="D111" s="153" t="s">
        <v>219</v>
      </c>
      <c r="E111" s="153"/>
      <c r="F111" s="153"/>
      <c r="G111" s="153"/>
      <c r="H111" s="153"/>
      <c r="I111" s="862">
        <f t="shared" ref="I111:I118" si="40">IFERROR(J111/J$120," ")</f>
        <v>0</v>
      </c>
      <c r="J111" s="1368"/>
      <c r="K111" s="880">
        <f t="shared" ref="K111:K117" si="41">SUM(L111:Q111)</f>
        <v>0</v>
      </c>
      <c r="L111" s="864"/>
      <c r="M111" s="881"/>
      <c r="N111" s="881"/>
      <c r="O111" s="881"/>
      <c r="P111" s="881"/>
      <c r="Q111" s="881"/>
      <c r="R111" s="462"/>
      <c r="S111" s="887">
        <f t="shared" ref="S111:S117" si="42">SUM(T111:U111)</f>
        <v>0</v>
      </c>
      <c r="T111" s="864"/>
      <c r="U111" s="875"/>
      <c r="V111" s="405"/>
    </row>
    <row r="112" spans="2:22" x14ac:dyDescent="0.25">
      <c r="B112" s="452"/>
      <c r="C112" s="67"/>
      <c r="D112" s="43" t="s">
        <v>220</v>
      </c>
      <c r="E112" s="43"/>
      <c r="F112" s="43"/>
      <c r="G112" s="43"/>
      <c r="H112" s="43"/>
      <c r="I112" s="866">
        <f t="shared" si="40"/>
        <v>0</v>
      </c>
      <c r="J112" s="1366"/>
      <c r="K112" s="895">
        <f t="shared" si="41"/>
        <v>0</v>
      </c>
      <c r="L112" s="868"/>
      <c r="M112" s="883"/>
      <c r="N112" s="883"/>
      <c r="O112" s="883"/>
      <c r="P112" s="883"/>
      <c r="Q112" s="883"/>
      <c r="R112" s="463"/>
      <c r="S112" s="898">
        <f t="shared" si="42"/>
        <v>0</v>
      </c>
      <c r="T112" s="868"/>
      <c r="U112" s="877"/>
      <c r="V112" s="405"/>
    </row>
    <row r="113" spans="2:22" x14ac:dyDescent="0.25">
      <c r="B113" s="452"/>
      <c r="C113" s="44"/>
      <c r="D113" s="43" t="s">
        <v>221</v>
      </c>
      <c r="E113" s="43"/>
      <c r="F113" s="43"/>
      <c r="G113" s="43"/>
      <c r="H113" s="43"/>
      <c r="I113" s="866">
        <f t="shared" si="40"/>
        <v>0</v>
      </c>
      <c r="J113" s="1366"/>
      <c r="K113" s="895">
        <f t="shared" si="41"/>
        <v>0</v>
      </c>
      <c r="L113" s="868"/>
      <c r="M113" s="883"/>
      <c r="N113" s="883"/>
      <c r="O113" s="883"/>
      <c r="P113" s="883"/>
      <c r="Q113" s="883"/>
      <c r="R113" s="463"/>
      <c r="S113" s="898">
        <f t="shared" si="42"/>
        <v>0</v>
      </c>
      <c r="T113" s="868"/>
      <c r="U113" s="877"/>
      <c r="V113" s="405"/>
    </row>
    <row r="114" spans="2:22" x14ac:dyDescent="0.25">
      <c r="B114" s="452"/>
      <c r="C114" s="44"/>
      <c r="D114" s="43" t="s">
        <v>222</v>
      </c>
      <c r="E114" s="43"/>
      <c r="F114" s="43"/>
      <c r="G114" s="43"/>
      <c r="H114" s="43"/>
      <c r="I114" s="866">
        <f>IFERROR(J114/J$120," ")</f>
        <v>0</v>
      </c>
      <c r="J114" s="1366"/>
      <c r="K114" s="895">
        <f t="shared" si="41"/>
        <v>0</v>
      </c>
      <c r="L114" s="868"/>
      <c r="M114" s="883"/>
      <c r="N114" s="883"/>
      <c r="O114" s="883"/>
      <c r="P114" s="883"/>
      <c r="Q114" s="883"/>
      <c r="R114" s="463"/>
      <c r="S114" s="898">
        <f t="shared" si="42"/>
        <v>0</v>
      </c>
      <c r="T114" s="868"/>
      <c r="U114" s="877"/>
      <c r="V114" s="405"/>
    </row>
    <row r="115" spans="2:22" x14ac:dyDescent="0.25">
      <c r="B115" s="452"/>
      <c r="C115" s="44"/>
      <c r="D115" s="43" t="s">
        <v>223</v>
      </c>
      <c r="E115" s="43"/>
      <c r="F115" s="43"/>
      <c r="G115" s="43"/>
      <c r="H115" s="43"/>
      <c r="I115" s="866">
        <f t="shared" si="40"/>
        <v>0</v>
      </c>
      <c r="J115" s="1366"/>
      <c r="K115" s="895">
        <f t="shared" si="41"/>
        <v>0</v>
      </c>
      <c r="L115" s="868"/>
      <c r="M115" s="883"/>
      <c r="N115" s="883"/>
      <c r="O115" s="883"/>
      <c r="P115" s="883"/>
      <c r="Q115" s="883"/>
      <c r="R115" s="463"/>
      <c r="S115" s="898">
        <f t="shared" si="42"/>
        <v>0</v>
      </c>
      <c r="T115" s="868"/>
      <c r="U115" s="877"/>
      <c r="V115" s="405"/>
    </row>
    <row r="116" spans="2:22" x14ac:dyDescent="0.25">
      <c r="B116" s="452"/>
      <c r="C116" s="44"/>
      <c r="D116" s="43" t="s">
        <v>224</v>
      </c>
      <c r="E116" s="43"/>
      <c r="F116" s="43"/>
      <c r="G116" s="43"/>
      <c r="H116" s="43"/>
      <c r="I116" s="866">
        <f t="shared" si="40"/>
        <v>0</v>
      </c>
      <c r="J116" s="1366"/>
      <c r="K116" s="895">
        <f t="shared" si="41"/>
        <v>0</v>
      </c>
      <c r="L116" s="868"/>
      <c r="M116" s="883"/>
      <c r="N116" s="883"/>
      <c r="O116" s="883"/>
      <c r="P116" s="883"/>
      <c r="Q116" s="883"/>
      <c r="R116" s="463"/>
      <c r="S116" s="898">
        <f t="shared" si="42"/>
        <v>0</v>
      </c>
      <c r="T116" s="868"/>
      <c r="U116" s="877"/>
      <c r="V116" s="405"/>
    </row>
    <row r="117" spans="2:22" x14ac:dyDescent="0.25">
      <c r="B117" s="452"/>
      <c r="C117" s="44"/>
      <c r="D117" s="43" t="s">
        <v>225</v>
      </c>
      <c r="E117" s="43"/>
      <c r="F117" s="43"/>
      <c r="G117" s="43"/>
      <c r="H117" s="43"/>
      <c r="I117" s="896">
        <f t="shared" si="40"/>
        <v>0</v>
      </c>
      <c r="J117" s="1367"/>
      <c r="K117" s="897">
        <f t="shared" si="41"/>
        <v>0</v>
      </c>
      <c r="L117" s="885"/>
      <c r="M117" s="886"/>
      <c r="N117" s="886"/>
      <c r="O117" s="886"/>
      <c r="P117" s="886"/>
      <c r="Q117" s="886"/>
      <c r="R117" s="463"/>
      <c r="S117" s="900">
        <f t="shared" si="42"/>
        <v>0</v>
      </c>
      <c r="T117" s="885"/>
      <c r="U117" s="889"/>
      <c r="V117" s="405"/>
    </row>
    <row r="118" spans="2:22" ht="15.75" thickBot="1" x14ac:dyDescent="0.3">
      <c r="B118" s="452"/>
      <c r="C118" s="44"/>
      <c r="D118" s="43"/>
      <c r="E118" s="43"/>
      <c r="F118" s="43"/>
      <c r="G118" s="47" t="s">
        <v>157</v>
      </c>
      <c r="H118" s="47"/>
      <c r="I118" s="342">
        <f t="shared" si="40"/>
        <v>0</v>
      </c>
      <c r="J118" s="36">
        <f>SUM(J111:J117)</f>
        <v>0</v>
      </c>
      <c r="K118" s="22">
        <f>SUM(K111:K117)</f>
        <v>0</v>
      </c>
      <c r="L118" s="1536">
        <f>SUM(L111:L117)</f>
        <v>0</v>
      </c>
      <c r="M118" s="1537">
        <f t="shared" ref="M118:Q118" si="43">SUM(M111:M117)</f>
        <v>0</v>
      </c>
      <c r="N118" s="1537">
        <f t="shared" si="43"/>
        <v>0</v>
      </c>
      <c r="O118" s="1537">
        <f t="shared" si="43"/>
        <v>0</v>
      </c>
      <c r="P118" s="1537">
        <f t="shared" si="43"/>
        <v>0</v>
      </c>
      <c r="Q118" s="1537">
        <f t="shared" si="43"/>
        <v>0</v>
      </c>
      <c r="R118" s="464"/>
      <c r="S118" s="899">
        <f>SUM(S111:S117)</f>
        <v>0</v>
      </c>
      <c r="T118" s="1539">
        <f t="shared" ref="T118:U118" si="44">SUM(T111:T117)</f>
        <v>0</v>
      </c>
      <c r="U118" s="1540">
        <f t="shared" si="44"/>
        <v>0</v>
      </c>
      <c r="V118" s="405"/>
    </row>
    <row r="119" spans="2:22" ht="7.5" customHeight="1" thickBot="1" x14ac:dyDescent="0.3">
      <c r="B119" s="452"/>
      <c r="C119" s="49"/>
      <c r="D119" s="43"/>
      <c r="E119" s="43"/>
      <c r="F119" s="43"/>
      <c r="G119" s="43"/>
      <c r="H119" s="43"/>
      <c r="I119" s="44"/>
      <c r="J119" s="20"/>
      <c r="K119" s="44"/>
      <c r="L119" s="20"/>
      <c r="M119" s="20"/>
      <c r="N119" s="20"/>
      <c r="O119" s="20"/>
      <c r="P119" s="44"/>
      <c r="Q119" s="20"/>
      <c r="R119" s="463"/>
      <c r="S119" s="20"/>
      <c r="T119" s="20"/>
      <c r="U119" s="20"/>
      <c r="V119" s="405"/>
    </row>
    <row r="120" spans="2:22" ht="15.75" thickBot="1" x14ac:dyDescent="0.3">
      <c r="B120" s="452"/>
      <c r="C120" s="155" t="s">
        <v>226</v>
      </c>
      <c r="D120" s="156"/>
      <c r="E120" s="156"/>
      <c r="F120" s="156"/>
      <c r="G120" s="156"/>
      <c r="H120" s="156"/>
      <c r="I120" s="34"/>
      <c r="J120" s="25">
        <f>J28+J47+J63+J68+J76+J87+J93+J107+J118</f>
        <v>21663414.802096002</v>
      </c>
      <c r="K120" s="21">
        <f>K28+K47+K63+K68+K76+K87+K93+K107+K118</f>
        <v>21313414.802096002</v>
      </c>
      <c r="L120" s="479"/>
      <c r="M120" s="479"/>
      <c r="N120" s="479"/>
      <c r="O120" s="479"/>
      <c r="P120" s="479"/>
      <c r="Q120" s="479"/>
      <c r="R120" s="462"/>
      <c r="S120" s="23">
        <f>S28+S47+S63+S68+S76+S87+S93+S107+S118</f>
        <v>350000</v>
      </c>
      <c r="T120" s="479"/>
      <c r="U120" s="480"/>
      <c r="V120" s="405"/>
    </row>
    <row r="121" spans="2:22" ht="15.75" thickBot="1" x14ac:dyDescent="0.3">
      <c r="B121" s="452"/>
      <c r="C121" s="157" t="s">
        <v>227</v>
      </c>
      <c r="D121" s="158"/>
      <c r="E121" s="158"/>
      <c r="F121" s="158"/>
      <c r="G121" s="158"/>
      <c r="H121" s="158"/>
      <c r="I121" s="35"/>
      <c r="J121" s="24">
        <f>(K121+S121)</f>
        <v>21663414.802096002</v>
      </c>
      <c r="K121" s="22">
        <f>SUM(L121:Q121)</f>
        <v>21313414.802096002</v>
      </c>
      <c r="L121" s="1541">
        <f t="shared" ref="L121:Q121" si="45">L28+L47+L63+L68+L76+L87+L93+L107+L118</f>
        <v>5680553.2719999999</v>
      </c>
      <c r="M121" s="1542">
        <f t="shared" si="45"/>
        <v>2250000</v>
      </c>
      <c r="N121" s="1542">
        <f t="shared" si="45"/>
        <v>12982861.530096</v>
      </c>
      <c r="O121" s="1542">
        <f t="shared" si="45"/>
        <v>400000</v>
      </c>
      <c r="P121" s="1542">
        <f t="shared" si="45"/>
        <v>0</v>
      </c>
      <c r="Q121" s="1542">
        <f t="shared" si="45"/>
        <v>0</v>
      </c>
      <c r="R121" s="481"/>
      <c r="S121" s="465">
        <f>SUM(T121:U121)</f>
        <v>350000</v>
      </c>
      <c r="T121" s="1541">
        <f>T28+T47+T63+T68+T76+T87+T93+T107+T118</f>
        <v>350000</v>
      </c>
      <c r="U121" s="1543">
        <f>U28+U47+U63+U68+U76+U87+U93+U107+U118</f>
        <v>0</v>
      </c>
      <c r="V121" s="405"/>
    </row>
    <row r="122" spans="2:22" x14ac:dyDescent="0.25">
      <c r="B122" s="452"/>
      <c r="C122" s="344"/>
      <c r="D122" s="344"/>
      <c r="E122" s="344"/>
      <c r="F122" s="344"/>
      <c r="G122" s="344"/>
      <c r="H122" s="344"/>
      <c r="I122" s="345"/>
      <c r="J122" s="346" t="str">
        <f>IF((ROUND(J121,0))&lt;&gt;((ROUND(('7A'!F38+'7A'!F47),0))),"WARNING: Sources on Form 6A do not match Sources on Form 7A","")</f>
        <v/>
      </c>
      <c r="K122" s="367"/>
      <c r="L122" s="16"/>
      <c r="M122" s="16"/>
      <c r="N122" s="16"/>
      <c r="O122" s="16"/>
      <c r="P122" s="16"/>
      <c r="Q122" s="16"/>
      <c r="R122" s="482"/>
      <c r="S122" s="16"/>
      <c r="T122" s="16"/>
      <c r="U122" s="16"/>
      <c r="V122" s="405"/>
    </row>
    <row r="123" spans="2:22" ht="9" customHeight="1" thickBot="1" x14ac:dyDescent="0.3">
      <c r="B123" s="467"/>
      <c r="C123" s="483"/>
      <c r="D123" s="483"/>
      <c r="E123" s="483"/>
      <c r="F123" s="483"/>
      <c r="G123" s="483"/>
      <c r="H123" s="483"/>
      <c r="I123" s="483"/>
      <c r="J123" s="484" t="s">
        <v>34</v>
      </c>
      <c r="K123" s="483"/>
      <c r="L123" s="483"/>
      <c r="M123" s="483"/>
      <c r="N123" s="483"/>
      <c r="O123" s="483"/>
      <c r="P123" s="483"/>
      <c r="Q123" s="483"/>
      <c r="R123" s="483"/>
      <c r="S123" s="483"/>
      <c r="T123" s="483"/>
      <c r="U123" s="483"/>
      <c r="V123" s="485"/>
    </row>
    <row r="125" spans="2:22" s="2171" customFormat="1" ht="15.75" hidden="1" thickBot="1" x14ac:dyDescent="0.3">
      <c r="J125" s="2180">
        <f>J120</f>
        <v>21663414.802096002</v>
      </c>
      <c r="K125" s="2181">
        <f>SUM(L125:Q125)</f>
        <v>21313414.5</v>
      </c>
      <c r="L125" s="2182">
        <f>'7A'!E26</f>
        <v>5680553</v>
      </c>
      <c r="M125" s="2183">
        <f>'7A'!E27</f>
        <v>2250000</v>
      </c>
      <c r="N125" s="2183">
        <f>'7A'!F36</f>
        <v>12982861.500000002</v>
      </c>
      <c r="O125" s="2183">
        <f>'7A'!F28</f>
        <v>400000</v>
      </c>
      <c r="P125" s="2183">
        <f t="shared" ref="P125:Q125" si="46">P32+P51+P67+P72+P80+P91+P97+P111+P122</f>
        <v>0</v>
      </c>
      <c r="Q125" s="2183">
        <f t="shared" si="46"/>
        <v>0</v>
      </c>
      <c r="R125" s="2184"/>
      <c r="S125" s="2185">
        <v>350000</v>
      </c>
      <c r="T125" s="2182">
        <v>350000</v>
      </c>
      <c r="U125" s="2186">
        <f>U32+U51+U67+U72+U80+U91+U97+U111+U122</f>
        <v>0</v>
      </c>
    </row>
    <row r="126" spans="2:22" s="2171" customFormat="1" ht="15.75" hidden="1" thickBot="1" x14ac:dyDescent="0.3">
      <c r="J126" s="2180">
        <f t="shared" ref="J126:K126" si="47">J125-J121</f>
        <v>0</v>
      </c>
      <c r="K126" s="2181">
        <f t="shared" si="47"/>
        <v>-0.30209600180387497</v>
      </c>
      <c r="L126" s="2182">
        <f>L125-L121</f>
        <v>-0.27199999988079071</v>
      </c>
      <c r="M126" s="2183">
        <f t="shared" ref="M126:Q126" si="48">M125-M121</f>
        <v>0</v>
      </c>
      <c r="N126" s="2183">
        <f t="shared" si="48"/>
        <v>-3.0095998197793961E-2</v>
      </c>
      <c r="O126" s="2183">
        <f t="shared" si="48"/>
        <v>0</v>
      </c>
      <c r="P126" s="2183">
        <f t="shared" si="48"/>
        <v>0</v>
      </c>
      <c r="Q126" s="2183">
        <f t="shared" si="48"/>
        <v>0</v>
      </c>
      <c r="R126" s="2184"/>
      <c r="S126" s="2185">
        <f>S125-S121</f>
        <v>0</v>
      </c>
      <c r="T126" s="2182">
        <f t="shared" ref="T126:U126" si="49">T125-T121</f>
        <v>0</v>
      </c>
      <c r="U126" s="2186">
        <f t="shared" si="49"/>
        <v>0</v>
      </c>
    </row>
    <row r="127" spans="2:22" x14ac:dyDescent="0.25">
      <c r="J127" s="1966"/>
    </row>
  </sheetData>
  <sheetProtection password="D666" sheet="1" objects="1" scenarios="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phoneticPr fontId="23" type="noConversion"/>
  <conditionalFormatting sqref="J22">
    <cfRule type="expression" dxfId="49" priority="28">
      <formula>J22&lt;&gt;(K22+S22)</formula>
    </cfRule>
  </conditionalFormatting>
  <conditionalFormatting sqref="J27">
    <cfRule type="expression" dxfId="48" priority="27">
      <formula>J27&lt;&gt;(K27+S27)</formula>
    </cfRule>
  </conditionalFormatting>
  <conditionalFormatting sqref="J23:J26">
    <cfRule type="expression" dxfId="47" priority="26">
      <formula>J23&lt;&gt;(K23+S23)</formula>
    </cfRule>
  </conditionalFormatting>
  <conditionalFormatting sqref="J31">
    <cfRule type="expression" dxfId="46" priority="25">
      <formula>J31&lt;&gt;(K31+S31)</formula>
    </cfRule>
  </conditionalFormatting>
  <conditionalFormatting sqref="J50">
    <cfRule type="expression" dxfId="45" priority="24">
      <formula>J50&lt;&gt;(K50+S50)</formula>
    </cfRule>
  </conditionalFormatting>
  <conditionalFormatting sqref="J66">
    <cfRule type="expression" dxfId="44" priority="23">
      <formula>J66&lt;&gt;(K66+S66)</formula>
    </cfRule>
  </conditionalFormatting>
  <conditionalFormatting sqref="J71">
    <cfRule type="expression" dxfId="43" priority="22">
      <formula>J71&lt;&gt;(K71+S71)</formula>
    </cfRule>
  </conditionalFormatting>
  <conditionalFormatting sqref="J79">
    <cfRule type="expression" dxfId="42" priority="21">
      <formula>J79&lt;&gt;(K79+S79)</formula>
    </cfRule>
  </conditionalFormatting>
  <conditionalFormatting sqref="J90">
    <cfRule type="expression" dxfId="41" priority="20">
      <formula>J90&lt;&gt;(K90+S90)</formula>
    </cfRule>
  </conditionalFormatting>
  <conditionalFormatting sqref="J96">
    <cfRule type="expression" dxfId="40" priority="19">
      <formula>J96&lt;&gt;(K96+S96)</formula>
    </cfRule>
  </conditionalFormatting>
  <conditionalFormatting sqref="J111">
    <cfRule type="expression" dxfId="39" priority="18">
      <formula>J111&lt;&gt;(K111+S111)</formula>
    </cfRule>
  </conditionalFormatting>
  <conditionalFormatting sqref="J46">
    <cfRule type="expression" dxfId="38" priority="17">
      <formula>J46&lt;&gt;(K46+S46)</formula>
    </cfRule>
  </conditionalFormatting>
  <conditionalFormatting sqref="J62">
    <cfRule type="expression" dxfId="37" priority="16">
      <formula>J62&lt;&gt;(K62+S62)</formula>
    </cfRule>
  </conditionalFormatting>
  <conditionalFormatting sqref="J67">
    <cfRule type="expression" dxfId="36" priority="15">
      <formula>J67&lt;&gt;(K67+S67)</formula>
    </cfRule>
  </conditionalFormatting>
  <conditionalFormatting sqref="J75">
    <cfRule type="expression" dxfId="35" priority="14">
      <formula>J75&lt;&gt;(K75+S75)</formula>
    </cfRule>
  </conditionalFormatting>
  <conditionalFormatting sqref="J86">
    <cfRule type="expression" dxfId="34" priority="13">
      <formula>J86&lt;&gt;(K86+S86)</formula>
    </cfRule>
  </conditionalFormatting>
  <conditionalFormatting sqref="J92">
    <cfRule type="expression" dxfId="33" priority="12">
      <formula>J92&lt;&gt;(K92+S92)</formula>
    </cfRule>
  </conditionalFormatting>
  <conditionalFormatting sqref="J106">
    <cfRule type="expression" dxfId="32" priority="11">
      <formula>J106&lt;&gt;(K106+S106)</formula>
    </cfRule>
  </conditionalFormatting>
  <conditionalFormatting sqref="J117">
    <cfRule type="expression" dxfId="31" priority="10">
      <formula>J117&lt;&gt;(K117+S117)</formula>
    </cfRule>
  </conditionalFormatting>
  <conditionalFormatting sqref="J32:J45">
    <cfRule type="expression" dxfId="30" priority="9">
      <formula>J32&lt;&gt;(K32+S32)</formula>
    </cfRule>
  </conditionalFormatting>
  <conditionalFormatting sqref="J51:J61">
    <cfRule type="expression" dxfId="29" priority="8">
      <formula>J51&lt;&gt;(K51+S51)</formula>
    </cfRule>
  </conditionalFormatting>
  <conditionalFormatting sqref="J72:J74">
    <cfRule type="expression" dxfId="28" priority="7">
      <formula>J72&lt;&gt;(K72+S72)</formula>
    </cfRule>
  </conditionalFormatting>
  <conditionalFormatting sqref="J80:J85">
    <cfRule type="expression" dxfId="27" priority="6">
      <formula>J80&lt;&gt;(K80+S80)</formula>
    </cfRule>
  </conditionalFormatting>
  <conditionalFormatting sqref="J91">
    <cfRule type="expression" dxfId="26" priority="5">
      <formula>J91&lt;&gt;(K91+S91)</formula>
    </cfRule>
  </conditionalFormatting>
  <conditionalFormatting sqref="J97:J105">
    <cfRule type="expression" dxfId="25" priority="4">
      <formula>J97&lt;&gt;(K97+S97)</formula>
    </cfRule>
  </conditionalFormatting>
  <conditionalFormatting sqref="J112:J116">
    <cfRule type="expression" dxfId="24" priority="3">
      <formula>J112&lt;&gt;(K112+S112)</formula>
    </cfRule>
  </conditionalFormatting>
  <conditionalFormatting sqref="J121">
    <cfRule type="expression" dxfId="23" priority="32">
      <formula>$J$121&lt;&gt;(#REF!+#REF!)</formula>
    </cfRule>
  </conditionalFormatting>
  <conditionalFormatting sqref="J125">
    <cfRule type="expression" dxfId="22" priority="2">
      <formula>$J$121&lt;&gt;(#REF!+#REF!)</formula>
    </cfRule>
  </conditionalFormatting>
  <conditionalFormatting sqref="J126">
    <cfRule type="expression" dxfId="21" priority="1">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76" fitToHeight="4" orientation="landscape"/>
  <headerFooter>
    <oddFooter>&amp;LForm 6A
Development Budgets&amp;CCFA Forms&amp;REdition: 2016
Version: 1.0</oddFooter>
  </headerFooter>
  <rowBreaks count="3" manualBreakCount="3">
    <brk id="48" min="1" max="21" man="1"/>
    <brk id="77" min="1" max="21" man="1"/>
    <brk id="108" min="1" max="21" man="1"/>
  </row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19" workbookViewId="0">
      <selection activeCell="U35" sqref="U35"/>
    </sheetView>
  </sheetViews>
  <sheetFormatPr defaultColWidth="8.85546875" defaultRowHeight="15" x14ac:dyDescent="0.25"/>
  <cols>
    <col min="1" max="2" width="1.7109375" style="394" customWidth="1"/>
    <col min="3" max="3" width="2.85546875" style="394" customWidth="1"/>
    <col min="4" max="4" width="5.7109375" style="394" customWidth="1"/>
    <col min="5" max="5" width="8.42578125" style="394" customWidth="1"/>
    <col min="6" max="6" width="12.85546875" style="394" customWidth="1"/>
    <col min="7" max="7" width="10.7109375" style="394" customWidth="1"/>
    <col min="8" max="8" width="1.42578125" style="394" customWidth="1"/>
    <col min="9" max="9" width="11.42578125" style="394" customWidth="1"/>
    <col min="10" max="10" width="19.28515625" style="394" customWidth="1"/>
    <col min="11" max="11" width="40.7109375" style="394" customWidth="1"/>
    <col min="12" max="12" width="1.7109375" style="394" customWidth="1"/>
    <col min="13" max="16384" width="8.85546875" style="394"/>
  </cols>
  <sheetData>
    <row r="5" spans="2:12" ht="15.75" thickBot="1" x14ac:dyDescent="0.3"/>
    <row r="6" spans="2:12" ht="9" customHeight="1" x14ac:dyDescent="0.25">
      <c r="B6" s="487"/>
      <c r="C6" s="488"/>
      <c r="D6" s="488"/>
      <c r="E6" s="488"/>
      <c r="F6" s="488"/>
      <c r="G6" s="488"/>
      <c r="H6" s="488"/>
      <c r="I6" s="488"/>
      <c r="J6" s="488"/>
      <c r="K6" s="488"/>
      <c r="L6" s="489"/>
    </row>
    <row r="7" spans="2:12" ht="18.75" x14ac:dyDescent="0.3">
      <c r="B7" s="490"/>
      <c r="C7" s="2283" t="s">
        <v>542</v>
      </c>
      <c r="D7" s="2283"/>
      <c r="E7" s="2283"/>
      <c r="F7" s="2283"/>
      <c r="G7" s="2283"/>
      <c r="H7" s="2283"/>
      <c r="I7" s="2283"/>
      <c r="J7" s="2283"/>
      <c r="K7" s="2283"/>
      <c r="L7" s="491"/>
    </row>
    <row r="8" spans="2:12" x14ac:dyDescent="0.25">
      <c r="B8" s="490"/>
      <c r="C8" s="492"/>
      <c r="D8" s="492"/>
      <c r="E8" s="492"/>
      <c r="F8" s="492"/>
      <c r="G8" s="492"/>
      <c r="H8" s="492"/>
      <c r="I8" s="492"/>
      <c r="J8" s="492"/>
      <c r="K8" s="492"/>
      <c r="L8" s="491"/>
    </row>
    <row r="9" spans="2:12" ht="15.75" thickBot="1" x14ac:dyDescent="0.3">
      <c r="B9" s="490"/>
      <c r="C9" s="2424" t="str">
        <f>IF('1'!G5="","Enter Project Name on Form 1",(CONCATENATE("Project Name: ",'1'!G5)))</f>
        <v>Project Name: Compass Broadview</v>
      </c>
      <c r="D9" s="2424"/>
      <c r="E9" s="2424"/>
      <c r="F9" s="2424"/>
      <c r="G9" s="2424"/>
      <c r="H9" s="2424"/>
      <c r="I9" s="2424"/>
      <c r="J9" s="2424"/>
      <c r="K9" s="2424"/>
      <c r="L9" s="491"/>
    </row>
    <row r="10" spans="2:12" ht="7.5" customHeight="1" thickBot="1" x14ac:dyDescent="0.3">
      <c r="B10" s="495"/>
      <c r="C10" s="496"/>
      <c r="D10" s="496"/>
      <c r="E10" s="496"/>
      <c r="F10" s="496"/>
      <c r="G10" s="496"/>
      <c r="H10" s="496"/>
      <c r="I10" s="496"/>
      <c r="J10" s="496"/>
      <c r="K10" s="454"/>
      <c r="L10" s="491"/>
    </row>
    <row r="11" spans="2:12" x14ac:dyDescent="0.25">
      <c r="B11" s="495"/>
      <c r="C11" s="67"/>
      <c r="D11" s="67"/>
      <c r="E11" s="67"/>
      <c r="F11" s="67"/>
      <c r="G11" s="67"/>
      <c r="H11" s="67"/>
      <c r="I11" s="2425" t="s">
        <v>148</v>
      </c>
      <c r="J11" s="2426"/>
      <c r="K11" s="2427"/>
      <c r="L11" s="491"/>
    </row>
    <row r="12" spans="2:12" ht="37.5" customHeight="1" thickBot="1" x14ac:dyDescent="0.3">
      <c r="B12" s="495"/>
      <c r="C12" s="68"/>
      <c r="D12" s="44"/>
      <c r="E12" s="44"/>
      <c r="F12" s="69"/>
      <c r="G12" s="69"/>
      <c r="H12" s="69"/>
      <c r="I12" s="162" t="s">
        <v>228</v>
      </c>
      <c r="J12" s="2428" t="s">
        <v>229</v>
      </c>
      <c r="K12" s="2429"/>
      <c r="L12" s="491"/>
    </row>
    <row r="13" spans="2:12" ht="15.75" thickBot="1" x14ac:dyDescent="0.3">
      <c r="B13" s="495"/>
      <c r="C13" s="59" t="s">
        <v>151</v>
      </c>
      <c r="D13" s="60"/>
      <c r="E13" s="60"/>
      <c r="F13" s="61"/>
      <c r="G13" s="61"/>
      <c r="H13" s="61"/>
      <c r="I13" s="42"/>
      <c r="J13" s="42"/>
      <c r="K13" s="492"/>
      <c r="L13" s="491"/>
    </row>
    <row r="14" spans="2:12" x14ac:dyDescent="0.25">
      <c r="B14" s="495"/>
      <c r="C14" s="454"/>
      <c r="D14" s="149" t="s">
        <v>152</v>
      </c>
      <c r="E14" s="149"/>
      <c r="F14" s="149"/>
      <c r="G14" s="149"/>
      <c r="H14" s="150"/>
      <c r="I14" s="2216">
        <f>'6A'!K22</f>
        <v>1800000</v>
      </c>
      <c r="J14" s="2430" t="s">
        <v>1929</v>
      </c>
      <c r="K14" s="2431"/>
      <c r="L14" s="491"/>
    </row>
    <row r="15" spans="2:12" x14ac:dyDescent="0.25">
      <c r="B15" s="495"/>
      <c r="C15" s="454"/>
      <c r="D15" s="151" t="s">
        <v>153</v>
      </c>
      <c r="E15" s="151"/>
      <c r="F15" s="151"/>
      <c r="G15" s="151"/>
      <c r="H15" s="152"/>
      <c r="I15" s="2217">
        <f>'6A'!K23</f>
        <v>0</v>
      </c>
      <c r="J15" s="2432"/>
      <c r="K15" s="2433"/>
      <c r="L15" s="491"/>
    </row>
    <row r="16" spans="2:12" x14ac:dyDescent="0.25">
      <c r="B16" s="495"/>
      <c r="C16" s="454"/>
      <c r="D16" s="151" t="s">
        <v>154</v>
      </c>
      <c r="E16" s="151"/>
      <c r="F16" s="151"/>
      <c r="G16" s="151"/>
      <c r="H16" s="152"/>
      <c r="I16" s="2217">
        <f>'6A'!K24</f>
        <v>0</v>
      </c>
      <c r="J16" s="2432"/>
      <c r="K16" s="2433"/>
      <c r="L16" s="491"/>
    </row>
    <row r="17" spans="2:12" x14ac:dyDescent="0.25">
      <c r="B17" s="495"/>
      <c r="C17" s="454"/>
      <c r="D17" s="151" t="s">
        <v>155</v>
      </c>
      <c r="E17" s="151"/>
      <c r="F17" s="151"/>
      <c r="G17" s="151"/>
      <c r="H17" s="152"/>
      <c r="I17" s="2217">
        <f>'6A'!K25</f>
        <v>26700</v>
      </c>
      <c r="J17" s="2432" t="s">
        <v>1930</v>
      </c>
      <c r="K17" s="2433"/>
      <c r="L17" s="491"/>
    </row>
    <row r="18" spans="2:12" x14ac:dyDescent="0.25">
      <c r="B18" s="495"/>
      <c r="C18" s="454"/>
      <c r="D18" s="151" t="s">
        <v>156</v>
      </c>
      <c r="E18" s="151"/>
      <c r="F18" s="151"/>
      <c r="G18" s="151"/>
      <c r="H18" s="152"/>
      <c r="I18" s="2217">
        <f>'6A'!K26</f>
        <v>0</v>
      </c>
      <c r="J18" s="2432"/>
      <c r="K18" s="2433"/>
      <c r="L18" s="491"/>
    </row>
    <row r="19" spans="2:12" ht="15.75" thickBot="1" x14ac:dyDescent="0.3">
      <c r="B19" s="495"/>
      <c r="C19" s="454"/>
      <c r="D19" s="151" t="s">
        <v>230</v>
      </c>
      <c r="E19" s="151"/>
      <c r="F19" s="151"/>
      <c r="G19" s="151"/>
      <c r="H19" s="152"/>
      <c r="I19" s="2218">
        <f>'6A'!K27</f>
        <v>0</v>
      </c>
      <c r="J19" s="2434"/>
      <c r="K19" s="2435"/>
      <c r="L19" s="491"/>
    </row>
    <row r="20" spans="2:12" ht="3.75" customHeight="1" x14ac:dyDescent="0.25">
      <c r="B20" s="495"/>
      <c r="C20" s="46"/>
      <c r="D20" s="47"/>
      <c r="E20" s="47"/>
      <c r="F20" s="43"/>
      <c r="G20" s="43"/>
      <c r="H20" s="43"/>
      <c r="I20" s="2219"/>
      <c r="J20" s="39"/>
      <c r="K20" s="492"/>
      <c r="L20" s="491"/>
    </row>
    <row r="21" spans="2:12" ht="15.75" thickBot="1" x14ac:dyDescent="0.3">
      <c r="B21" s="495"/>
      <c r="C21" s="59" t="s">
        <v>158</v>
      </c>
      <c r="D21" s="60"/>
      <c r="E21" s="60"/>
      <c r="F21" s="61"/>
      <c r="G21" s="61"/>
      <c r="H21" s="61"/>
      <c r="I21" s="2220"/>
      <c r="J21" s="40"/>
      <c r="K21" s="454"/>
      <c r="L21" s="491"/>
    </row>
    <row r="22" spans="2:12" x14ac:dyDescent="0.25">
      <c r="B22" s="495"/>
      <c r="C22" s="454"/>
      <c r="D22" s="149" t="s">
        <v>159</v>
      </c>
      <c r="E22" s="149"/>
      <c r="F22" s="149"/>
      <c r="G22" s="149"/>
      <c r="H22" s="150"/>
      <c r="I22" s="2216">
        <f>'6A'!K31</f>
        <v>0</v>
      </c>
      <c r="J22" s="2430"/>
      <c r="K22" s="2431"/>
      <c r="L22" s="491"/>
    </row>
    <row r="23" spans="2:12" x14ac:dyDescent="0.25">
      <c r="B23" s="495"/>
      <c r="C23" s="454"/>
      <c r="D23" s="151" t="s">
        <v>160</v>
      </c>
      <c r="E23" s="151"/>
      <c r="F23" s="151"/>
      <c r="G23" s="151"/>
      <c r="H23" s="152"/>
      <c r="I23" s="2217">
        <f>'6A'!K32</f>
        <v>12512721</v>
      </c>
      <c r="J23" s="2432" t="s">
        <v>1931</v>
      </c>
      <c r="K23" s="2433"/>
      <c r="L23" s="491"/>
    </row>
    <row r="24" spans="2:12" x14ac:dyDescent="0.25">
      <c r="B24" s="495"/>
      <c r="C24" s="454"/>
      <c r="D24" s="151" t="s">
        <v>161</v>
      </c>
      <c r="E24" s="151"/>
      <c r="F24" s="151"/>
      <c r="G24" s="151"/>
      <c r="H24" s="152"/>
      <c r="I24" s="2217">
        <f>'6A'!K33</f>
        <v>0</v>
      </c>
      <c r="J24" s="2432"/>
      <c r="K24" s="2433"/>
      <c r="L24" s="491"/>
    </row>
    <row r="25" spans="2:12" x14ac:dyDescent="0.25">
      <c r="B25" s="495"/>
      <c r="C25" s="454"/>
      <c r="D25" s="151" t="s">
        <v>162</v>
      </c>
      <c r="E25" s="151"/>
      <c r="F25" s="151"/>
      <c r="G25" s="151"/>
      <c r="H25" s="152"/>
      <c r="I25" s="2217">
        <f>'6A'!K34</f>
        <v>0</v>
      </c>
      <c r="J25" s="2432"/>
      <c r="K25" s="2433"/>
      <c r="L25" s="491"/>
    </row>
    <row r="26" spans="2:12" x14ac:dyDescent="0.25">
      <c r="B26" s="495"/>
      <c r="C26" s="454"/>
      <c r="D26" s="151" t="s">
        <v>163</v>
      </c>
      <c r="E26" s="151"/>
      <c r="F26" s="151"/>
      <c r="G26" s="151"/>
      <c r="H26" s="152"/>
      <c r="I26" s="2217">
        <f>'6A'!K35</f>
        <v>0</v>
      </c>
      <c r="J26" s="2432"/>
      <c r="K26" s="2433"/>
      <c r="L26" s="491"/>
    </row>
    <row r="27" spans="2:12" x14ac:dyDescent="0.25">
      <c r="B27" s="495"/>
      <c r="C27" s="454"/>
      <c r="D27" s="151" t="s">
        <v>164</v>
      </c>
      <c r="E27" s="151"/>
      <c r="F27" s="151"/>
      <c r="G27" s="151"/>
      <c r="H27" s="152"/>
      <c r="I27" s="2217">
        <f>'6A'!K36</f>
        <v>750763.44</v>
      </c>
      <c r="J27" s="2432" t="s">
        <v>1932</v>
      </c>
      <c r="K27" s="2433"/>
      <c r="L27" s="491"/>
    </row>
    <row r="28" spans="2:12" x14ac:dyDescent="0.25">
      <c r="B28" s="495"/>
      <c r="C28" s="454"/>
      <c r="D28" s="151" t="s">
        <v>165</v>
      </c>
      <c r="E28" s="151"/>
      <c r="F28" s="151"/>
      <c r="G28" s="151"/>
      <c r="H28" s="152"/>
      <c r="I28" s="2217">
        <f>'6A'!K37</f>
        <v>0</v>
      </c>
      <c r="J28" s="2432"/>
      <c r="K28" s="2433"/>
      <c r="L28" s="491"/>
    </row>
    <row r="29" spans="2:12" x14ac:dyDescent="0.25">
      <c r="B29" s="495"/>
      <c r="C29" s="454"/>
      <c r="D29" s="151" t="s">
        <v>166</v>
      </c>
      <c r="E29" s="151"/>
      <c r="F29" s="151"/>
      <c r="G29" s="151"/>
      <c r="H29" s="152"/>
      <c r="I29" s="2217">
        <f>'6A'!K38</f>
        <v>0</v>
      </c>
      <c r="J29" s="2432"/>
      <c r="K29" s="2433"/>
      <c r="L29" s="491"/>
    </row>
    <row r="30" spans="2:12" x14ac:dyDescent="0.25">
      <c r="B30" s="495"/>
      <c r="C30" s="454"/>
      <c r="D30" s="151" t="s">
        <v>167</v>
      </c>
      <c r="E30" s="151"/>
      <c r="F30" s="151"/>
      <c r="G30" s="151"/>
      <c r="H30" s="152"/>
      <c r="I30" s="2217">
        <f>'6A'!K39</f>
        <v>0</v>
      </c>
      <c r="J30" s="2432"/>
      <c r="K30" s="2433"/>
      <c r="L30" s="491"/>
    </row>
    <row r="31" spans="2:12" x14ac:dyDescent="0.25">
      <c r="B31" s="495"/>
      <c r="C31" s="454"/>
      <c r="D31" s="151" t="s">
        <v>168</v>
      </c>
      <c r="E31" s="151"/>
      <c r="F31" s="151"/>
      <c r="G31" s="151"/>
      <c r="H31" s="152"/>
      <c r="I31" s="2217">
        <f>'6A'!K40</f>
        <v>0</v>
      </c>
      <c r="J31" s="2432"/>
      <c r="K31" s="2433"/>
      <c r="L31" s="491"/>
    </row>
    <row r="32" spans="2:12" x14ac:dyDescent="0.25">
      <c r="B32" s="495"/>
      <c r="C32" s="454"/>
      <c r="D32" s="151" t="s">
        <v>169</v>
      </c>
      <c r="E32" s="151"/>
      <c r="F32" s="151"/>
      <c r="G32" s="151"/>
      <c r="H32" s="152"/>
      <c r="I32" s="2217">
        <f>'6A'!K41</f>
        <v>0</v>
      </c>
      <c r="J32" s="2432"/>
      <c r="K32" s="2433"/>
      <c r="L32" s="491"/>
    </row>
    <row r="33" spans="2:12" x14ac:dyDescent="0.25">
      <c r="B33" s="495"/>
      <c r="C33" s="454"/>
      <c r="D33" s="151" t="s">
        <v>170</v>
      </c>
      <c r="E33" s="151"/>
      <c r="F33" s="151"/>
      <c r="G33" s="151"/>
      <c r="H33" s="152"/>
      <c r="I33" s="2217">
        <f>'6A'!K42</f>
        <v>0</v>
      </c>
      <c r="J33" s="2432"/>
      <c r="K33" s="2433"/>
      <c r="L33" s="491"/>
    </row>
    <row r="34" spans="2:12" x14ac:dyDescent="0.25">
      <c r="B34" s="495"/>
      <c r="C34" s="454"/>
      <c r="D34" s="151" t="s">
        <v>171</v>
      </c>
      <c r="E34" s="151"/>
      <c r="F34" s="151"/>
      <c r="G34" s="151"/>
      <c r="H34" s="152"/>
      <c r="I34" s="2217">
        <f>'6A'!K43</f>
        <v>1273294.9142400001</v>
      </c>
      <c r="J34" s="2432" t="s">
        <v>1933</v>
      </c>
      <c r="K34" s="2433"/>
      <c r="L34" s="491"/>
    </row>
    <row r="35" spans="2:12" x14ac:dyDescent="0.25">
      <c r="B35" s="495"/>
      <c r="C35" s="454"/>
      <c r="D35" s="151" t="s">
        <v>172</v>
      </c>
      <c r="E35" s="151"/>
      <c r="F35" s="151"/>
      <c r="G35" s="151"/>
      <c r="H35" s="152"/>
      <c r="I35" s="2217">
        <f>'6A'!K44</f>
        <v>0</v>
      </c>
      <c r="J35" s="2432"/>
      <c r="K35" s="2433"/>
      <c r="L35" s="491"/>
    </row>
    <row r="36" spans="2:12" x14ac:dyDescent="0.25">
      <c r="B36" s="495"/>
      <c r="C36" s="454"/>
      <c r="D36" s="151" t="s">
        <v>173</v>
      </c>
      <c r="E36" s="151"/>
      <c r="F36" s="151"/>
      <c r="G36" s="151"/>
      <c r="H36" s="152"/>
      <c r="I36" s="2217">
        <f>'6A'!K45</f>
        <v>125000</v>
      </c>
      <c r="J36" s="2432" t="s">
        <v>1934</v>
      </c>
      <c r="K36" s="2433"/>
      <c r="L36" s="491"/>
    </row>
    <row r="37" spans="2:12" ht="15.75" thickBot="1" x14ac:dyDescent="0.3">
      <c r="B37" s="495"/>
      <c r="C37" s="454"/>
      <c r="D37" s="151" t="s">
        <v>231</v>
      </c>
      <c r="E37" s="151"/>
      <c r="F37" s="151"/>
      <c r="G37" s="151"/>
      <c r="H37" s="152"/>
      <c r="I37" s="2218">
        <f>'6A'!K46</f>
        <v>346795.44785600004</v>
      </c>
      <c r="J37" s="2434" t="s">
        <v>2039</v>
      </c>
      <c r="K37" s="2435"/>
      <c r="L37" s="491"/>
    </row>
    <row r="38" spans="2:12" ht="3.75" customHeight="1" x14ac:dyDescent="0.25">
      <c r="B38" s="495"/>
      <c r="C38" s="46"/>
      <c r="D38" s="47"/>
      <c r="E38" s="47"/>
      <c r="F38" s="43"/>
      <c r="G38" s="43"/>
      <c r="H38" s="43"/>
      <c r="I38" s="2219"/>
      <c r="J38" s="39"/>
      <c r="K38" s="492"/>
      <c r="L38" s="491"/>
    </row>
    <row r="39" spans="2:12" ht="15.75" thickBot="1" x14ac:dyDescent="0.3">
      <c r="B39" s="495"/>
      <c r="C39" s="59" t="s">
        <v>174</v>
      </c>
      <c r="D39" s="60"/>
      <c r="E39" s="60"/>
      <c r="F39" s="61"/>
      <c r="G39" s="61"/>
      <c r="H39" s="61"/>
      <c r="I39" s="2219"/>
      <c r="J39" s="39"/>
      <c r="K39" s="454"/>
      <c r="L39" s="491"/>
    </row>
    <row r="40" spans="2:12" x14ac:dyDescent="0.25">
      <c r="B40" s="495"/>
      <c r="C40" s="454"/>
      <c r="D40" s="149" t="s">
        <v>175</v>
      </c>
      <c r="E40" s="149"/>
      <c r="F40" s="149"/>
      <c r="G40" s="149"/>
      <c r="H40" s="150"/>
      <c r="I40" s="2216">
        <f>'6A'!K50</f>
        <v>8000</v>
      </c>
      <c r="J40" s="2430" t="s">
        <v>1935</v>
      </c>
      <c r="K40" s="2431"/>
      <c r="L40" s="491"/>
    </row>
    <row r="41" spans="2:12" x14ac:dyDescent="0.25">
      <c r="B41" s="495"/>
      <c r="C41" s="454"/>
      <c r="D41" s="151" t="s">
        <v>176</v>
      </c>
      <c r="E41" s="151"/>
      <c r="F41" s="151"/>
      <c r="G41" s="151"/>
      <c r="H41" s="152"/>
      <c r="I41" s="2217">
        <f>'6A'!K51</f>
        <v>5000</v>
      </c>
      <c r="J41" s="2432" t="s">
        <v>1936</v>
      </c>
      <c r="K41" s="2433"/>
      <c r="L41" s="491"/>
    </row>
    <row r="42" spans="2:12" x14ac:dyDescent="0.25">
      <c r="B42" s="495"/>
      <c r="C42" s="454"/>
      <c r="D42" s="151" t="s">
        <v>177</v>
      </c>
      <c r="E42" s="151"/>
      <c r="F42" s="151"/>
      <c r="G42" s="151"/>
      <c r="H42" s="152"/>
      <c r="I42" s="2217">
        <f>'6A'!K52</f>
        <v>738104</v>
      </c>
      <c r="J42" s="2432" t="s">
        <v>2043</v>
      </c>
      <c r="K42" s="2433"/>
      <c r="L42" s="491"/>
    </row>
    <row r="43" spans="2:12" x14ac:dyDescent="0.25">
      <c r="B43" s="495"/>
      <c r="C43" s="454"/>
      <c r="D43" s="151" t="s">
        <v>178</v>
      </c>
      <c r="E43" s="151"/>
      <c r="F43" s="151"/>
      <c r="G43" s="151"/>
      <c r="H43" s="152"/>
      <c r="I43" s="2217">
        <f>'6A'!K53</f>
        <v>0</v>
      </c>
      <c r="J43" s="2432"/>
      <c r="K43" s="2433"/>
      <c r="L43" s="491"/>
    </row>
    <row r="44" spans="2:12" x14ac:dyDescent="0.25">
      <c r="B44" s="495"/>
      <c r="C44" s="454"/>
      <c r="D44" s="151" t="s">
        <v>179</v>
      </c>
      <c r="E44" s="151"/>
      <c r="F44" s="151"/>
      <c r="G44" s="151"/>
      <c r="H44" s="152"/>
      <c r="I44" s="2217">
        <f>'6A'!K54</f>
        <v>4921</v>
      </c>
      <c r="J44" s="2432" t="s">
        <v>2040</v>
      </c>
      <c r="K44" s="2433"/>
      <c r="L44" s="491"/>
    </row>
    <row r="45" spans="2:12" x14ac:dyDescent="0.25">
      <c r="B45" s="495"/>
      <c r="C45" s="454"/>
      <c r="D45" s="151" t="s">
        <v>180</v>
      </c>
      <c r="E45" s="151"/>
      <c r="F45" s="151"/>
      <c r="G45" s="151"/>
      <c r="H45" s="152"/>
      <c r="I45" s="2217">
        <f>'6A'!K55</f>
        <v>19683</v>
      </c>
      <c r="J45" s="2432" t="s">
        <v>1937</v>
      </c>
      <c r="K45" s="2433"/>
      <c r="L45" s="491"/>
    </row>
    <row r="46" spans="2:12" x14ac:dyDescent="0.25">
      <c r="B46" s="495"/>
      <c r="C46" s="454"/>
      <c r="D46" s="151" t="s">
        <v>181</v>
      </c>
      <c r="E46" s="151"/>
      <c r="F46" s="151"/>
      <c r="G46" s="151"/>
      <c r="H46" s="152"/>
      <c r="I46" s="2217">
        <f>'6A'!K56</f>
        <v>14762</v>
      </c>
      <c r="J46" s="2432" t="s">
        <v>2041</v>
      </c>
      <c r="K46" s="2433"/>
      <c r="L46" s="491"/>
    </row>
    <row r="47" spans="2:12" x14ac:dyDescent="0.25">
      <c r="B47" s="495"/>
      <c r="C47" s="454"/>
      <c r="D47" s="151" t="s">
        <v>182</v>
      </c>
      <c r="E47" s="151"/>
      <c r="F47" s="151"/>
      <c r="G47" s="151"/>
      <c r="H47" s="152"/>
      <c r="I47" s="2217">
        <f>'6A'!K57</f>
        <v>79683</v>
      </c>
      <c r="J47" s="2432" t="s">
        <v>1938</v>
      </c>
      <c r="K47" s="2433"/>
      <c r="L47" s="491"/>
    </row>
    <row r="48" spans="2:12" x14ac:dyDescent="0.25">
      <c r="B48" s="495"/>
      <c r="C48" s="454"/>
      <c r="D48" s="151" t="s">
        <v>183</v>
      </c>
      <c r="E48" s="151"/>
      <c r="F48" s="151"/>
      <c r="G48" s="151"/>
      <c r="H48" s="152"/>
      <c r="I48" s="2217">
        <f>'6A'!K58</f>
        <v>985031</v>
      </c>
      <c r="J48" s="2432" t="s">
        <v>2038</v>
      </c>
      <c r="K48" s="2433"/>
      <c r="L48" s="491"/>
    </row>
    <row r="49" spans="2:12" x14ac:dyDescent="0.25">
      <c r="B49" s="495"/>
      <c r="C49" s="454"/>
      <c r="D49" s="151" t="s">
        <v>184</v>
      </c>
      <c r="E49" s="151"/>
      <c r="F49" s="151"/>
      <c r="G49" s="151"/>
      <c r="H49" s="152"/>
      <c r="I49" s="2217">
        <f>'6A'!K59</f>
        <v>400000</v>
      </c>
      <c r="J49" s="2432" t="s">
        <v>1939</v>
      </c>
      <c r="K49" s="2433"/>
      <c r="L49" s="491"/>
    </row>
    <row r="50" spans="2:12" x14ac:dyDescent="0.25">
      <c r="B50" s="495"/>
      <c r="C50" s="454"/>
      <c r="D50" s="151" t="s">
        <v>185</v>
      </c>
      <c r="E50" s="151"/>
      <c r="F50" s="151"/>
      <c r="G50" s="151"/>
      <c r="H50" s="152"/>
      <c r="I50" s="2217">
        <f>'6A'!K60</f>
        <v>78731</v>
      </c>
      <c r="J50" s="2432" t="s">
        <v>2042</v>
      </c>
      <c r="K50" s="2433"/>
      <c r="L50" s="491"/>
    </row>
    <row r="51" spans="2:12" x14ac:dyDescent="0.25">
      <c r="B51" s="495"/>
      <c r="C51" s="497"/>
      <c r="D51" s="90" t="s">
        <v>186</v>
      </c>
      <c r="E51" s="90"/>
      <c r="F51" s="90"/>
      <c r="G51" s="90"/>
      <c r="H51" s="90"/>
      <c r="I51" s="2217">
        <f>'6A'!K61</f>
        <v>39366</v>
      </c>
      <c r="J51" s="2432" t="s">
        <v>1940</v>
      </c>
      <c r="K51" s="2433"/>
      <c r="L51" s="491"/>
    </row>
    <row r="52" spans="2:12" ht="15.75" thickBot="1" x14ac:dyDescent="0.3">
      <c r="B52" s="495"/>
      <c r="C52" s="454"/>
      <c r="D52" s="151" t="s">
        <v>230</v>
      </c>
      <c r="E52" s="151"/>
      <c r="F52" s="151"/>
      <c r="G52" s="151"/>
      <c r="H52" s="152"/>
      <c r="I52" s="2218">
        <f>'6A'!K62</f>
        <v>0</v>
      </c>
      <c r="J52" s="2434"/>
      <c r="K52" s="2435"/>
      <c r="L52" s="491"/>
    </row>
    <row r="53" spans="2:12" ht="3.75" customHeight="1" x14ac:dyDescent="0.25">
      <c r="B53" s="495"/>
      <c r="C53" s="46"/>
      <c r="D53" s="47"/>
      <c r="E53" s="47"/>
      <c r="F53" s="43"/>
      <c r="G53" s="43"/>
      <c r="H53" s="43"/>
      <c r="I53" s="2219"/>
      <c r="J53" s="39"/>
      <c r="K53" s="492"/>
      <c r="L53" s="491"/>
    </row>
    <row r="54" spans="2:12" ht="15.75" thickBot="1" x14ac:dyDescent="0.3">
      <c r="B54" s="495"/>
      <c r="C54" s="59" t="s">
        <v>187</v>
      </c>
      <c r="D54" s="60"/>
      <c r="E54" s="60"/>
      <c r="F54" s="61"/>
      <c r="G54" s="61"/>
      <c r="H54" s="61"/>
      <c r="I54" s="2219"/>
      <c r="J54" s="39"/>
      <c r="K54" s="454"/>
      <c r="L54" s="491"/>
    </row>
    <row r="55" spans="2:12" x14ac:dyDescent="0.25">
      <c r="B55" s="495"/>
      <c r="C55" s="454"/>
      <c r="D55" s="149" t="s">
        <v>188</v>
      </c>
      <c r="E55" s="149"/>
      <c r="F55" s="149"/>
      <c r="G55" s="149"/>
      <c r="H55" s="150"/>
      <c r="I55" s="2216">
        <f>'6A'!K66</f>
        <v>15000</v>
      </c>
      <c r="J55" s="2430" t="s">
        <v>1941</v>
      </c>
      <c r="K55" s="2431"/>
      <c r="L55" s="491"/>
    </row>
    <row r="56" spans="2:12" ht="15.75" thickBot="1" x14ac:dyDescent="0.3">
      <c r="B56" s="495"/>
      <c r="C56" s="454"/>
      <c r="D56" s="151" t="s">
        <v>189</v>
      </c>
      <c r="E56" s="151"/>
      <c r="F56" s="151"/>
      <c r="G56" s="151"/>
      <c r="H56" s="152"/>
      <c r="I56" s="2218">
        <f>'6A'!K67</f>
        <v>17500</v>
      </c>
      <c r="J56" s="2434" t="s">
        <v>1942</v>
      </c>
      <c r="K56" s="2435"/>
      <c r="L56" s="491"/>
    </row>
    <row r="57" spans="2:12" ht="9" customHeight="1" thickBot="1" x14ac:dyDescent="0.3">
      <c r="B57" s="498"/>
      <c r="C57" s="56"/>
      <c r="D57" s="57"/>
      <c r="E57" s="57"/>
      <c r="F57" s="56"/>
      <c r="G57" s="56"/>
      <c r="H57" s="56"/>
      <c r="I57" s="2221"/>
      <c r="J57" s="41"/>
      <c r="K57" s="499"/>
      <c r="L57" s="500"/>
    </row>
    <row r="58" spans="2:12" ht="15.75" thickBot="1" x14ac:dyDescent="0.3">
      <c r="B58" s="495"/>
      <c r="C58" s="59" t="s">
        <v>190</v>
      </c>
      <c r="D58" s="60"/>
      <c r="E58" s="60"/>
      <c r="F58" s="61"/>
      <c r="G58" s="61"/>
      <c r="H58" s="61"/>
      <c r="I58" s="2219"/>
      <c r="J58" s="39"/>
      <c r="K58" s="454"/>
      <c r="L58" s="491"/>
    </row>
    <row r="59" spans="2:12" x14ac:dyDescent="0.25">
      <c r="B59" s="495"/>
      <c r="C59" s="454"/>
      <c r="D59" s="149" t="s">
        <v>191</v>
      </c>
      <c r="E59" s="149"/>
      <c r="F59" s="149"/>
      <c r="G59" s="149"/>
      <c r="H59" s="150"/>
      <c r="I59" s="2216">
        <f>'6A'!K71</f>
        <v>110343</v>
      </c>
      <c r="J59" s="2430" t="s">
        <v>1943</v>
      </c>
      <c r="K59" s="2431"/>
      <c r="L59" s="501"/>
    </row>
    <row r="60" spans="2:12" x14ac:dyDescent="0.25">
      <c r="B60" s="495"/>
      <c r="C60" s="454"/>
      <c r="D60" s="151" t="s">
        <v>192</v>
      </c>
      <c r="E60" s="151"/>
      <c r="F60" s="151"/>
      <c r="G60" s="151"/>
      <c r="H60" s="152"/>
      <c r="I60" s="2217">
        <f>'6A'!K72</f>
        <v>15000</v>
      </c>
      <c r="J60" s="2432" t="s">
        <v>1944</v>
      </c>
      <c r="K60" s="2433"/>
      <c r="L60" s="491"/>
    </row>
    <row r="61" spans="2:12" x14ac:dyDescent="0.25">
      <c r="B61" s="495"/>
      <c r="C61" s="454"/>
      <c r="D61" s="151" t="s">
        <v>193</v>
      </c>
      <c r="E61" s="151"/>
      <c r="F61" s="151"/>
      <c r="G61" s="151"/>
      <c r="H61" s="152"/>
      <c r="I61" s="2217">
        <f>'6A'!K73</f>
        <v>25000</v>
      </c>
      <c r="J61" s="2432" t="s">
        <v>1945</v>
      </c>
      <c r="K61" s="2433"/>
      <c r="L61" s="491"/>
    </row>
    <row r="62" spans="2:12" x14ac:dyDescent="0.25">
      <c r="B62" s="495"/>
      <c r="C62" s="454"/>
      <c r="D62" s="151" t="s">
        <v>194</v>
      </c>
      <c r="E62" s="151"/>
      <c r="F62" s="151"/>
      <c r="G62" s="151"/>
      <c r="H62" s="152"/>
      <c r="I62" s="2217">
        <f>'6A'!K74</f>
        <v>231721</v>
      </c>
      <c r="J62" s="2432" t="s">
        <v>1946</v>
      </c>
      <c r="K62" s="2433"/>
      <c r="L62" s="491"/>
    </row>
    <row r="63" spans="2:12" ht="15.75" thickBot="1" x14ac:dyDescent="0.3">
      <c r="B63" s="495"/>
      <c r="C63" s="454"/>
      <c r="D63" s="151" t="s">
        <v>195</v>
      </c>
      <c r="E63" s="151"/>
      <c r="F63" s="151"/>
      <c r="G63" s="151"/>
      <c r="H63" s="152"/>
      <c r="I63" s="2218">
        <f>'6A'!K75</f>
        <v>289651</v>
      </c>
      <c r="J63" s="2434" t="s">
        <v>1947</v>
      </c>
      <c r="K63" s="2435"/>
      <c r="L63" s="491"/>
    </row>
    <row r="64" spans="2:12" ht="4.5" customHeight="1" x14ac:dyDescent="0.25">
      <c r="B64" s="495"/>
      <c r="C64" s="43"/>
      <c r="D64" s="47"/>
      <c r="E64" s="47"/>
      <c r="F64" s="43"/>
      <c r="G64" s="43"/>
      <c r="H64" s="43"/>
      <c r="I64" s="2219"/>
      <c r="J64" s="39"/>
      <c r="K64" s="492"/>
      <c r="L64" s="491"/>
    </row>
    <row r="65" spans="2:12" ht="15.75" thickBot="1" x14ac:dyDescent="0.3">
      <c r="B65" s="495"/>
      <c r="C65" s="59" t="s">
        <v>196</v>
      </c>
      <c r="D65" s="60"/>
      <c r="E65" s="60"/>
      <c r="F65" s="61"/>
      <c r="G65" s="61"/>
      <c r="H65" s="61"/>
      <c r="I65" s="2219"/>
      <c r="J65" s="39"/>
      <c r="K65" s="454"/>
      <c r="L65" s="491"/>
    </row>
    <row r="66" spans="2:12" x14ac:dyDescent="0.25">
      <c r="B66" s="495"/>
      <c r="C66" s="454"/>
      <c r="D66" s="149" t="s">
        <v>197</v>
      </c>
      <c r="E66" s="149"/>
      <c r="F66" s="149"/>
      <c r="G66" s="149"/>
      <c r="H66" s="150"/>
      <c r="I66" s="2216">
        <f>'6A'!K79</f>
        <v>0</v>
      </c>
      <c r="J66" s="2430"/>
      <c r="K66" s="2431"/>
      <c r="L66" s="491"/>
    </row>
    <row r="67" spans="2:12" x14ac:dyDescent="0.25">
      <c r="B67" s="495"/>
      <c r="C67" s="454"/>
      <c r="D67" s="151" t="s">
        <v>198</v>
      </c>
      <c r="E67" s="151"/>
      <c r="F67" s="151"/>
      <c r="G67" s="151"/>
      <c r="H67" s="152"/>
      <c r="I67" s="2217">
        <f>'6A'!K80</f>
        <v>0</v>
      </c>
      <c r="J67" s="2432"/>
      <c r="K67" s="2433"/>
      <c r="L67" s="491"/>
    </row>
    <row r="68" spans="2:12" x14ac:dyDescent="0.25">
      <c r="B68" s="495"/>
      <c r="C68" s="454"/>
      <c r="D68" s="151" t="s">
        <v>199</v>
      </c>
      <c r="E68" s="151"/>
      <c r="F68" s="151"/>
      <c r="G68" s="151"/>
      <c r="H68" s="152"/>
      <c r="I68" s="2217">
        <f>'6A'!K81</f>
        <v>0</v>
      </c>
      <c r="J68" s="2432"/>
      <c r="K68" s="2433"/>
      <c r="L68" s="491"/>
    </row>
    <row r="69" spans="2:12" x14ac:dyDescent="0.25">
      <c r="B69" s="495"/>
      <c r="C69" s="454"/>
      <c r="D69" s="151" t="s">
        <v>200</v>
      </c>
      <c r="E69" s="151"/>
      <c r="F69" s="151"/>
      <c r="G69" s="151"/>
      <c r="H69" s="152"/>
      <c r="I69" s="2217">
        <f>'6A'!K82</f>
        <v>118998</v>
      </c>
      <c r="J69" s="2432" t="s">
        <v>1948</v>
      </c>
      <c r="K69" s="2433"/>
      <c r="L69" s="491"/>
    </row>
    <row r="70" spans="2:12" x14ac:dyDescent="0.25">
      <c r="B70" s="495"/>
      <c r="C70" s="454"/>
      <c r="D70" s="151" t="s">
        <v>201</v>
      </c>
      <c r="E70" s="151"/>
      <c r="F70" s="151"/>
      <c r="G70" s="151"/>
      <c r="H70" s="152"/>
      <c r="I70" s="2217">
        <f>'6A'!K83</f>
        <v>60000</v>
      </c>
      <c r="J70" s="2432" t="s">
        <v>1949</v>
      </c>
      <c r="K70" s="2433"/>
      <c r="L70" s="491"/>
    </row>
    <row r="71" spans="2:12" x14ac:dyDescent="0.25">
      <c r="B71" s="495"/>
      <c r="C71" s="454"/>
      <c r="D71" s="151" t="s">
        <v>202</v>
      </c>
      <c r="E71" s="151"/>
      <c r="F71" s="151"/>
      <c r="G71" s="151"/>
      <c r="H71" s="152"/>
      <c r="I71" s="2217">
        <f>'6A'!K84</f>
        <v>30000</v>
      </c>
      <c r="J71" s="2432" t="s">
        <v>1950</v>
      </c>
      <c r="K71" s="2433"/>
      <c r="L71" s="491"/>
    </row>
    <row r="72" spans="2:12" x14ac:dyDescent="0.25">
      <c r="B72" s="495"/>
      <c r="C72" s="454"/>
      <c r="D72" s="151" t="s">
        <v>203</v>
      </c>
      <c r="E72" s="151"/>
      <c r="F72" s="151"/>
      <c r="G72" s="151"/>
      <c r="H72" s="152"/>
      <c r="I72" s="2217">
        <f>'6A'!K85</f>
        <v>45000</v>
      </c>
      <c r="J72" s="2432" t="s">
        <v>1951</v>
      </c>
      <c r="K72" s="2433"/>
      <c r="L72" s="491"/>
    </row>
    <row r="73" spans="2:12" ht="15.75" thickBot="1" x14ac:dyDescent="0.3">
      <c r="B73" s="495"/>
      <c r="C73" s="454"/>
      <c r="D73" s="151" t="s">
        <v>230</v>
      </c>
      <c r="E73" s="151"/>
      <c r="F73" s="151"/>
      <c r="G73" s="151"/>
      <c r="H73" s="152"/>
      <c r="I73" s="2218">
        <f>'6A'!K86</f>
        <v>0</v>
      </c>
      <c r="J73" s="2434"/>
      <c r="K73" s="2435"/>
      <c r="L73" s="491"/>
    </row>
    <row r="74" spans="2:12" ht="3.75" customHeight="1" x14ac:dyDescent="0.25">
      <c r="B74" s="495"/>
      <c r="C74" s="46"/>
      <c r="D74" s="47"/>
      <c r="E74" s="47"/>
      <c r="F74" s="43"/>
      <c r="G74" s="43"/>
      <c r="H74" s="43"/>
      <c r="I74" s="2219"/>
      <c r="J74" s="39"/>
      <c r="K74" s="492"/>
      <c r="L74" s="491"/>
    </row>
    <row r="75" spans="2:12" ht="15.75" thickBot="1" x14ac:dyDescent="0.3">
      <c r="B75" s="495"/>
      <c r="C75" s="59" t="s">
        <v>204</v>
      </c>
      <c r="D75" s="60"/>
      <c r="E75" s="60"/>
      <c r="F75" s="61"/>
      <c r="G75" s="61"/>
      <c r="H75" s="61"/>
      <c r="I75" s="2222"/>
      <c r="J75" s="161"/>
      <c r="K75" s="406"/>
      <c r="L75" s="491"/>
    </row>
    <row r="76" spans="2:12" x14ac:dyDescent="0.25">
      <c r="B76" s="495"/>
      <c r="C76" s="454"/>
      <c r="D76" s="149" t="s">
        <v>205</v>
      </c>
      <c r="E76" s="149"/>
      <c r="F76" s="149"/>
      <c r="G76" s="149"/>
      <c r="H76" s="150"/>
      <c r="I76" s="2216">
        <f>'6A'!K90</f>
        <v>236151</v>
      </c>
      <c r="J76" s="2430" t="s">
        <v>1952</v>
      </c>
      <c r="K76" s="2431"/>
      <c r="L76" s="491"/>
    </row>
    <row r="77" spans="2:12" x14ac:dyDescent="0.25">
      <c r="B77" s="495"/>
      <c r="C77" s="454"/>
      <c r="D77" s="151" t="s">
        <v>206</v>
      </c>
      <c r="E77" s="151"/>
      <c r="F77" s="151"/>
      <c r="G77" s="151"/>
      <c r="H77" s="152"/>
      <c r="I77" s="2217">
        <f>'6A'!K91</f>
        <v>59000</v>
      </c>
      <c r="J77" s="2432" t="s">
        <v>2044</v>
      </c>
      <c r="K77" s="2433"/>
      <c r="L77" s="491"/>
    </row>
    <row r="78" spans="2:12" ht="15.75" thickBot="1" x14ac:dyDescent="0.3">
      <c r="B78" s="495"/>
      <c r="C78" s="454"/>
      <c r="D78" s="151" t="s">
        <v>232</v>
      </c>
      <c r="E78" s="151"/>
      <c r="F78" s="151"/>
      <c r="G78" s="151"/>
      <c r="H78" s="152"/>
      <c r="I78" s="2218">
        <f>'6A'!K92</f>
        <v>0</v>
      </c>
      <c r="J78" s="2434"/>
      <c r="K78" s="2435"/>
      <c r="L78" s="491"/>
    </row>
    <row r="79" spans="2:12" ht="3.75" customHeight="1" x14ac:dyDescent="0.25">
      <c r="B79" s="495"/>
      <c r="C79" s="46"/>
      <c r="D79" s="47"/>
      <c r="E79" s="47"/>
      <c r="F79" s="43"/>
      <c r="G79" s="43"/>
      <c r="H79" s="43"/>
      <c r="I79" s="2219"/>
      <c r="J79" s="39"/>
      <c r="K79" s="492"/>
      <c r="L79" s="491"/>
    </row>
    <row r="80" spans="2:12" ht="15.75" thickBot="1" x14ac:dyDescent="0.3">
      <c r="B80" s="495"/>
      <c r="C80" s="59" t="s">
        <v>207</v>
      </c>
      <c r="D80" s="60"/>
      <c r="E80" s="60"/>
      <c r="F80" s="61"/>
      <c r="G80" s="61"/>
      <c r="H80" s="61"/>
      <c r="I80" s="2222"/>
      <c r="J80" s="161"/>
      <c r="K80" s="406"/>
      <c r="L80" s="491"/>
    </row>
    <row r="81" spans="2:12" x14ac:dyDescent="0.25">
      <c r="B81" s="495"/>
      <c r="C81" s="454"/>
      <c r="D81" s="149" t="s">
        <v>208</v>
      </c>
      <c r="E81" s="149"/>
      <c r="F81" s="149"/>
      <c r="G81" s="149"/>
      <c r="H81" s="150"/>
      <c r="I81" s="2216">
        <f>'6A'!K96</f>
        <v>5305</v>
      </c>
      <c r="J81" s="2430" t="s">
        <v>1953</v>
      </c>
      <c r="K81" s="2431"/>
      <c r="L81" s="491"/>
    </row>
    <row r="82" spans="2:12" x14ac:dyDescent="0.25">
      <c r="B82" s="495"/>
      <c r="C82" s="454"/>
      <c r="D82" s="151" t="s">
        <v>209</v>
      </c>
      <c r="E82" s="151"/>
      <c r="F82" s="151"/>
      <c r="G82" s="151"/>
      <c r="H82" s="152"/>
      <c r="I82" s="2217">
        <f>'6A'!K97</f>
        <v>98414</v>
      </c>
      <c r="J82" s="2432" t="s">
        <v>1954</v>
      </c>
      <c r="K82" s="2433"/>
      <c r="L82" s="491"/>
    </row>
    <row r="83" spans="2:12" x14ac:dyDescent="0.25">
      <c r="B83" s="495"/>
      <c r="C83" s="454"/>
      <c r="D83" s="151" t="s">
        <v>106</v>
      </c>
      <c r="E83" s="151"/>
      <c r="F83" s="151"/>
      <c r="G83" s="151"/>
      <c r="H83" s="152"/>
      <c r="I83" s="2217">
        <f>'6A'!K98</f>
        <v>0</v>
      </c>
      <c r="J83" s="2432"/>
      <c r="K83" s="2433"/>
      <c r="L83" s="491"/>
    </row>
    <row r="84" spans="2:12" x14ac:dyDescent="0.25">
      <c r="B84" s="495"/>
      <c r="C84" s="454"/>
      <c r="D84" s="151" t="s">
        <v>210</v>
      </c>
      <c r="E84" s="151"/>
      <c r="F84" s="151"/>
      <c r="G84" s="151"/>
      <c r="H84" s="152"/>
      <c r="I84" s="2217">
        <f>'6A'!K99</f>
        <v>3000</v>
      </c>
      <c r="J84" s="2432" t="s">
        <v>1955</v>
      </c>
      <c r="K84" s="2433"/>
      <c r="L84" s="491"/>
    </row>
    <row r="85" spans="2:12" x14ac:dyDescent="0.25">
      <c r="B85" s="495"/>
      <c r="C85" s="454"/>
      <c r="D85" s="151" t="s">
        <v>211</v>
      </c>
      <c r="E85" s="151"/>
      <c r="F85" s="151"/>
      <c r="G85" s="151"/>
      <c r="H85" s="152"/>
      <c r="I85" s="2217">
        <f>'6A'!K100</f>
        <v>649776</v>
      </c>
      <c r="J85" s="2432" t="s">
        <v>1956</v>
      </c>
      <c r="K85" s="2433"/>
      <c r="L85" s="491"/>
    </row>
    <row r="86" spans="2:12" x14ac:dyDescent="0.25">
      <c r="B86" s="495"/>
      <c r="C86" s="454"/>
      <c r="D86" s="151" t="s">
        <v>212</v>
      </c>
      <c r="E86" s="151"/>
      <c r="F86" s="151"/>
      <c r="G86" s="151"/>
      <c r="H86" s="152"/>
      <c r="I86" s="2217">
        <f>'6A'!K101</f>
        <v>0</v>
      </c>
      <c r="J86" s="2432"/>
      <c r="K86" s="2433"/>
      <c r="L86" s="491"/>
    </row>
    <row r="87" spans="2:12" x14ac:dyDescent="0.25">
      <c r="B87" s="495"/>
      <c r="C87" s="454"/>
      <c r="D87" s="151" t="s">
        <v>213</v>
      </c>
      <c r="E87" s="151"/>
      <c r="F87" s="151"/>
      <c r="G87" s="151"/>
      <c r="H87" s="152"/>
      <c r="I87" s="2217">
        <f>'6A'!K102</f>
        <v>0</v>
      </c>
      <c r="J87" s="2432"/>
      <c r="K87" s="2433"/>
      <c r="L87" s="491"/>
    </row>
    <row r="88" spans="2:12" x14ac:dyDescent="0.25">
      <c r="B88" s="495"/>
      <c r="C88" s="454"/>
      <c r="D88" s="151" t="s">
        <v>214</v>
      </c>
      <c r="E88" s="151"/>
      <c r="F88" s="151"/>
      <c r="G88" s="151"/>
      <c r="H88" s="152"/>
      <c r="I88" s="2217">
        <f>'6A'!K103</f>
        <v>25000</v>
      </c>
      <c r="J88" s="2432" t="s">
        <v>1957</v>
      </c>
      <c r="K88" s="2433"/>
      <c r="L88" s="491"/>
    </row>
    <row r="89" spans="2:12" x14ac:dyDescent="0.25">
      <c r="B89" s="495"/>
      <c r="C89" s="454"/>
      <c r="D89" s="151" t="s">
        <v>215</v>
      </c>
      <c r="E89" s="151"/>
      <c r="F89" s="151"/>
      <c r="G89" s="151"/>
      <c r="H89" s="152"/>
      <c r="I89" s="2217">
        <f>'6A'!K104</f>
        <v>20000</v>
      </c>
      <c r="J89" s="2432" t="s">
        <v>1958</v>
      </c>
      <c r="K89" s="2433"/>
      <c r="L89" s="491"/>
    </row>
    <row r="90" spans="2:12" x14ac:dyDescent="0.25">
      <c r="B90" s="495"/>
      <c r="C90" s="454"/>
      <c r="D90" s="151" t="s">
        <v>216</v>
      </c>
      <c r="E90" s="151"/>
      <c r="F90" s="151"/>
      <c r="G90" s="151"/>
      <c r="H90" s="152"/>
      <c r="I90" s="2217">
        <f>'6A'!K105</f>
        <v>50000</v>
      </c>
      <c r="J90" s="2432" t="s">
        <v>1959</v>
      </c>
      <c r="K90" s="2433"/>
      <c r="L90" s="491"/>
    </row>
    <row r="91" spans="2:12" ht="15.75" thickBot="1" x14ac:dyDescent="0.3">
      <c r="B91" s="495"/>
      <c r="C91" s="454"/>
      <c r="D91" s="151" t="s">
        <v>217</v>
      </c>
      <c r="E91" s="151"/>
      <c r="F91" s="151"/>
      <c r="G91" s="151"/>
      <c r="H91" s="152"/>
      <c r="I91" s="2218">
        <f>'6A'!K106</f>
        <v>0</v>
      </c>
      <c r="J91" s="2434"/>
      <c r="K91" s="2435"/>
      <c r="L91" s="491"/>
    </row>
    <row r="92" spans="2:12" ht="3.75" customHeight="1" x14ac:dyDescent="0.25">
      <c r="B92" s="495"/>
      <c r="C92" s="46"/>
      <c r="D92" s="47"/>
      <c r="E92" s="47"/>
      <c r="F92" s="43"/>
      <c r="G92" s="43"/>
      <c r="H92" s="43"/>
      <c r="I92" s="2219"/>
      <c r="J92" s="39"/>
      <c r="K92" s="406"/>
      <c r="L92" s="491"/>
    </row>
    <row r="93" spans="2:12" ht="15.75" thickBot="1" x14ac:dyDescent="0.3">
      <c r="B93" s="495"/>
      <c r="C93" s="59" t="s">
        <v>218</v>
      </c>
      <c r="D93" s="60"/>
      <c r="E93" s="60"/>
      <c r="F93" s="61"/>
      <c r="G93" s="61"/>
      <c r="H93" s="61"/>
      <c r="I93" s="2219"/>
      <c r="J93" s="39"/>
      <c r="K93" s="496"/>
      <c r="L93" s="502"/>
    </row>
    <row r="94" spans="2:12" x14ac:dyDescent="0.25">
      <c r="B94" s="495"/>
      <c r="C94" s="503"/>
      <c r="D94" s="149" t="s">
        <v>219</v>
      </c>
      <c r="E94" s="149"/>
      <c r="F94" s="149"/>
      <c r="G94" s="149"/>
      <c r="H94" s="150"/>
      <c r="I94" s="2216">
        <f>'6A'!K111</f>
        <v>0</v>
      </c>
      <c r="J94" s="2430"/>
      <c r="K94" s="2431"/>
      <c r="L94" s="502"/>
    </row>
    <row r="95" spans="2:12" x14ac:dyDescent="0.25">
      <c r="B95" s="495"/>
      <c r="C95" s="503"/>
      <c r="D95" s="151" t="s">
        <v>220</v>
      </c>
      <c r="E95" s="151"/>
      <c r="F95" s="151"/>
      <c r="G95" s="151"/>
      <c r="H95" s="152"/>
      <c r="I95" s="2217">
        <f>'6A'!K112</f>
        <v>0</v>
      </c>
      <c r="J95" s="2432"/>
      <c r="K95" s="2433"/>
      <c r="L95" s="502"/>
    </row>
    <row r="96" spans="2:12" x14ac:dyDescent="0.25">
      <c r="B96" s="495"/>
      <c r="C96" s="454"/>
      <c r="D96" s="151" t="s">
        <v>221</v>
      </c>
      <c r="E96" s="151"/>
      <c r="F96" s="151"/>
      <c r="G96" s="151"/>
      <c r="H96" s="152"/>
      <c r="I96" s="2217">
        <f>'6A'!K113</f>
        <v>0</v>
      </c>
      <c r="J96" s="2432"/>
      <c r="K96" s="2433"/>
      <c r="L96" s="491"/>
    </row>
    <row r="97" spans="2:12" x14ac:dyDescent="0.25">
      <c r="B97" s="495"/>
      <c r="C97" s="454"/>
      <c r="D97" s="151" t="s">
        <v>222</v>
      </c>
      <c r="E97" s="151"/>
      <c r="F97" s="151"/>
      <c r="G97" s="151"/>
      <c r="H97" s="152"/>
      <c r="I97" s="2217">
        <f>'6A'!K114</f>
        <v>0</v>
      </c>
      <c r="J97" s="2432"/>
      <c r="K97" s="2433"/>
      <c r="L97" s="491"/>
    </row>
    <row r="98" spans="2:12" x14ac:dyDescent="0.25">
      <c r="B98" s="495"/>
      <c r="C98" s="454"/>
      <c r="D98" s="151" t="s">
        <v>223</v>
      </c>
      <c r="E98" s="151"/>
      <c r="F98" s="151"/>
      <c r="G98" s="151"/>
      <c r="H98" s="152"/>
      <c r="I98" s="2217">
        <f>'6A'!K115</f>
        <v>0</v>
      </c>
      <c r="J98" s="2432"/>
      <c r="K98" s="2433"/>
      <c r="L98" s="491"/>
    </row>
    <row r="99" spans="2:12" x14ac:dyDescent="0.25">
      <c r="B99" s="495"/>
      <c r="C99" s="454"/>
      <c r="D99" s="151" t="s">
        <v>224</v>
      </c>
      <c r="E99" s="151"/>
      <c r="F99" s="151"/>
      <c r="G99" s="151"/>
      <c r="H99" s="152"/>
      <c r="I99" s="2217">
        <f>'6A'!K116</f>
        <v>0</v>
      </c>
      <c r="J99" s="2432"/>
      <c r="K99" s="2433"/>
      <c r="L99" s="491"/>
    </row>
    <row r="100" spans="2:12" ht="15.75" thickBot="1" x14ac:dyDescent="0.3">
      <c r="B100" s="495"/>
      <c r="C100" s="454"/>
      <c r="D100" s="151" t="s">
        <v>225</v>
      </c>
      <c r="E100" s="151"/>
      <c r="F100" s="151"/>
      <c r="G100" s="151"/>
      <c r="H100" s="152"/>
      <c r="I100" s="2218">
        <f>'6A'!K117</f>
        <v>0</v>
      </c>
      <c r="J100" s="2434"/>
      <c r="K100" s="2435"/>
      <c r="L100" s="491"/>
    </row>
    <row r="101" spans="2:12" ht="15.75" thickBot="1" x14ac:dyDescent="0.3">
      <c r="B101" s="498"/>
      <c r="C101" s="37"/>
      <c r="D101" s="504"/>
      <c r="E101" s="504"/>
      <c r="F101" s="37"/>
      <c r="G101" s="37"/>
      <c r="H101" s="37"/>
      <c r="I101" s="38"/>
      <c r="J101" s="38"/>
      <c r="K101" s="499"/>
      <c r="L101" s="500"/>
    </row>
    <row r="102" spans="2:12" x14ac:dyDescent="0.25">
      <c r="I102" s="486"/>
    </row>
  </sheetData>
  <sheetProtection password="D666" sheet="1" objects="1" scenarios="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headerFooter>
    <oddFooter>&amp;LForm 6B
Development Budget Details&amp;CCFA Forms&amp;REdition: 2016
Version: 1.0</oddFooter>
  </headerFooter>
  <rowBreaks count="1" manualBreakCount="1">
    <brk id="57" min="1" max="11" man="1"/>
  </rowBreaks>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topLeftCell="A94" zoomScale="125" zoomScaleNormal="125" zoomScalePageLayoutView="125" workbookViewId="0">
      <selection activeCell="U35" sqref="U35"/>
    </sheetView>
  </sheetViews>
  <sheetFormatPr defaultColWidth="8.85546875" defaultRowHeight="15" x14ac:dyDescent="0.25"/>
  <cols>
    <col min="1" max="2" width="1.7109375" style="394" customWidth="1"/>
    <col min="3" max="3" width="2.85546875" style="394" customWidth="1"/>
    <col min="4" max="4" width="5.7109375" style="394" customWidth="1"/>
    <col min="5" max="5" width="8.42578125" style="394" customWidth="1"/>
    <col min="6" max="6" width="12.85546875" style="394" customWidth="1"/>
    <col min="7" max="7" width="10.7109375" style="394" customWidth="1"/>
    <col min="8" max="8" width="0.7109375" style="394" customWidth="1"/>
    <col min="9" max="9" width="12.85546875" style="394" customWidth="1"/>
    <col min="10" max="10" width="11.42578125" style="394" customWidth="1"/>
    <col min="11" max="11" width="12.140625" style="394" customWidth="1"/>
    <col min="12" max="12" width="1.7109375" style="394" customWidth="1"/>
    <col min="13" max="16384" width="8.85546875" style="394"/>
  </cols>
  <sheetData>
    <row r="9" spans="2:12" ht="15.75" thickBot="1" x14ac:dyDescent="0.3"/>
    <row r="10" spans="2:12" x14ac:dyDescent="0.25">
      <c r="B10" s="505"/>
      <c r="C10" s="506"/>
      <c r="D10" s="506"/>
      <c r="E10" s="506"/>
      <c r="F10" s="506"/>
      <c r="G10" s="506"/>
      <c r="H10" s="506"/>
      <c r="I10" s="506"/>
      <c r="J10" s="506"/>
      <c r="K10" s="506"/>
      <c r="L10" s="507"/>
    </row>
    <row r="11" spans="2:12" ht="18.75" x14ac:dyDescent="0.3">
      <c r="B11" s="508"/>
      <c r="C11" s="2392" t="s">
        <v>233</v>
      </c>
      <c r="D11" s="2392"/>
      <c r="E11" s="2392"/>
      <c r="F11" s="2392"/>
      <c r="G11" s="2392"/>
      <c r="H11" s="2392"/>
      <c r="I11" s="2392"/>
      <c r="J11" s="2392"/>
      <c r="K11" s="2392"/>
      <c r="L11" s="509"/>
    </row>
    <row r="12" spans="2:12" x14ac:dyDescent="0.25">
      <c r="B12" s="508"/>
      <c r="C12" s="406"/>
      <c r="D12" s="406"/>
      <c r="E12" s="406"/>
      <c r="F12" s="406"/>
      <c r="G12" s="406"/>
      <c r="H12" s="406"/>
      <c r="I12" s="406"/>
      <c r="J12" s="406"/>
      <c r="K12" s="406"/>
      <c r="L12" s="509"/>
    </row>
    <row r="13" spans="2:12" ht="15.75" thickBot="1" x14ac:dyDescent="0.3">
      <c r="B13" s="508"/>
      <c r="C13" s="2423" t="str">
        <f>IF('1'!G5="","Enter Project Name on Form 1",(CONCATENATE("Project Name: ",'1'!G5)))</f>
        <v>Project Name: Compass Broadview</v>
      </c>
      <c r="D13" s="2423"/>
      <c r="E13" s="2423"/>
      <c r="F13" s="2423"/>
      <c r="G13" s="2423"/>
      <c r="H13" s="2423"/>
      <c r="I13" s="2423"/>
      <c r="J13" s="2423"/>
      <c r="K13" s="2423"/>
      <c r="L13" s="509"/>
    </row>
    <row r="14" spans="2:12" ht="15.75" thickBot="1" x14ac:dyDescent="0.3">
      <c r="B14" s="141"/>
      <c r="C14" s="406"/>
      <c r="D14" s="62"/>
      <c r="E14" s="62"/>
      <c r="F14" s="62"/>
      <c r="G14" s="62"/>
      <c r="H14" s="62"/>
      <c r="I14" s="62"/>
      <c r="J14" s="62"/>
      <c r="K14" s="406"/>
      <c r="L14" s="509"/>
    </row>
    <row r="15" spans="2:12" x14ac:dyDescent="0.25">
      <c r="B15" s="141"/>
      <c r="C15" s="67"/>
      <c r="D15" s="67"/>
      <c r="E15" s="67"/>
      <c r="F15" s="67"/>
      <c r="G15" s="67"/>
      <c r="H15" s="67"/>
      <c r="I15" s="2408" t="s">
        <v>148</v>
      </c>
      <c r="J15" s="2409"/>
      <c r="K15" s="2436"/>
      <c r="L15" s="509"/>
    </row>
    <row r="16" spans="2:12" x14ac:dyDescent="0.25">
      <c r="B16" s="141"/>
      <c r="C16" s="67"/>
      <c r="D16" s="67"/>
      <c r="E16" s="67"/>
      <c r="F16" s="67"/>
      <c r="G16" s="67"/>
      <c r="H16" s="67"/>
      <c r="I16" s="2451" t="s">
        <v>234</v>
      </c>
      <c r="J16" s="2446" t="s">
        <v>235</v>
      </c>
      <c r="K16" s="2447"/>
      <c r="L16" s="509"/>
    </row>
    <row r="17" spans="2:12" x14ac:dyDescent="0.25">
      <c r="B17" s="141"/>
      <c r="C17" s="68"/>
      <c r="D17" s="44"/>
      <c r="E17" s="44"/>
      <c r="F17" s="69"/>
      <c r="G17" s="69"/>
      <c r="H17" s="69"/>
      <c r="I17" s="2451"/>
      <c r="J17" s="2448" t="s">
        <v>22</v>
      </c>
      <c r="K17" s="2453" t="s">
        <v>505</v>
      </c>
      <c r="L17" s="509"/>
    </row>
    <row r="18" spans="2:12" x14ac:dyDescent="0.25">
      <c r="B18" s="141"/>
      <c r="C18" s="44"/>
      <c r="D18" s="70"/>
      <c r="E18" s="70"/>
      <c r="F18" s="71"/>
      <c r="G18" s="71"/>
      <c r="H18" s="71"/>
      <c r="I18" s="2451"/>
      <c r="J18" s="2449"/>
      <c r="K18" s="2454"/>
      <c r="L18" s="509"/>
    </row>
    <row r="19" spans="2:12" ht="15.75" thickBot="1" x14ac:dyDescent="0.3">
      <c r="B19" s="141"/>
      <c r="C19" s="44"/>
      <c r="D19" s="70"/>
      <c r="E19" s="70"/>
      <c r="F19" s="71"/>
      <c r="G19" s="71"/>
      <c r="H19" s="71"/>
      <c r="I19" s="2452"/>
      <c r="J19" s="2450"/>
      <c r="K19" s="2455"/>
      <c r="L19" s="509"/>
    </row>
    <row r="20" spans="2:12" ht="15.75" thickBot="1" x14ac:dyDescent="0.3">
      <c r="B20" s="141"/>
      <c r="C20" s="59" t="s">
        <v>151</v>
      </c>
      <c r="D20" s="60"/>
      <c r="E20" s="60"/>
      <c r="F20" s="61"/>
      <c r="G20" s="61"/>
      <c r="H20" s="61"/>
      <c r="I20" s="83"/>
      <c r="J20" s="63"/>
      <c r="K20" s="406"/>
      <c r="L20" s="509"/>
    </row>
    <row r="21" spans="2:12" x14ac:dyDescent="0.25">
      <c r="B21" s="141"/>
      <c r="C21" s="406"/>
      <c r="D21" s="90" t="s">
        <v>152</v>
      </c>
      <c r="E21" s="43"/>
      <c r="F21" s="44"/>
      <c r="G21" s="44"/>
      <c r="H21" s="44"/>
      <c r="I21" s="920">
        <f>'6A'!K22</f>
        <v>1800000</v>
      </c>
      <c r="J21" s="100"/>
      <c r="K21" s="101"/>
      <c r="L21" s="509"/>
    </row>
    <row r="22" spans="2:12" x14ac:dyDescent="0.25">
      <c r="B22" s="141"/>
      <c r="C22" s="406"/>
      <c r="D22" s="90" t="s">
        <v>153</v>
      </c>
      <c r="E22" s="43"/>
      <c r="F22" s="44"/>
      <c r="G22" s="44"/>
      <c r="H22" s="44"/>
      <c r="I22" s="918">
        <f>'6A'!K23</f>
        <v>0</v>
      </c>
      <c r="J22" s="901"/>
      <c r="K22" s="102"/>
      <c r="L22" s="509"/>
    </row>
    <row r="23" spans="2:12" x14ac:dyDescent="0.25">
      <c r="B23" s="141"/>
      <c r="C23" s="406"/>
      <c r="D23" s="89" t="s">
        <v>154</v>
      </c>
      <c r="E23" s="43"/>
      <c r="F23" s="45"/>
      <c r="G23" s="45"/>
      <c r="H23" s="45"/>
      <c r="I23" s="902">
        <f>'6A'!K24</f>
        <v>0</v>
      </c>
      <c r="J23" s="903"/>
      <c r="K23" s="102"/>
      <c r="L23" s="509"/>
    </row>
    <row r="24" spans="2:12" x14ac:dyDescent="0.25">
      <c r="B24" s="141"/>
      <c r="C24" s="406"/>
      <c r="D24" s="89" t="s">
        <v>155</v>
      </c>
      <c r="E24" s="43"/>
      <c r="F24" s="45"/>
      <c r="G24" s="45"/>
      <c r="H24" s="45"/>
      <c r="I24" s="902">
        <f>'6A'!K25</f>
        <v>26700</v>
      </c>
      <c r="J24" s="903"/>
      <c r="K24" s="102"/>
      <c r="L24" s="509"/>
    </row>
    <row r="25" spans="2:12" x14ac:dyDescent="0.25">
      <c r="B25" s="141"/>
      <c r="C25" s="406"/>
      <c r="D25" s="82" t="s">
        <v>156</v>
      </c>
      <c r="E25" s="43"/>
      <c r="F25" s="45"/>
      <c r="G25" s="45"/>
      <c r="H25" s="45"/>
      <c r="I25" s="902">
        <f>'6A'!K26</f>
        <v>0</v>
      </c>
      <c r="J25" s="903"/>
      <c r="K25" s="102"/>
      <c r="L25" s="509"/>
    </row>
    <row r="26" spans="2:12" x14ac:dyDescent="0.25">
      <c r="B26" s="141"/>
      <c r="C26" s="406"/>
      <c r="D26" s="49" t="s">
        <v>426</v>
      </c>
      <c r="E26" s="2456">
        <f>(IF(AND(I26&lt;&gt;0,'6A'!E27=""),"Enter Item on Form 6A",'6A'!E27))</f>
        <v>0</v>
      </c>
      <c r="F26" s="2457"/>
      <c r="G26" s="2458"/>
      <c r="H26" s="510"/>
      <c r="I26" s="904">
        <f>'6A'!K27</f>
        <v>0</v>
      </c>
      <c r="J26" s="905"/>
      <c r="K26" s="113"/>
      <c r="L26" s="509"/>
    </row>
    <row r="27" spans="2:12" ht="15.75" thickBot="1" x14ac:dyDescent="0.3">
      <c r="B27" s="141"/>
      <c r="C27" s="44"/>
      <c r="D27" s="43"/>
      <c r="E27" s="43"/>
      <c r="F27" s="406"/>
      <c r="G27" s="47" t="s">
        <v>157</v>
      </c>
      <c r="H27" s="88"/>
      <c r="I27" s="112">
        <f>SUM(I21:I26)</f>
        <v>1826700</v>
      </c>
      <c r="J27" s="92">
        <f>SUM(J22:J26)</f>
        <v>0</v>
      </c>
      <c r="K27" s="94">
        <v>0</v>
      </c>
      <c r="L27" s="509"/>
    </row>
    <row r="28" spans="2:12" ht="3.75" customHeight="1" x14ac:dyDescent="0.25">
      <c r="B28" s="141"/>
      <c r="C28" s="46"/>
      <c r="D28" s="47"/>
      <c r="E28" s="47"/>
      <c r="F28" s="43"/>
      <c r="G28" s="43"/>
      <c r="H28" s="43"/>
      <c r="I28" s="72"/>
      <c r="J28" s="72"/>
      <c r="K28" s="72"/>
      <c r="L28" s="509"/>
    </row>
    <row r="29" spans="2:12" ht="15.75" thickBot="1" x14ac:dyDescent="0.3">
      <c r="B29" s="141"/>
      <c r="C29" s="77" t="s">
        <v>158</v>
      </c>
      <c r="D29" s="78"/>
      <c r="E29" s="78"/>
      <c r="F29" s="79"/>
      <c r="G29" s="79"/>
      <c r="H29" s="79"/>
      <c r="I29" s="73"/>
      <c r="J29" s="72"/>
      <c r="K29" s="72"/>
      <c r="L29" s="509"/>
    </row>
    <row r="30" spans="2:12" x14ac:dyDescent="0.25">
      <c r="B30" s="141"/>
      <c r="C30" s="406"/>
      <c r="D30" s="89" t="s">
        <v>159</v>
      </c>
      <c r="E30" s="43"/>
      <c r="F30" s="45"/>
      <c r="G30" s="45"/>
      <c r="H30" s="45"/>
      <c r="I30" s="906">
        <f>'6A'!K31</f>
        <v>0</v>
      </c>
      <c r="J30" s="907"/>
      <c r="K30" s="908"/>
      <c r="L30" s="509"/>
    </row>
    <row r="31" spans="2:12" x14ac:dyDescent="0.25">
      <c r="B31" s="141"/>
      <c r="C31" s="406"/>
      <c r="D31" s="89" t="s">
        <v>160</v>
      </c>
      <c r="E31" s="43"/>
      <c r="F31" s="48"/>
      <c r="G31" s="48"/>
      <c r="H31" s="48"/>
      <c r="I31" s="902">
        <f>'6A'!K32</f>
        <v>12512721</v>
      </c>
      <c r="J31" s="903"/>
      <c r="K31" s="909">
        <f>I31-30000*17</f>
        <v>12002721</v>
      </c>
      <c r="L31" s="509"/>
    </row>
    <row r="32" spans="2:12" x14ac:dyDescent="0.25">
      <c r="B32" s="141"/>
      <c r="C32" s="406"/>
      <c r="D32" s="89" t="s">
        <v>161</v>
      </c>
      <c r="E32" s="43"/>
      <c r="F32" s="48"/>
      <c r="G32" s="48"/>
      <c r="H32" s="48"/>
      <c r="I32" s="902">
        <f>'6A'!K33</f>
        <v>0</v>
      </c>
      <c r="J32" s="903"/>
      <c r="K32" s="909"/>
      <c r="L32" s="509"/>
    </row>
    <row r="33" spans="2:12" x14ac:dyDescent="0.25">
      <c r="B33" s="141"/>
      <c r="C33" s="406"/>
      <c r="D33" s="89" t="s">
        <v>162</v>
      </c>
      <c r="E33" s="43"/>
      <c r="F33" s="48"/>
      <c r="G33" s="48"/>
      <c r="H33" s="48"/>
      <c r="I33" s="902">
        <f>'6A'!K34</f>
        <v>0</v>
      </c>
      <c r="J33" s="903"/>
      <c r="K33" s="909"/>
      <c r="L33" s="509"/>
    </row>
    <row r="34" spans="2:12" x14ac:dyDescent="0.25">
      <c r="B34" s="141"/>
      <c r="C34" s="406"/>
      <c r="D34" s="89" t="s">
        <v>163</v>
      </c>
      <c r="E34" s="43"/>
      <c r="F34" s="48"/>
      <c r="G34" s="48"/>
      <c r="H34" s="48"/>
      <c r="I34" s="902">
        <f>'6A'!K35</f>
        <v>0</v>
      </c>
      <c r="J34" s="903"/>
      <c r="K34" s="909"/>
      <c r="L34" s="509"/>
    </row>
    <row r="35" spans="2:12" x14ac:dyDescent="0.25">
      <c r="B35" s="141"/>
      <c r="C35" s="406"/>
      <c r="D35" s="89" t="s">
        <v>164</v>
      </c>
      <c r="E35" s="43"/>
      <c r="F35" s="49"/>
      <c r="G35" s="49"/>
      <c r="H35" s="49"/>
      <c r="I35" s="902">
        <f>'6A'!K36</f>
        <v>750763.44</v>
      </c>
      <c r="J35" s="903"/>
      <c r="K35" s="909">
        <f>I35</f>
        <v>750763.44</v>
      </c>
      <c r="L35" s="509"/>
    </row>
    <row r="36" spans="2:12" x14ac:dyDescent="0.25">
      <c r="B36" s="141"/>
      <c r="C36" s="406"/>
      <c r="D36" s="89" t="s">
        <v>165</v>
      </c>
      <c r="E36" s="43"/>
      <c r="F36" s="49"/>
      <c r="G36" s="49"/>
      <c r="H36" s="49"/>
      <c r="I36" s="902">
        <f>'6A'!K37</f>
        <v>0</v>
      </c>
      <c r="J36" s="903"/>
      <c r="K36" s="909"/>
      <c r="L36" s="509"/>
    </row>
    <row r="37" spans="2:12" x14ac:dyDescent="0.25">
      <c r="B37" s="141"/>
      <c r="C37" s="406"/>
      <c r="D37" s="89" t="s">
        <v>166</v>
      </c>
      <c r="E37" s="43"/>
      <c r="F37" s="50"/>
      <c r="G37" s="50"/>
      <c r="H37" s="50"/>
      <c r="I37" s="918">
        <f>'6A'!K38</f>
        <v>0</v>
      </c>
      <c r="J37" s="903"/>
      <c r="K37" s="909"/>
      <c r="L37" s="509"/>
    </row>
    <row r="38" spans="2:12" x14ac:dyDescent="0.25">
      <c r="B38" s="141"/>
      <c r="C38" s="406"/>
      <c r="D38" s="89" t="s">
        <v>167</v>
      </c>
      <c r="E38" s="43"/>
      <c r="F38" s="50"/>
      <c r="G38" s="50"/>
      <c r="H38" s="50"/>
      <c r="I38" s="918">
        <f>'6A'!K39</f>
        <v>0</v>
      </c>
      <c r="J38" s="910"/>
      <c r="K38" s="911"/>
      <c r="L38" s="509"/>
    </row>
    <row r="39" spans="2:12" x14ac:dyDescent="0.25">
      <c r="B39" s="141"/>
      <c r="C39" s="406"/>
      <c r="D39" s="89" t="s">
        <v>168</v>
      </c>
      <c r="E39" s="43"/>
      <c r="F39" s="51"/>
      <c r="G39" s="51"/>
      <c r="H39" s="51"/>
      <c r="I39" s="918">
        <f>'6A'!K40</f>
        <v>0</v>
      </c>
      <c r="J39" s="127"/>
      <c r="K39" s="103"/>
      <c r="L39" s="509"/>
    </row>
    <row r="40" spans="2:12" x14ac:dyDescent="0.25">
      <c r="B40" s="141"/>
      <c r="C40" s="406"/>
      <c r="D40" s="89" t="s">
        <v>237</v>
      </c>
      <c r="E40" s="43"/>
      <c r="F40" s="51"/>
      <c r="G40" s="51"/>
      <c r="H40" s="51"/>
      <c r="I40" s="918">
        <f>'6A'!K41</f>
        <v>0</v>
      </c>
      <c r="J40" s="901"/>
      <c r="K40" s="912"/>
      <c r="L40" s="509"/>
    </row>
    <row r="41" spans="2:12" x14ac:dyDescent="0.25">
      <c r="B41" s="141"/>
      <c r="C41" s="406"/>
      <c r="D41" s="89" t="s">
        <v>238</v>
      </c>
      <c r="E41" s="43"/>
      <c r="F41" s="51"/>
      <c r="G41" s="51"/>
      <c r="H41" s="51"/>
      <c r="I41" s="918">
        <f>'6A'!K42</f>
        <v>0</v>
      </c>
      <c r="J41" s="903"/>
      <c r="K41" s="909"/>
      <c r="L41" s="509"/>
    </row>
    <row r="42" spans="2:12" x14ac:dyDescent="0.25">
      <c r="B42" s="141"/>
      <c r="C42" s="406"/>
      <c r="D42" s="89" t="s">
        <v>171</v>
      </c>
      <c r="E42" s="51"/>
      <c r="F42" s="52"/>
      <c r="G42" s="52"/>
      <c r="H42" s="52"/>
      <c r="I42" s="918">
        <f>'6A'!K43</f>
        <v>1273294.9142400001</v>
      </c>
      <c r="J42" s="903"/>
      <c r="K42" s="909">
        <f>I42</f>
        <v>1273294.9142400001</v>
      </c>
      <c r="L42" s="509"/>
    </row>
    <row r="43" spans="2:12" x14ac:dyDescent="0.25">
      <c r="B43" s="141"/>
      <c r="C43" s="406"/>
      <c r="D43" s="89" t="s">
        <v>172</v>
      </c>
      <c r="E43" s="43"/>
      <c r="F43" s="50"/>
      <c r="G43" s="50"/>
      <c r="H43" s="50"/>
      <c r="I43" s="902">
        <f>'6A'!K44</f>
        <v>0</v>
      </c>
      <c r="J43" s="903"/>
      <c r="K43" s="909"/>
      <c r="L43" s="509"/>
    </row>
    <row r="44" spans="2:12" x14ac:dyDescent="0.25">
      <c r="B44" s="141"/>
      <c r="C44" s="406"/>
      <c r="D44" s="89" t="s">
        <v>173</v>
      </c>
      <c r="E44" s="43"/>
      <c r="F44" s="51"/>
      <c r="G44" s="51"/>
      <c r="H44" s="51"/>
      <c r="I44" s="902">
        <f>'6A'!K45</f>
        <v>125000</v>
      </c>
      <c r="J44" s="903"/>
      <c r="K44" s="909">
        <f>I44</f>
        <v>125000</v>
      </c>
      <c r="L44" s="509"/>
    </row>
    <row r="45" spans="2:12" x14ac:dyDescent="0.25">
      <c r="B45" s="141"/>
      <c r="C45" s="406"/>
      <c r="D45" s="49" t="s">
        <v>426</v>
      </c>
      <c r="E45" s="2456" t="str">
        <f>(IF(AND(I45&lt;&gt;0,'6A'!E46=""),"Enter Item on Form 6A",'6A'!E46))</f>
        <v>Escalation, Other constr costs</v>
      </c>
      <c r="F45" s="2457"/>
      <c r="G45" s="2458"/>
      <c r="H45" s="510"/>
      <c r="I45" s="904">
        <f>'6A'!K46</f>
        <v>346795.44785600004</v>
      </c>
      <c r="J45" s="913"/>
      <c r="K45" s="914">
        <f>I45</f>
        <v>346795.44785600004</v>
      </c>
      <c r="L45" s="509"/>
    </row>
    <row r="46" spans="2:12" ht="15.75" thickBot="1" x14ac:dyDescent="0.3">
      <c r="B46" s="141"/>
      <c r="C46" s="44"/>
      <c r="D46" s="43"/>
      <c r="E46" s="43"/>
      <c r="F46" s="406"/>
      <c r="G46" s="47" t="s">
        <v>157</v>
      </c>
      <c r="H46" s="88"/>
      <c r="I46" s="112">
        <f>SUM(I30:I45)</f>
        <v>15008574.802096</v>
      </c>
      <c r="J46" s="92">
        <f>(SUM(J30:J38))+(SUM(J40:J45))</f>
        <v>0</v>
      </c>
      <c r="K46" s="96">
        <f>(SUM(K30:K38))+(SUM(K40:K45))</f>
        <v>14498574.802096</v>
      </c>
      <c r="L46" s="509"/>
    </row>
    <row r="47" spans="2:12" ht="3.75" customHeight="1" x14ac:dyDescent="0.25">
      <c r="B47" s="141"/>
      <c r="C47" s="46"/>
      <c r="D47" s="47"/>
      <c r="E47" s="47"/>
      <c r="F47" s="43"/>
      <c r="G47" s="43"/>
      <c r="H47" s="43"/>
      <c r="I47" s="72"/>
      <c r="J47" s="72"/>
      <c r="K47" s="72"/>
      <c r="L47" s="509"/>
    </row>
    <row r="48" spans="2:12" ht="15.75" thickBot="1" x14ac:dyDescent="0.3">
      <c r="B48" s="141"/>
      <c r="C48" s="80" t="s">
        <v>174</v>
      </c>
      <c r="D48" s="80"/>
      <c r="E48" s="80"/>
      <c r="F48" s="80"/>
      <c r="G48" s="80"/>
      <c r="H48" s="80"/>
      <c r="I48" s="72"/>
      <c r="J48" s="74"/>
      <c r="K48" s="74"/>
      <c r="L48" s="509"/>
    </row>
    <row r="49" spans="2:12" x14ac:dyDescent="0.25">
      <c r="B49" s="141"/>
      <c r="C49" s="406"/>
      <c r="D49" s="89" t="s">
        <v>175</v>
      </c>
      <c r="E49" s="43"/>
      <c r="F49" s="45"/>
      <c r="G49" s="45"/>
      <c r="H49" s="45"/>
      <c r="I49" s="920">
        <f>'6A'!K50</f>
        <v>8000</v>
      </c>
      <c r="J49" s="104"/>
      <c r="K49" s="105"/>
      <c r="L49" s="509"/>
    </row>
    <row r="50" spans="2:12" x14ac:dyDescent="0.25">
      <c r="B50" s="141"/>
      <c r="C50" s="406"/>
      <c r="D50" s="89" t="s">
        <v>176</v>
      </c>
      <c r="E50" s="43"/>
      <c r="F50" s="45"/>
      <c r="G50" s="45"/>
      <c r="H50" s="45"/>
      <c r="I50" s="918">
        <f>'6A'!K51</f>
        <v>5000</v>
      </c>
      <c r="J50" s="901"/>
      <c r="K50" s="912">
        <f>I50</f>
        <v>5000</v>
      </c>
      <c r="L50" s="509"/>
    </row>
    <row r="51" spans="2:12" x14ac:dyDescent="0.25">
      <c r="B51" s="141"/>
      <c r="C51" s="406"/>
      <c r="D51" s="89" t="s">
        <v>177</v>
      </c>
      <c r="E51" s="43"/>
      <c r="F51" s="45"/>
      <c r="G51" s="45"/>
      <c r="H51" s="45"/>
      <c r="I51" s="902">
        <f>'6A'!K52</f>
        <v>738104</v>
      </c>
      <c r="J51" s="903"/>
      <c r="K51" s="909">
        <f t="shared" ref="K51:K61" si="0">I51</f>
        <v>738104</v>
      </c>
      <c r="L51" s="509"/>
    </row>
    <row r="52" spans="2:12" x14ac:dyDescent="0.25">
      <c r="B52" s="141"/>
      <c r="C52" s="406"/>
      <c r="D52" s="89" t="s">
        <v>178</v>
      </c>
      <c r="E52" s="43"/>
      <c r="F52" s="45"/>
      <c r="G52" s="45"/>
      <c r="H52" s="45"/>
      <c r="I52" s="902">
        <f>'6A'!K53</f>
        <v>0</v>
      </c>
      <c r="J52" s="903"/>
      <c r="K52" s="909"/>
      <c r="L52" s="509"/>
    </row>
    <row r="53" spans="2:12" x14ac:dyDescent="0.25">
      <c r="B53" s="141"/>
      <c r="C53" s="406"/>
      <c r="D53" s="82" t="s">
        <v>179</v>
      </c>
      <c r="E53" s="53"/>
      <c r="F53" s="45"/>
      <c r="G53" s="45"/>
      <c r="H53" s="45"/>
      <c r="I53" s="902">
        <f>'6A'!K54</f>
        <v>4921</v>
      </c>
      <c r="J53" s="903"/>
      <c r="K53" s="909">
        <f t="shared" si="0"/>
        <v>4921</v>
      </c>
      <c r="L53" s="509"/>
    </row>
    <row r="54" spans="2:12" x14ac:dyDescent="0.25">
      <c r="B54" s="141"/>
      <c r="C54" s="406"/>
      <c r="D54" s="89" t="s">
        <v>180</v>
      </c>
      <c r="E54" s="54"/>
      <c r="F54" s="45"/>
      <c r="G54" s="45"/>
      <c r="H54" s="45"/>
      <c r="I54" s="902">
        <f>'6A'!K55</f>
        <v>19683</v>
      </c>
      <c r="J54" s="903"/>
      <c r="K54" s="909">
        <f t="shared" si="0"/>
        <v>19683</v>
      </c>
      <c r="L54" s="509"/>
    </row>
    <row r="55" spans="2:12" x14ac:dyDescent="0.25">
      <c r="B55" s="141"/>
      <c r="C55" s="406"/>
      <c r="D55" s="89" t="s">
        <v>181</v>
      </c>
      <c r="E55" s="55"/>
      <c r="F55" s="45"/>
      <c r="G55" s="45"/>
      <c r="H55" s="45"/>
      <c r="I55" s="902">
        <f>'6A'!K56</f>
        <v>14762</v>
      </c>
      <c r="J55" s="903"/>
      <c r="K55" s="909">
        <f t="shared" si="0"/>
        <v>14762</v>
      </c>
      <c r="L55" s="509"/>
    </row>
    <row r="56" spans="2:12" x14ac:dyDescent="0.25">
      <c r="B56" s="141"/>
      <c r="C56" s="406"/>
      <c r="D56" s="89" t="s">
        <v>182</v>
      </c>
      <c r="E56" s="43"/>
      <c r="F56" s="49"/>
      <c r="G56" s="49"/>
      <c r="H56" s="49"/>
      <c r="I56" s="902">
        <f>'6A'!K57</f>
        <v>79683</v>
      </c>
      <c r="J56" s="903"/>
      <c r="K56" s="909">
        <v>50000</v>
      </c>
      <c r="L56" s="509"/>
    </row>
    <row r="57" spans="2:12" x14ac:dyDescent="0.25">
      <c r="B57" s="141"/>
      <c r="C57" s="406"/>
      <c r="D57" s="82" t="s">
        <v>183</v>
      </c>
      <c r="E57" s="43"/>
      <c r="F57" s="45"/>
      <c r="G57" s="45"/>
      <c r="H57" s="45"/>
      <c r="I57" s="902">
        <f>'6A'!K58</f>
        <v>985031</v>
      </c>
      <c r="J57" s="903"/>
      <c r="K57" s="909">
        <f>I57-'7A'!F28</f>
        <v>585031</v>
      </c>
      <c r="L57" s="509"/>
    </row>
    <row r="58" spans="2:12" x14ac:dyDescent="0.25">
      <c r="B58" s="141"/>
      <c r="C58" s="406"/>
      <c r="D58" s="82" t="s">
        <v>239</v>
      </c>
      <c r="E58" s="43"/>
      <c r="F58" s="45"/>
      <c r="G58" s="45"/>
      <c r="H58" s="45"/>
      <c r="I58" s="902">
        <f>'6A'!K59</f>
        <v>400000</v>
      </c>
      <c r="J58" s="903"/>
      <c r="K58" s="909">
        <v>350000</v>
      </c>
      <c r="L58" s="509"/>
    </row>
    <row r="59" spans="2:12" x14ac:dyDescent="0.25">
      <c r="B59" s="141"/>
      <c r="C59" s="406"/>
      <c r="D59" s="82" t="s">
        <v>185</v>
      </c>
      <c r="E59" s="49"/>
      <c r="F59" s="406"/>
      <c r="G59" s="511"/>
      <c r="H59" s="511"/>
      <c r="I59" s="902">
        <f>'6A'!K60</f>
        <v>78731</v>
      </c>
      <c r="J59" s="903"/>
      <c r="K59" s="915">
        <f t="shared" si="0"/>
        <v>78731</v>
      </c>
      <c r="L59" s="509"/>
    </row>
    <row r="60" spans="2:12" x14ac:dyDescent="0.25">
      <c r="B60" s="141"/>
      <c r="C60" s="406"/>
      <c r="D60" s="82" t="s">
        <v>186</v>
      </c>
      <c r="E60" s="49"/>
      <c r="F60" s="406"/>
      <c r="G60" s="511"/>
      <c r="H60" s="511"/>
      <c r="I60" s="902">
        <f>'6A'!K61</f>
        <v>39366</v>
      </c>
      <c r="J60" s="903"/>
      <c r="K60" s="915">
        <f t="shared" si="0"/>
        <v>39366</v>
      </c>
      <c r="L60" s="509"/>
    </row>
    <row r="61" spans="2:12" x14ac:dyDescent="0.25">
      <c r="B61" s="141"/>
      <c r="C61" s="406"/>
      <c r="D61" s="49" t="s">
        <v>426</v>
      </c>
      <c r="E61" s="2456">
        <f>(IF(AND(I61&lt;&gt;0,'6A'!E62=""),"Enter Item on Form 6A",'6A'!E62))</f>
        <v>0</v>
      </c>
      <c r="F61" s="2457"/>
      <c r="G61" s="2458"/>
      <c r="H61" s="510"/>
      <c r="I61" s="904">
        <f>'6A'!K62</f>
        <v>0</v>
      </c>
      <c r="J61" s="913"/>
      <c r="K61" s="916">
        <f t="shared" si="0"/>
        <v>0</v>
      </c>
      <c r="L61" s="509"/>
    </row>
    <row r="62" spans="2:12" ht="15.75" thickBot="1" x14ac:dyDescent="0.3">
      <c r="B62" s="141"/>
      <c r="C62" s="44"/>
      <c r="D62" s="43"/>
      <c r="E62" s="43"/>
      <c r="F62" s="406"/>
      <c r="G62" s="47" t="s">
        <v>157</v>
      </c>
      <c r="H62" s="88"/>
      <c r="I62" s="112">
        <f>SUM(I49:I61)</f>
        <v>2373281</v>
      </c>
      <c r="J62" s="92">
        <f>SUM(J50:J61)</f>
        <v>0</v>
      </c>
      <c r="K62" s="96">
        <f>SUM(K50:K61)</f>
        <v>1885598</v>
      </c>
      <c r="L62" s="509"/>
    </row>
    <row r="63" spans="2:12" ht="9" customHeight="1" thickBot="1" x14ac:dyDescent="0.3">
      <c r="B63" s="512"/>
      <c r="C63" s="122"/>
      <c r="D63" s="122"/>
      <c r="E63" s="122"/>
      <c r="F63" s="123"/>
      <c r="G63" s="123"/>
      <c r="H63" s="123"/>
      <c r="I63" s="124"/>
      <c r="J63" s="125"/>
      <c r="K63" s="125"/>
      <c r="L63" s="513"/>
    </row>
    <row r="64" spans="2:12" ht="15.75" thickBot="1" x14ac:dyDescent="0.3">
      <c r="B64" s="141"/>
      <c r="C64" s="118" t="s">
        <v>187</v>
      </c>
      <c r="D64" s="119"/>
      <c r="E64" s="119"/>
      <c r="F64" s="120"/>
      <c r="G64" s="120"/>
      <c r="H64" s="120"/>
      <c r="I64" s="121"/>
      <c r="J64" s="72"/>
      <c r="K64" s="72"/>
      <c r="L64" s="509"/>
    </row>
    <row r="65" spans="2:12" x14ac:dyDescent="0.25">
      <c r="B65" s="141"/>
      <c r="C65" s="406"/>
      <c r="D65" s="1887" t="s">
        <v>188</v>
      </c>
      <c r="E65" s="47"/>
      <c r="F65" s="43"/>
      <c r="G65" s="43"/>
      <c r="H65" s="43"/>
      <c r="I65" s="920">
        <f>'6A'!K66</f>
        <v>15000</v>
      </c>
      <c r="J65" s="106"/>
      <c r="K65" s="107"/>
      <c r="L65" s="509"/>
    </row>
    <row r="66" spans="2:12" x14ac:dyDescent="0.25">
      <c r="B66" s="141"/>
      <c r="C66" s="406"/>
      <c r="D66" s="1887" t="s">
        <v>189</v>
      </c>
      <c r="E66" s="47"/>
      <c r="F66" s="43"/>
      <c r="G66" s="43"/>
      <c r="H66" s="43"/>
      <c r="I66" s="919">
        <f>'6A'!K67</f>
        <v>17500</v>
      </c>
      <c r="J66" s="114"/>
      <c r="K66" s="115"/>
      <c r="L66" s="509"/>
    </row>
    <row r="67" spans="2:12" ht="15.75" thickBot="1" x14ac:dyDescent="0.3">
      <c r="B67" s="141"/>
      <c r="C67" s="406"/>
      <c r="D67" s="47"/>
      <c r="E67" s="406"/>
      <c r="F67" s="43"/>
      <c r="G67" s="47" t="s">
        <v>157</v>
      </c>
      <c r="H67" s="43"/>
      <c r="I67" s="112">
        <f>SUM(I65:I66)</f>
        <v>32500</v>
      </c>
      <c r="J67" s="92">
        <v>0</v>
      </c>
      <c r="K67" s="96">
        <v>0</v>
      </c>
      <c r="L67" s="509"/>
    </row>
    <row r="68" spans="2:12" ht="3.75" customHeight="1" x14ac:dyDescent="0.25">
      <c r="B68" s="141"/>
      <c r="C68" s="406"/>
      <c r="D68" s="47"/>
      <c r="E68" s="406"/>
      <c r="F68" s="43"/>
      <c r="G68" s="43"/>
      <c r="H68" s="43"/>
      <c r="I68" s="72"/>
      <c r="J68" s="72"/>
      <c r="K68" s="72"/>
      <c r="L68" s="509"/>
    </row>
    <row r="69" spans="2:12" ht="15.75" thickBot="1" x14ac:dyDescent="0.3">
      <c r="B69" s="141"/>
      <c r="C69" s="77" t="s">
        <v>190</v>
      </c>
      <c r="D69" s="78"/>
      <c r="E69" s="78"/>
      <c r="F69" s="79"/>
      <c r="G69" s="79"/>
      <c r="H69" s="79"/>
      <c r="I69" s="72"/>
      <c r="J69" s="72"/>
      <c r="K69" s="72"/>
      <c r="L69" s="509"/>
    </row>
    <row r="70" spans="2:12" x14ac:dyDescent="0.25">
      <c r="B70" s="141"/>
      <c r="C70" s="406"/>
      <c r="D70" s="89" t="s">
        <v>191</v>
      </c>
      <c r="E70" s="47"/>
      <c r="F70" s="43"/>
      <c r="G70" s="43"/>
      <c r="H70" s="43"/>
      <c r="I70" s="906">
        <f>'6A'!K71</f>
        <v>110343</v>
      </c>
      <c r="J70" s="907"/>
      <c r="K70" s="917">
        <f t="shared" ref="K70:K73" si="1">I70</f>
        <v>110343</v>
      </c>
      <c r="L70" s="509"/>
    </row>
    <row r="71" spans="2:12" x14ac:dyDescent="0.25">
      <c r="B71" s="141"/>
      <c r="C71" s="406"/>
      <c r="D71" s="89" t="s">
        <v>192</v>
      </c>
      <c r="E71" s="47"/>
      <c r="F71" s="43"/>
      <c r="G71" s="43"/>
      <c r="H71" s="43"/>
      <c r="I71" s="902">
        <f>'6A'!K72</f>
        <v>15000</v>
      </c>
      <c r="J71" s="903"/>
      <c r="K71" s="909">
        <f t="shared" si="1"/>
        <v>15000</v>
      </c>
      <c r="L71" s="509"/>
    </row>
    <row r="72" spans="2:12" x14ac:dyDescent="0.25">
      <c r="B72" s="141"/>
      <c r="C72" s="406"/>
      <c r="D72" s="89" t="s">
        <v>193</v>
      </c>
      <c r="E72" s="47"/>
      <c r="F72" s="43"/>
      <c r="G72" s="43"/>
      <c r="H72" s="43"/>
      <c r="I72" s="902">
        <f>'6A'!K73</f>
        <v>25000</v>
      </c>
      <c r="J72" s="903"/>
      <c r="K72" s="909">
        <f t="shared" si="1"/>
        <v>25000</v>
      </c>
      <c r="L72" s="509"/>
    </row>
    <row r="73" spans="2:12" x14ac:dyDescent="0.25">
      <c r="B73" s="141"/>
      <c r="C73" s="406"/>
      <c r="D73" s="89" t="s">
        <v>194</v>
      </c>
      <c r="E73" s="47"/>
      <c r="F73" s="43"/>
      <c r="G73" s="43"/>
      <c r="H73" s="43"/>
      <c r="I73" s="918">
        <f>'6A'!K74</f>
        <v>231721</v>
      </c>
      <c r="J73" s="910"/>
      <c r="K73" s="911">
        <f t="shared" si="1"/>
        <v>231721</v>
      </c>
      <c r="L73" s="509"/>
    </row>
    <row r="74" spans="2:12" x14ac:dyDescent="0.25">
      <c r="B74" s="141"/>
      <c r="C74" s="406"/>
      <c r="D74" s="89" t="s">
        <v>195</v>
      </c>
      <c r="E74" s="47"/>
      <c r="F74" s="43"/>
      <c r="G74" s="43"/>
      <c r="H74" s="43"/>
      <c r="I74" s="919">
        <f>'6A'!K75</f>
        <v>289651</v>
      </c>
      <c r="J74" s="116"/>
      <c r="K74" s="117"/>
      <c r="L74" s="509"/>
    </row>
    <row r="75" spans="2:12" ht="15.75" thickBot="1" x14ac:dyDescent="0.3">
      <c r="B75" s="141"/>
      <c r="C75" s="44"/>
      <c r="D75" s="43"/>
      <c r="E75" s="43"/>
      <c r="F75" s="406"/>
      <c r="G75" s="47" t="s">
        <v>157</v>
      </c>
      <c r="H75" s="88"/>
      <c r="I75" s="112">
        <f>SUM(I70:I74)</f>
        <v>671715</v>
      </c>
      <c r="J75" s="92">
        <f>SUM(J70:J73)</f>
        <v>0</v>
      </c>
      <c r="K75" s="96">
        <f>SUM(K70:K73)</f>
        <v>382064</v>
      </c>
      <c r="L75" s="509"/>
    </row>
    <row r="76" spans="2:12" ht="3.75" customHeight="1" x14ac:dyDescent="0.25">
      <c r="B76" s="141"/>
      <c r="C76" s="46"/>
      <c r="D76" s="47"/>
      <c r="E76" s="47"/>
      <c r="F76" s="43"/>
      <c r="G76" s="43"/>
      <c r="H76" s="43"/>
      <c r="I76" s="72"/>
      <c r="J76" s="72"/>
      <c r="K76" s="72"/>
      <c r="L76" s="509"/>
    </row>
    <row r="77" spans="2:12" ht="15.75" thickBot="1" x14ac:dyDescent="0.3">
      <c r="B77" s="141"/>
      <c r="C77" s="77" t="s">
        <v>196</v>
      </c>
      <c r="D77" s="78"/>
      <c r="E77" s="78"/>
      <c r="F77" s="79"/>
      <c r="G77" s="79"/>
      <c r="H77" s="79"/>
      <c r="I77" s="72"/>
      <c r="J77" s="72"/>
      <c r="K77" s="72"/>
      <c r="L77" s="509"/>
    </row>
    <row r="78" spans="2:12" x14ac:dyDescent="0.25">
      <c r="B78" s="141"/>
      <c r="C78" s="406"/>
      <c r="D78" s="89" t="s">
        <v>197</v>
      </c>
      <c r="E78" s="47"/>
      <c r="F78" s="43"/>
      <c r="G78" s="43"/>
      <c r="H78" s="43"/>
      <c r="I78" s="920">
        <f>'6A'!K79</f>
        <v>0</v>
      </c>
      <c r="J78" s="106"/>
      <c r="K78" s="107"/>
      <c r="L78" s="509"/>
    </row>
    <row r="79" spans="2:12" x14ac:dyDescent="0.25">
      <c r="B79" s="141"/>
      <c r="C79" s="406"/>
      <c r="D79" s="89" t="s">
        <v>198</v>
      </c>
      <c r="E79" s="47"/>
      <c r="F79" s="43"/>
      <c r="G79" s="43"/>
      <c r="H79" s="43"/>
      <c r="I79" s="918">
        <f>'6A'!K80</f>
        <v>0</v>
      </c>
      <c r="J79" s="108"/>
      <c r="K79" s="109"/>
      <c r="L79" s="509"/>
    </row>
    <row r="80" spans="2:12" x14ac:dyDescent="0.25">
      <c r="B80" s="141"/>
      <c r="C80" s="406"/>
      <c r="D80" s="89" t="s">
        <v>199</v>
      </c>
      <c r="E80" s="47"/>
      <c r="F80" s="43"/>
      <c r="G80" s="43"/>
      <c r="H80" s="43"/>
      <c r="I80" s="918">
        <f>'6A'!K81</f>
        <v>0</v>
      </c>
      <c r="J80" s="108"/>
      <c r="K80" s="109"/>
      <c r="L80" s="509"/>
    </row>
    <row r="81" spans="2:12" x14ac:dyDescent="0.25">
      <c r="B81" s="141"/>
      <c r="C81" s="406"/>
      <c r="D81" s="81" t="s">
        <v>200</v>
      </c>
      <c r="E81" s="43"/>
      <c r="F81" s="43"/>
      <c r="G81" s="43"/>
      <c r="H81" s="43"/>
      <c r="I81" s="918">
        <f>'6A'!K82</f>
        <v>118998</v>
      </c>
      <c r="J81" s="108"/>
      <c r="K81" s="109"/>
      <c r="L81" s="509"/>
    </row>
    <row r="82" spans="2:12" x14ac:dyDescent="0.25">
      <c r="B82" s="141"/>
      <c r="C82" s="406"/>
      <c r="D82" s="1888" t="s">
        <v>201</v>
      </c>
      <c r="E82" s="43"/>
      <c r="F82" s="43"/>
      <c r="G82" s="43"/>
      <c r="H82" s="43"/>
      <c r="I82" s="918">
        <f>'6A'!K83</f>
        <v>60000</v>
      </c>
      <c r="J82" s="108"/>
      <c r="K82" s="109"/>
      <c r="L82" s="509"/>
    </row>
    <row r="83" spans="2:12" x14ac:dyDescent="0.25">
      <c r="B83" s="141"/>
      <c r="C83" s="406"/>
      <c r="D83" s="1888" t="s">
        <v>202</v>
      </c>
      <c r="E83" s="43"/>
      <c r="F83" s="43"/>
      <c r="G83" s="43"/>
      <c r="H83" s="43"/>
      <c r="I83" s="918">
        <f>'6A'!K84</f>
        <v>30000</v>
      </c>
      <c r="J83" s="108"/>
      <c r="K83" s="109"/>
      <c r="L83" s="509"/>
    </row>
    <row r="84" spans="2:12" x14ac:dyDescent="0.25">
      <c r="B84" s="141"/>
      <c r="C84" s="406"/>
      <c r="D84" s="82" t="s">
        <v>203</v>
      </c>
      <c r="E84" s="47"/>
      <c r="F84" s="43"/>
      <c r="G84" s="43"/>
      <c r="H84" s="43"/>
      <c r="I84" s="918">
        <f>'6A'!K85</f>
        <v>45000</v>
      </c>
      <c r="J84" s="108"/>
      <c r="K84" s="109"/>
      <c r="L84" s="509"/>
    </row>
    <row r="85" spans="2:12" x14ac:dyDescent="0.25">
      <c r="B85" s="141"/>
      <c r="C85" s="406"/>
      <c r="D85" s="49" t="s">
        <v>426</v>
      </c>
      <c r="E85" s="2456">
        <f>(IF(AND(I85&lt;&gt;0,'6A'!E86=""),"Enter Item on Form 6A",'6A'!E86))</f>
        <v>0</v>
      </c>
      <c r="F85" s="2457"/>
      <c r="G85" s="2458"/>
      <c r="H85" s="510"/>
      <c r="I85" s="919">
        <f>'6A'!K86</f>
        <v>0</v>
      </c>
      <c r="J85" s="114"/>
      <c r="K85" s="115"/>
      <c r="L85" s="509"/>
    </row>
    <row r="86" spans="2:12" ht="15.75" thickBot="1" x14ac:dyDescent="0.3">
      <c r="B86" s="141"/>
      <c r="C86" s="44"/>
      <c r="D86" s="43"/>
      <c r="E86" s="43"/>
      <c r="F86" s="406"/>
      <c r="G86" s="47" t="s">
        <v>157</v>
      </c>
      <c r="H86" s="88"/>
      <c r="I86" s="112">
        <f>SUM(I78:I85)</f>
        <v>253998</v>
      </c>
      <c r="J86" s="92">
        <v>0</v>
      </c>
      <c r="K86" s="96">
        <v>0</v>
      </c>
      <c r="L86" s="509"/>
    </row>
    <row r="87" spans="2:12" ht="3.75" customHeight="1" x14ac:dyDescent="0.25">
      <c r="B87" s="141"/>
      <c r="C87" s="46"/>
      <c r="D87" s="47"/>
      <c r="E87" s="47"/>
      <c r="F87" s="43"/>
      <c r="G87" s="43"/>
      <c r="H87" s="43"/>
      <c r="I87" s="72"/>
      <c r="J87" s="72"/>
      <c r="K87" s="72"/>
      <c r="L87" s="509"/>
    </row>
    <row r="88" spans="2:12" ht="15.75" thickBot="1" x14ac:dyDescent="0.3">
      <c r="B88" s="141"/>
      <c r="C88" s="77" t="s">
        <v>204</v>
      </c>
      <c r="D88" s="78"/>
      <c r="E88" s="78"/>
      <c r="F88" s="79"/>
      <c r="G88" s="79"/>
      <c r="H88" s="79"/>
      <c r="I88" s="75"/>
      <c r="J88" s="75"/>
      <c r="K88" s="84"/>
      <c r="L88" s="509"/>
    </row>
    <row r="89" spans="2:12" x14ac:dyDescent="0.25">
      <c r="B89" s="141"/>
      <c r="C89" s="406"/>
      <c r="D89" s="1889" t="s">
        <v>205</v>
      </c>
      <c r="E89" s="43"/>
      <c r="F89" s="50"/>
      <c r="G89" s="50"/>
      <c r="H89" s="50"/>
      <c r="I89" s="920">
        <f>'6A'!K90</f>
        <v>236151</v>
      </c>
      <c r="J89" s="106"/>
      <c r="K89" s="107"/>
      <c r="L89" s="509"/>
    </row>
    <row r="90" spans="2:12" x14ac:dyDescent="0.25">
      <c r="B90" s="141"/>
      <c r="C90" s="406"/>
      <c r="D90" s="1889" t="s">
        <v>206</v>
      </c>
      <c r="E90" s="43"/>
      <c r="F90" s="51"/>
      <c r="G90" s="51"/>
      <c r="H90" s="51"/>
      <c r="I90" s="918">
        <f>'6A'!K91</f>
        <v>59000</v>
      </c>
      <c r="J90" s="108"/>
      <c r="K90" s="109"/>
      <c r="L90" s="509"/>
    </row>
    <row r="91" spans="2:12" x14ac:dyDescent="0.25">
      <c r="B91" s="141"/>
      <c r="C91" s="406"/>
      <c r="D91" s="1890" t="s">
        <v>426</v>
      </c>
      <c r="E91" s="2456">
        <f>(IF(AND(I91&lt;&gt;0,'6A'!E92=""),"Enter Item on Form 6A",'6A'!E92))</f>
        <v>0</v>
      </c>
      <c r="F91" s="2457"/>
      <c r="G91" s="2458"/>
      <c r="H91" s="510"/>
      <c r="I91" s="919">
        <f>'6A'!K92</f>
        <v>0</v>
      </c>
      <c r="J91" s="114"/>
      <c r="K91" s="115"/>
      <c r="L91" s="509"/>
    </row>
    <row r="92" spans="2:12" ht="15.75" thickBot="1" x14ac:dyDescent="0.3">
      <c r="B92" s="141"/>
      <c r="C92" s="44"/>
      <c r="D92" s="43"/>
      <c r="E92" s="43"/>
      <c r="F92" s="406"/>
      <c r="G92" s="47" t="s">
        <v>157</v>
      </c>
      <c r="H92" s="88"/>
      <c r="I92" s="112">
        <f>SUM(I89:I91)</f>
        <v>295151</v>
      </c>
      <c r="J92" s="92">
        <v>0</v>
      </c>
      <c r="K92" s="96">
        <v>0</v>
      </c>
      <c r="L92" s="509"/>
    </row>
    <row r="93" spans="2:12" ht="3.75" customHeight="1" x14ac:dyDescent="0.25">
      <c r="B93" s="141"/>
      <c r="C93" s="46"/>
      <c r="D93" s="47"/>
      <c r="E93" s="47"/>
      <c r="F93" s="43"/>
      <c r="G93" s="43"/>
      <c r="H93" s="43"/>
      <c r="I93" s="72"/>
      <c r="J93" s="72"/>
      <c r="K93" s="72"/>
      <c r="L93" s="509"/>
    </row>
    <row r="94" spans="2:12" ht="15.75" thickBot="1" x14ac:dyDescent="0.3">
      <c r="B94" s="141"/>
      <c r="C94" s="77" t="s">
        <v>207</v>
      </c>
      <c r="D94" s="78"/>
      <c r="E94" s="78"/>
      <c r="F94" s="79"/>
      <c r="G94" s="79"/>
      <c r="H94" s="79"/>
      <c r="I94" s="85"/>
      <c r="J94" s="75"/>
      <c r="K94" s="84"/>
      <c r="L94" s="509"/>
    </row>
    <row r="95" spans="2:12" x14ac:dyDescent="0.25">
      <c r="B95" s="141"/>
      <c r="C95" s="406"/>
      <c r="D95" s="82" t="s">
        <v>208</v>
      </c>
      <c r="E95" s="43"/>
      <c r="F95" s="50"/>
      <c r="G95" s="50"/>
      <c r="H95" s="50"/>
      <c r="I95" s="906">
        <f>'6A'!K96</f>
        <v>5305</v>
      </c>
      <c r="J95" s="907"/>
      <c r="K95" s="917">
        <f t="shared" ref="K95:K101" si="2">I95</f>
        <v>5305</v>
      </c>
      <c r="L95" s="509"/>
    </row>
    <row r="96" spans="2:12" x14ac:dyDescent="0.25">
      <c r="B96" s="141"/>
      <c r="C96" s="406"/>
      <c r="D96" s="82" t="s">
        <v>209</v>
      </c>
      <c r="E96" s="43"/>
      <c r="F96" s="51"/>
      <c r="G96" s="51"/>
      <c r="H96" s="51"/>
      <c r="I96" s="902">
        <f>'6A'!K97</f>
        <v>98414</v>
      </c>
      <c r="J96" s="903"/>
      <c r="K96" s="909">
        <f t="shared" si="2"/>
        <v>98414</v>
      </c>
      <c r="L96" s="509"/>
    </row>
    <row r="97" spans="2:12" x14ac:dyDescent="0.25">
      <c r="B97" s="141"/>
      <c r="C97" s="406"/>
      <c r="D97" s="82" t="s">
        <v>106</v>
      </c>
      <c r="E97" s="43"/>
      <c r="F97" s="43"/>
      <c r="G97" s="43"/>
      <c r="H97" s="43"/>
      <c r="I97" s="902">
        <f>'6A'!K98</f>
        <v>0</v>
      </c>
      <c r="J97" s="903"/>
      <c r="K97" s="909">
        <f t="shared" si="2"/>
        <v>0</v>
      </c>
      <c r="L97" s="509"/>
    </row>
    <row r="98" spans="2:12" x14ac:dyDescent="0.25">
      <c r="B98" s="141"/>
      <c r="C98" s="406"/>
      <c r="D98" s="82" t="s">
        <v>210</v>
      </c>
      <c r="E98" s="43"/>
      <c r="F98" s="43"/>
      <c r="G98" s="43"/>
      <c r="H98" s="43"/>
      <c r="I98" s="902">
        <f>'6A'!K99</f>
        <v>3000</v>
      </c>
      <c r="J98" s="903"/>
      <c r="K98" s="909">
        <f t="shared" si="2"/>
        <v>3000</v>
      </c>
      <c r="L98" s="509"/>
    </row>
    <row r="99" spans="2:12" x14ac:dyDescent="0.25">
      <c r="B99" s="141"/>
      <c r="C99" s="406"/>
      <c r="D99" s="82" t="s">
        <v>211</v>
      </c>
      <c r="E99" s="43"/>
      <c r="F99" s="43"/>
      <c r="G99" s="43"/>
      <c r="H99" s="43"/>
      <c r="I99" s="902">
        <f>'6A'!K100</f>
        <v>649776</v>
      </c>
      <c r="J99" s="903"/>
      <c r="K99" s="909">
        <f t="shared" si="2"/>
        <v>649776</v>
      </c>
      <c r="L99" s="509"/>
    </row>
    <row r="100" spans="2:12" x14ac:dyDescent="0.25">
      <c r="B100" s="141"/>
      <c r="C100" s="406"/>
      <c r="D100" s="81" t="s">
        <v>212</v>
      </c>
      <c r="E100" s="43"/>
      <c r="F100" s="43"/>
      <c r="G100" s="43"/>
      <c r="H100" s="43"/>
      <c r="I100" s="902">
        <f>'6A'!K101</f>
        <v>0</v>
      </c>
      <c r="J100" s="903"/>
      <c r="K100" s="909">
        <f t="shared" si="2"/>
        <v>0</v>
      </c>
      <c r="L100" s="509"/>
    </row>
    <row r="101" spans="2:12" x14ac:dyDescent="0.25">
      <c r="B101" s="141"/>
      <c r="C101" s="406"/>
      <c r="D101" s="81" t="s">
        <v>213</v>
      </c>
      <c r="E101" s="43"/>
      <c r="F101" s="43"/>
      <c r="G101" s="43"/>
      <c r="H101" s="43"/>
      <c r="I101" s="918">
        <f>'6A'!K102</f>
        <v>0</v>
      </c>
      <c r="J101" s="910"/>
      <c r="K101" s="911">
        <f t="shared" si="2"/>
        <v>0</v>
      </c>
      <c r="L101" s="509"/>
    </row>
    <row r="102" spans="2:12" x14ac:dyDescent="0.25">
      <c r="B102" s="141"/>
      <c r="C102" s="406"/>
      <c r="D102" s="1888" t="s">
        <v>214</v>
      </c>
      <c r="E102" s="43"/>
      <c r="F102" s="43"/>
      <c r="G102" s="43"/>
      <c r="H102" s="43"/>
      <c r="I102" s="918">
        <f>'6A'!K103</f>
        <v>25000</v>
      </c>
      <c r="J102" s="127"/>
      <c r="K102" s="103"/>
      <c r="L102" s="509"/>
    </row>
    <row r="103" spans="2:12" x14ac:dyDescent="0.25">
      <c r="B103" s="141"/>
      <c r="C103" s="406"/>
      <c r="D103" s="82" t="s">
        <v>215</v>
      </c>
      <c r="E103" s="43"/>
      <c r="F103" s="43"/>
      <c r="G103" s="43"/>
      <c r="H103" s="43"/>
      <c r="I103" s="918">
        <f>'6A'!K104</f>
        <v>20000</v>
      </c>
      <c r="J103" s="87"/>
      <c r="K103" s="95">
        <f>I103</f>
        <v>20000</v>
      </c>
      <c r="L103" s="509"/>
    </row>
    <row r="104" spans="2:12" x14ac:dyDescent="0.25">
      <c r="B104" s="141"/>
      <c r="C104" s="406"/>
      <c r="D104" s="81" t="s">
        <v>216</v>
      </c>
      <c r="E104" s="43"/>
      <c r="F104" s="43"/>
      <c r="G104" s="43"/>
      <c r="H104" s="43"/>
      <c r="I104" s="918">
        <f>'6A'!K105</f>
        <v>50000</v>
      </c>
      <c r="J104" s="110"/>
      <c r="K104" s="111"/>
      <c r="L104" s="509"/>
    </row>
    <row r="105" spans="2:12" x14ac:dyDescent="0.25">
      <c r="B105" s="141"/>
      <c r="C105" s="406"/>
      <c r="D105" s="1889" t="s">
        <v>217</v>
      </c>
      <c r="E105" s="58"/>
      <c r="F105" s="51"/>
      <c r="G105" s="51"/>
      <c r="H105" s="51"/>
      <c r="I105" s="919">
        <f>'6A'!K106</f>
        <v>0</v>
      </c>
      <c r="J105" s="114"/>
      <c r="K105" s="115"/>
      <c r="L105" s="509"/>
    </row>
    <row r="106" spans="2:12" ht="15.75" thickBot="1" x14ac:dyDescent="0.3">
      <c r="B106" s="141"/>
      <c r="C106" s="44"/>
      <c r="D106" s="43"/>
      <c r="E106" s="43"/>
      <c r="F106" s="406"/>
      <c r="G106" s="47" t="s">
        <v>157</v>
      </c>
      <c r="H106" s="88"/>
      <c r="I106" s="112">
        <f>SUM(I95:I105)</f>
        <v>851495</v>
      </c>
      <c r="J106" s="92">
        <f>SUM(J95:J101)+J103</f>
        <v>0</v>
      </c>
      <c r="K106" s="96">
        <f>SUM(K95:K101)+K103</f>
        <v>776495</v>
      </c>
      <c r="L106" s="509"/>
    </row>
    <row r="107" spans="2:12" ht="9" customHeight="1" thickBot="1" x14ac:dyDescent="0.3">
      <c r="B107" s="512"/>
      <c r="C107" s="126"/>
      <c r="D107" s="57"/>
      <c r="E107" s="57"/>
      <c r="F107" s="56"/>
      <c r="G107" s="56"/>
      <c r="H107" s="56"/>
      <c r="I107" s="86"/>
      <c r="J107" s="86"/>
      <c r="K107" s="86"/>
      <c r="L107" s="513"/>
    </row>
    <row r="108" spans="2:12" ht="15.75" thickBot="1" x14ac:dyDescent="0.3">
      <c r="B108" s="141"/>
      <c r="C108" s="77" t="s">
        <v>218</v>
      </c>
      <c r="D108" s="78"/>
      <c r="E108" s="78"/>
      <c r="F108" s="79"/>
      <c r="G108" s="79"/>
      <c r="H108" s="79"/>
      <c r="I108" s="72"/>
      <c r="J108" s="72"/>
      <c r="K108" s="72"/>
      <c r="L108" s="143"/>
    </row>
    <row r="109" spans="2:12" x14ac:dyDescent="0.25">
      <c r="B109" s="141"/>
      <c r="C109" s="142"/>
      <c r="D109" s="89" t="s">
        <v>219</v>
      </c>
      <c r="E109" s="47"/>
      <c r="F109" s="43"/>
      <c r="G109" s="43"/>
      <c r="H109" s="43"/>
      <c r="I109" s="920">
        <f>'6A'!K111</f>
        <v>0</v>
      </c>
      <c r="J109" s="106"/>
      <c r="K109" s="107"/>
      <c r="L109" s="143"/>
    </row>
    <row r="110" spans="2:12" x14ac:dyDescent="0.25">
      <c r="B110" s="141"/>
      <c r="C110" s="142"/>
      <c r="D110" s="89" t="s">
        <v>220</v>
      </c>
      <c r="E110" s="47"/>
      <c r="F110" s="43"/>
      <c r="G110" s="43"/>
      <c r="H110" s="43"/>
      <c r="I110" s="918">
        <f>'6A'!K112</f>
        <v>0</v>
      </c>
      <c r="J110" s="108"/>
      <c r="K110" s="109"/>
      <c r="L110" s="143"/>
    </row>
    <row r="111" spans="2:12" x14ac:dyDescent="0.25">
      <c r="B111" s="141"/>
      <c r="C111" s="406"/>
      <c r="D111" s="89" t="s">
        <v>221</v>
      </c>
      <c r="E111" s="47"/>
      <c r="F111" s="43"/>
      <c r="G111" s="43"/>
      <c r="H111" s="43"/>
      <c r="I111" s="918">
        <f>'6A'!K113</f>
        <v>0</v>
      </c>
      <c r="J111" s="108"/>
      <c r="K111" s="109"/>
      <c r="L111" s="509"/>
    </row>
    <row r="112" spans="2:12" x14ac:dyDescent="0.25">
      <c r="B112" s="141"/>
      <c r="C112" s="406"/>
      <c r="D112" s="89" t="s">
        <v>222</v>
      </c>
      <c r="E112" s="47"/>
      <c r="F112" s="43"/>
      <c r="G112" s="43"/>
      <c r="H112" s="43"/>
      <c r="I112" s="918">
        <f>'6A'!K114</f>
        <v>0</v>
      </c>
      <c r="J112" s="108"/>
      <c r="K112" s="109"/>
      <c r="L112" s="509"/>
    </row>
    <row r="113" spans="2:12" x14ac:dyDescent="0.25">
      <c r="B113" s="141"/>
      <c r="C113" s="406"/>
      <c r="D113" s="89" t="s">
        <v>223</v>
      </c>
      <c r="E113" s="47"/>
      <c r="F113" s="43"/>
      <c r="G113" s="43"/>
      <c r="H113" s="43"/>
      <c r="I113" s="918">
        <f>'6A'!K115</f>
        <v>0</v>
      </c>
      <c r="J113" s="108"/>
      <c r="K113" s="109"/>
      <c r="L113" s="509"/>
    </row>
    <row r="114" spans="2:12" x14ac:dyDescent="0.25">
      <c r="B114" s="141"/>
      <c r="C114" s="406"/>
      <c r="D114" s="89" t="s">
        <v>224</v>
      </c>
      <c r="E114" s="47"/>
      <c r="F114" s="43"/>
      <c r="G114" s="43"/>
      <c r="H114" s="43"/>
      <c r="I114" s="918">
        <f>'6A'!K116</f>
        <v>0</v>
      </c>
      <c r="J114" s="108"/>
      <c r="K114" s="109"/>
      <c r="L114" s="509"/>
    </row>
    <row r="115" spans="2:12" x14ac:dyDescent="0.25">
      <c r="B115" s="141"/>
      <c r="C115" s="406"/>
      <c r="D115" s="89" t="s">
        <v>225</v>
      </c>
      <c r="E115" s="47"/>
      <c r="F115" s="43"/>
      <c r="G115" s="43"/>
      <c r="H115" s="43"/>
      <c r="I115" s="919">
        <f>'6A'!K117</f>
        <v>0</v>
      </c>
      <c r="J115" s="114"/>
      <c r="K115" s="115"/>
      <c r="L115" s="509"/>
    </row>
    <row r="116" spans="2:12" ht="15.75" thickBot="1" x14ac:dyDescent="0.3">
      <c r="B116" s="141"/>
      <c r="C116" s="44"/>
      <c r="D116" s="406"/>
      <c r="E116" s="43"/>
      <c r="F116" s="406"/>
      <c r="G116" s="47" t="s">
        <v>157</v>
      </c>
      <c r="H116" s="88"/>
      <c r="I116" s="112">
        <f>SUM(I109:I115)</f>
        <v>0</v>
      </c>
      <c r="J116" s="92">
        <v>0</v>
      </c>
      <c r="K116" s="96">
        <v>0</v>
      </c>
      <c r="L116" s="509"/>
    </row>
    <row r="117" spans="2:12" ht="7.5" customHeight="1" thickBot="1" x14ac:dyDescent="0.3">
      <c r="B117" s="141"/>
      <c r="C117" s="65"/>
      <c r="D117" s="64"/>
      <c r="E117" s="64"/>
      <c r="F117" s="66"/>
      <c r="G117" s="66"/>
      <c r="H117" s="66"/>
      <c r="I117" s="76"/>
      <c r="J117" s="76"/>
      <c r="K117" s="76"/>
      <c r="L117" s="509"/>
    </row>
    <row r="118" spans="2:12" ht="15.75" thickBot="1" x14ac:dyDescent="0.3">
      <c r="B118" s="141"/>
      <c r="C118" s="98" t="s">
        <v>240</v>
      </c>
      <c r="D118" s="99"/>
      <c r="E118" s="99"/>
      <c r="F118" s="99"/>
      <c r="G118" s="99"/>
      <c r="H118" s="99"/>
      <c r="I118" s="93">
        <f>I27+I46+I62+I67+I75+I86+I92+I106+I116</f>
        <v>21313414.802096002</v>
      </c>
      <c r="J118" s="91">
        <f>J27+J46+J62+J67+J75+J86+J92+J106+J116</f>
        <v>0</v>
      </c>
      <c r="K118" s="97">
        <f>K27+K46+K62+K67+K75+K86+K92+K106+K116</f>
        <v>17542731.802096002</v>
      </c>
      <c r="L118" s="509"/>
    </row>
    <row r="119" spans="2:12" ht="7.5" customHeight="1" x14ac:dyDescent="0.25">
      <c r="B119" s="141"/>
      <c r="C119" s="142"/>
      <c r="D119" s="142"/>
      <c r="E119" s="142"/>
      <c r="F119" s="142"/>
      <c r="G119" s="142"/>
      <c r="H119" s="142"/>
      <c r="I119" s="406"/>
      <c r="J119" s="406"/>
      <c r="K119" s="406"/>
      <c r="L119" s="509"/>
    </row>
    <row r="120" spans="2:12" x14ac:dyDescent="0.25">
      <c r="B120" s="141"/>
      <c r="C120" s="2437" t="s">
        <v>241</v>
      </c>
      <c r="D120" s="2438"/>
      <c r="E120" s="2438"/>
      <c r="F120" s="2438"/>
      <c r="G120" s="2438"/>
      <c r="H120" s="2438"/>
      <c r="I120" s="2438"/>
      <c r="J120" s="2438"/>
      <c r="K120" s="2439"/>
      <c r="L120" s="509"/>
    </row>
    <row r="121" spans="2:12" x14ac:dyDescent="0.25">
      <c r="B121" s="141"/>
      <c r="C121" s="2440"/>
      <c r="D121" s="2441"/>
      <c r="E121" s="2441"/>
      <c r="F121" s="2441"/>
      <c r="G121" s="2441"/>
      <c r="H121" s="2441"/>
      <c r="I121" s="2441"/>
      <c r="J121" s="2441"/>
      <c r="K121" s="2442"/>
      <c r="L121" s="509"/>
    </row>
    <row r="122" spans="2:12" x14ac:dyDescent="0.25">
      <c r="B122" s="141"/>
      <c r="C122" s="2443"/>
      <c r="D122" s="2444"/>
      <c r="E122" s="2444"/>
      <c r="F122" s="2444"/>
      <c r="G122" s="2444"/>
      <c r="H122" s="2444"/>
      <c r="I122" s="2444"/>
      <c r="J122" s="2444"/>
      <c r="K122" s="2445"/>
      <c r="L122" s="509"/>
    </row>
    <row r="123" spans="2:12" ht="9" customHeight="1" thickBot="1" x14ac:dyDescent="0.3">
      <c r="B123" s="514"/>
      <c r="C123" s="515"/>
      <c r="D123" s="515"/>
      <c r="E123" s="515"/>
      <c r="F123" s="515"/>
      <c r="G123" s="515"/>
      <c r="H123" s="515"/>
      <c r="I123" s="515"/>
      <c r="J123" s="515"/>
      <c r="K123" s="515"/>
      <c r="L123" s="513"/>
    </row>
  </sheetData>
  <sheetProtection password="D666" sheet="1" objects="1" scenarios="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headerFooter>
    <oddFooter>&amp;LForm 6C
LIHTC Budget (Basis Calculation)&amp;CCFA Forms&amp;REdition: 2016
Version: 1.0</oddFooter>
  </headerFooter>
  <rowBreaks count="2" manualBreakCount="2">
    <brk id="63" min="1" max="11" man="1"/>
    <brk id="107" min="1" max="11" man="1"/>
  </rowBreaks>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opLeftCell="A31" zoomScale="125" zoomScaleNormal="125" zoomScalePageLayoutView="125" workbookViewId="0">
      <selection activeCell="U35" sqref="U35"/>
    </sheetView>
  </sheetViews>
  <sheetFormatPr defaultColWidth="8.85546875" defaultRowHeight="15" x14ac:dyDescent="0.25"/>
  <cols>
    <col min="1" max="2" width="1.7109375" style="399" customWidth="1"/>
    <col min="3" max="3" width="2.85546875" style="399" customWidth="1"/>
    <col min="4" max="4" width="14.28515625" style="399" customWidth="1"/>
    <col min="5" max="5" width="48.42578125" style="399" customWidth="1"/>
    <col min="6" max="6" width="11.42578125" style="399" customWidth="1"/>
    <col min="7" max="7" width="17.7109375" style="399" customWidth="1"/>
    <col min="8" max="8" width="1.7109375" style="399" customWidth="1"/>
    <col min="9" max="16384" width="8.85546875" style="399"/>
  </cols>
  <sheetData>
    <row r="5" spans="2:8" ht="9" customHeight="1" thickBot="1" x14ac:dyDescent="0.3"/>
    <row r="6" spans="2:8" ht="9" customHeight="1" x14ac:dyDescent="0.25">
      <c r="B6" s="516"/>
      <c r="C6" s="517"/>
      <c r="D6" s="517"/>
      <c r="E6" s="518"/>
      <c r="F6" s="518"/>
      <c r="G6" s="518"/>
      <c r="H6" s="519"/>
    </row>
    <row r="7" spans="2:8" ht="18.75" x14ac:dyDescent="0.3">
      <c r="B7" s="520"/>
      <c r="C7" s="2459" t="s">
        <v>242</v>
      </c>
      <c r="D7" s="2459"/>
      <c r="E7" s="2459"/>
      <c r="F7" s="2459"/>
      <c r="G7" s="2459"/>
      <c r="H7" s="521"/>
    </row>
    <row r="8" spans="2:8" x14ac:dyDescent="0.25">
      <c r="B8" s="520"/>
      <c r="C8" s="522"/>
      <c r="D8" s="522"/>
      <c r="E8" s="523"/>
      <c r="F8" s="523"/>
      <c r="G8" s="523"/>
      <c r="H8" s="521"/>
    </row>
    <row r="9" spans="2:8" ht="15.75" thickBot="1" x14ac:dyDescent="0.3">
      <c r="B9" s="520"/>
      <c r="C9" s="2467" t="str">
        <f>IF('1'!G5="","Enter Project Name on Form 1",(CONCATENATE("Project Name: ",'1'!G5)))</f>
        <v>Project Name: Compass Broadview</v>
      </c>
      <c r="D9" s="2467"/>
      <c r="E9" s="2467"/>
      <c r="F9" s="2467"/>
      <c r="G9" s="493"/>
      <c r="H9" s="524"/>
    </row>
    <row r="10" spans="2:8" x14ac:dyDescent="0.25">
      <c r="B10" s="520"/>
      <c r="C10" s="522"/>
      <c r="D10" s="522"/>
      <c r="E10" s="163"/>
      <c r="F10" s="165"/>
      <c r="G10" s="166"/>
      <c r="H10" s="525"/>
    </row>
    <row r="11" spans="2:8" x14ac:dyDescent="0.25">
      <c r="B11" s="520"/>
      <c r="C11" s="163" t="s">
        <v>243</v>
      </c>
      <c r="D11" s="163"/>
      <c r="E11" s="526"/>
      <c r="F11" s="165"/>
      <c r="G11" s="166"/>
      <c r="H11" s="525"/>
    </row>
    <row r="12" spans="2:8" ht="30" customHeight="1" x14ac:dyDescent="0.25">
      <c r="B12" s="520"/>
      <c r="C12" s="522"/>
      <c r="D12" s="2460" t="s">
        <v>244</v>
      </c>
      <c r="E12" s="2460"/>
      <c r="F12" s="681"/>
      <c r="G12" s="526"/>
      <c r="H12" s="525"/>
    </row>
    <row r="13" spans="2:8" ht="15.75" thickBot="1" x14ac:dyDescent="0.3">
      <c r="B13" s="520"/>
      <c r="C13" s="522"/>
      <c r="D13" s="522"/>
      <c r="E13" s="163"/>
      <c r="F13" s="165"/>
      <c r="G13" s="165"/>
      <c r="H13" s="525"/>
    </row>
    <row r="14" spans="2:8" ht="24.75" thickBot="1" x14ac:dyDescent="0.3">
      <c r="B14" s="520"/>
      <c r="C14" s="522"/>
      <c r="D14" s="522"/>
      <c r="E14" s="163"/>
      <c r="F14" s="167" t="s">
        <v>22</v>
      </c>
      <c r="G14" s="168" t="s">
        <v>236</v>
      </c>
      <c r="H14" s="525"/>
    </row>
    <row r="15" spans="2:8" ht="15.75" thickBot="1" x14ac:dyDescent="0.3">
      <c r="B15" s="520"/>
      <c r="C15" s="169" t="s">
        <v>245</v>
      </c>
      <c r="D15" s="169"/>
      <c r="E15" s="170"/>
      <c r="F15" s="527"/>
      <c r="G15" s="527"/>
      <c r="H15" s="525"/>
    </row>
    <row r="16" spans="2:8" x14ac:dyDescent="0.25">
      <c r="B16" s="520"/>
      <c r="C16" s="163"/>
      <c r="D16" s="171" t="s">
        <v>246</v>
      </c>
      <c r="E16" s="526"/>
      <c r="F16" s="926">
        <f>'6C'!J118</f>
        <v>0</v>
      </c>
      <c r="G16" s="172">
        <f>'6C'!K118</f>
        <v>17542731.802096002</v>
      </c>
      <c r="H16" s="525"/>
    </row>
    <row r="17" spans="2:8" x14ac:dyDescent="0.25">
      <c r="B17" s="520"/>
      <c r="C17" s="163"/>
      <c r="D17" s="164" t="s">
        <v>247</v>
      </c>
      <c r="E17" s="526"/>
      <c r="F17" s="922"/>
      <c r="G17" s="921"/>
      <c r="H17" s="525"/>
    </row>
    <row r="18" spans="2:8" x14ac:dyDescent="0.25">
      <c r="B18" s="520"/>
      <c r="C18" s="163"/>
      <c r="D18" s="164" t="s">
        <v>248</v>
      </c>
      <c r="E18" s="526"/>
      <c r="F18" s="922"/>
      <c r="G18" s="923"/>
      <c r="H18" s="525"/>
    </row>
    <row r="19" spans="2:8" ht="30" customHeight="1" x14ac:dyDescent="0.25">
      <c r="B19" s="520"/>
      <c r="C19" s="163"/>
      <c r="D19" s="2460" t="s">
        <v>249</v>
      </c>
      <c r="E19" s="2461"/>
      <c r="F19" s="922"/>
      <c r="G19" s="923"/>
      <c r="H19" s="525"/>
    </row>
    <row r="20" spans="2:8" x14ac:dyDescent="0.25">
      <c r="B20" s="520"/>
      <c r="C20" s="163"/>
      <c r="D20" s="173" t="s">
        <v>250</v>
      </c>
      <c r="E20" s="528"/>
      <c r="F20" s="924"/>
      <c r="G20" s="925"/>
      <c r="H20" s="525"/>
    </row>
    <row r="21" spans="2:8" ht="15.75" thickBot="1" x14ac:dyDescent="0.3">
      <c r="B21" s="520"/>
      <c r="C21" s="163"/>
      <c r="D21" s="171" t="s">
        <v>251</v>
      </c>
      <c r="E21" s="526"/>
      <c r="F21" s="174">
        <f>F16-(SUM(F17:F20))</f>
        <v>0</v>
      </c>
      <c r="G21" s="175">
        <f>G16-(SUM(G18:G20))</f>
        <v>17542731.802096002</v>
      </c>
      <c r="H21" s="525"/>
    </row>
    <row r="22" spans="2:8" ht="15.75" thickBot="1" x14ac:dyDescent="0.3">
      <c r="B22" s="520"/>
      <c r="C22" s="163"/>
      <c r="D22" s="164"/>
      <c r="E22" s="526"/>
      <c r="F22" s="166"/>
      <c r="G22" s="165"/>
      <c r="H22" s="525"/>
    </row>
    <row r="23" spans="2:8" x14ac:dyDescent="0.25">
      <c r="B23" s="520"/>
      <c r="C23" s="163"/>
      <c r="D23" s="165" t="s">
        <v>251</v>
      </c>
      <c r="E23" s="526"/>
      <c r="F23" s="926">
        <f>F21</f>
        <v>0</v>
      </c>
      <c r="G23" s="927">
        <f>G21</f>
        <v>17542731.802096002</v>
      </c>
      <c r="H23" s="525"/>
    </row>
    <row r="24" spans="2:8" x14ac:dyDescent="0.25">
      <c r="B24" s="520"/>
      <c r="C24" s="163"/>
      <c r="D24" s="165" t="s">
        <v>252</v>
      </c>
      <c r="E24" s="526"/>
      <c r="F24" s="928">
        <v>1</v>
      </c>
      <c r="G24" s="929">
        <f>IF(F12="Yes",130%,100%)</f>
        <v>1</v>
      </c>
      <c r="H24" s="525"/>
    </row>
    <row r="25" spans="2:8" x14ac:dyDescent="0.25">
      <c r="B25" s="520"/>
      <c r="C25" s="163"/>
      <c r="D25" s="176" t="s">
        <v>253</v>
      </c>
      <c r="E25" s="528"/>
      <c r="F25" s="1544">
        <v>1</v>
      </c>
      <c r="G25" s="1133">
        <v>1</v>
      </c>
      <c r="H25" s="525"/>
    </row>
    <row r="26" spans="2:8" ht="15.75" thickBot="1" x14ac:dyDescent="0.3">
      <c r="B26" s="520"/>
      <c r="C26" s="163"/>
      <c r="D26" s="177" t="s">
        <v>254</v>
      </c>
      <c r="E26" s="526"/>
      <c r="F26" s="178">
        <f>(F23*F24)*F25</f>
        <v>0</v>
      </c>
      <c r="G26" s="179">
        <f>(G23*G24)*G25</f>
        <v>17542731.802096002</v>
      </c>
      <c r="H26" s="525"/>
    </row>
    <row r="27" spans="2:8" ht="15.75" thickBot="1" x14ac:dyDescent="0.3">
      <c r="B27" s="520"/>
      <c r="C27" s="163"/>
      <c r="D27" s="164"/>
      <c r="E27" s="526"/>
      <c r="F27" s="165"/>
      <c r="G27" s="165"/>
      <c r="H27" s="525"/>
    </row>
    <row r="28" spans="2:8" x14ac:dyDescent="0.25">
      <c r="B28" s="520"/>
      <c r="C28" s="163"/>
      <c r="D28" s="164" t="s">
        <v>254</v>
      </c>
      <c r="E28" s="526"/>
      <c r="F28" s="926">
        <f>F26</f>
        <v>0</v>
      </c>
      <c r="G28" s="927">
        <f>G26</f>
        <v>17542731.802096002</v>
      </c>
      <c r="H28" s="525"/>
    </row>
    <row r="29" spans="2:8" x14ac:dyDescent="0.25">
      <c r="B29" s="520"/>
      <c r="C29" s="163"/>
      <c r="D29" s="173" t="s">
        <v>255</v>
      </c>
      <c r="E29" s="526"/>
      <c r="F29" s="1134">
        <v>3.2199999999999999E-2</v>
      </c>
      <c r="G29" s="1983">
        <v>0.09</v>
      </c>
      <c r="H29" s="525"/>
    </row>
    <row r="30" spans="2:8" ht="15.75" thickBot="1" x14ac:dyDescent="0.3">
      <c r="B30" s="520"/>
      <c r="C30" s="163"/>
      <c r="D30" s="171" t="s">
        <v>256</v>
      </c>
      <c r="E30" s="526"/>
      <c r="F30" s="174">
        <f>F28*F29</f>
        <v>0</v>
      </c>
      <c r="G30" s="175">
        <f>G28*G29</f>
        <v>1578845.8621886401</v>
      </c>
      <c r="H30" s="525"/>
    </row>
    <row r="31" spans="2:8" ht="15" customHeight="1" thickBot="1" x14ac:dyDescent="0.3">
      <c r="B31" s="520"/>
      <c r="C31" s="163"/>
      <c r="D31" s="164"/>
      <c r="E31" s="526"/>
      <c r="F31" s="165"/>
      <c r="G31" s="165"/>
      <c r="H31" s="525"/>
    </row>
    <row r="32" spans="2:8" ht="15.75" thickBot="1" x14ac:dyDescent="0.3">
      <c r="B32" s="520"/>
      <c r="C32" s="163"/>
      <c r="D32" s="171" t="s">
        <v>506</v>
      </c>
      <c r="E32" s="526"/>
      <c r="F32" s="165"/>
      <c r="G32" s="180">
        <f>F30+G30</f>
        <v>1578845.8621886401</v>
      </c>
      <c r="H32" s="525"/>
    </row>
    <row r="33" spans="2:10" x14ac:dyDescent="0.25">
      <c r="B33" s="520"/>
      <c r="C33" s="163"/>
      <c r="D33" s="163"/>
      <c r="E33" s="164"/>
      <c r="F33" s="165"/>
      <c r="G33" s="165"/>
      <c r="H33" s="525"/>
    </row>
    <row r="34" spans="2:10" ht="15.75" thickBot="1" x14ac:dyDescent="0.3">
      <c r="B34" s="520"/>
      <c r="C34" s="181" t="s">
        <v>257</v>
      </c>
      <c r="D34" s="181"/>
      <c r="E34" s="182"/>
      <c r="F34" s="183"/>
      <c r="G34" s="184"/>
      <c r="H34" s="525"/>
    </row>
    <row r="35" spans="2:10" x14ac:dyDescent="0.25">
      <c r="B35" s="520"/>
      <c r="C35" s="163"/>
      <c r="D35" s="164" t="s">
        <v>531</v>
      </c>
      <c r="E35" s="526"/>
      <c r="F35" s="165"/>
      <c r="G35" s="930">
        <f>'6A'!K120</f>
        <v>21313414.802096002</v>
      </c>
      <c r="H35" s="185"/>
    </row>
    <row r="36" spans="2:10" x14ac:dyDescent="0.25">
      <c r="B36" s="520"/>
      <c r="C36" s="163"/>
      <c r="D36" s="173" t="s">
        <v>507</v>
      </c>
      <c r="E36" s="529"/>
      <c r="F36" s="354"/>
      <c r="G36" s="931">
        <f>-('7A'!F34)</f>
        <v>-8330553</v>
      </c>
      <c r="H36" s="525"/>
    </row>
    <row r="37" spans="2:10" ht="15.75" thickBot="1" x14ac:dyDescent="0.3">
      <c r="B37" s="520"/>
      <c r="C37" s="163"/>
      <c r="D37" s="171" t="s">
        <v>258</v>
      </c>
      <c r="E37" s="526"/>
      <c r="F37" s="177"/>
      <c r="G37" s="186">
        <f>G35+G36</f>
        <v>12982861.802096002</v>
      </c>
      <c r="H37" s="525"/>
    </row>
    <row r="38" spans="2:10" ht="15.75" thickBot="1" x14ac:dyDescent="0.3">
      <c r="B38" s="520"/>
      <c r="C38" s="163"/>
      <c r="D38" s="164"/>
      <c r="E38" s="526"/>
      <c r="F38" s="165"/>
      <c r="G38" s="166"/>
      <c r="H38" s="525"/>
    </row>
    <row r="39" spans="2:10" x14ac:dyDescent="0.25">
      <c r="B39" s="520"/>
      <c r="C39" s="163"/>
      <c r="D39" s="164" t="s">
        <v>258</v>
      </c>
      <c r="E39" s="526"/>
      <c r="F39" s="165"/>
      <c r="G39" s="930">
        <f>G37</f>
        <v>12982861.802096002</v>
      </c>
      <c r="H39" s="525"/>
    </row>
    <row r="40" spans="2:10" ht="15.75" thickBot="1" x14ac:dyDescent="0.3">
      <c r="B40" s="520"/>
      <c r="C40" s="163"/>
      <c r="D40" s="164" t="s">
        <v>1707</v>
      </c>
      <c r="E40" s="526"/>
      <c r="F40" s="165"/>
      <c r="G40" s="932">
        <v>1.05</v>
      </c>
      <c r="H40" s="525"/>
      <c r="J40" s="395"/>
    </row>
    <row r="41" spans="2:10" ht="15.75" thickBot="1" x14ac:dyDescent="0.3">
      <c r="B41" s="520"/>
      <c r="C41" s="163"/>
      <c r="D41" s="187" t="s">
        <v>259</v>
      </c>
      <c r="E41" s="529"/>
      <c r="F41" s="176"/>
      <c r="G41" s="712">
        <v>10</v>
      </c>
      <c r="H41" s="525"/>
    </row>
    <row r="42" spans="2:10" ht="15.75" thickBot="1" x14ac:dyDescent="0.3">
      <c r="B42" s="520"/>
      <c r="C42" s="163"/>
      <c r="D42" s="188" t="s">
        <v>260</v>
      </c>
      <c r="E42" s="526"/>
      <c r="F42" s="165"/>
      <c r="G42" s="189">
        <f>IFERROR(((G39/G40)/10),0)</f>
        <v>1236463.0287710477</v>
      </c>
      <c r="H42" s="525"/>
    </row>
    <row r="43" spans="2:10" x14ac:dyDescent="0.25">
      <c r="B43" s="520"/>
      <c r="C43" s="163"/>
      <c r="D43" s="163"/>
      <c r="E43" s="164"/>
      <c r="F43" s="165"/>
      <c r="G43" s="166"/>
      <c r="H43" s="525"/>
    </row>
    <row r="44" spans="2:10" x14ac:dyDescent="0.25">
      <c r="B44" s="520"/>
      <c r="C44" s="163" t="s">
        <v>261</v>
      </c>
      <c r="D44" s="163"/>
      <c r="E44" s="164"/>
      <c r="F44" s="165"/>
      <c r="G44" s="682" t="s">
        <v>558</v>
      </c>
      <c r="H44" s="525"/>
    </row>
    <row r="45" spans="2:10" x14ac:dyDescent="0.25">
      <c r="B45" s="520"/>
      <c r="C45" s="163"/>
      <c r="D45" s="163"/>
      <c r="E45" s="164"/>
      <c r="F45" s="165"/>
      <c r="G45" s="166"/>
      <c r="H45" s="525"/>
    </row>
    <row r="46" spans="2:10" ht="15.75" thickBot="1" x14ac:dyDescent="0.3">
      <c r="B46" s="520"/>
      <c r="C46" s="181" t="s">
        <v>262</v>
      </c>
      <c r="D46" s="181"/>
      <c r="E46" s="182"/>
      <c r="F46" s="183"/>
      <c r="G46" s="165"/>
      <c r="H46" s="190"/>
    </row>
    <row r="47" spans="2:10" x14ac:dyDescent="0.25">
      <c r="B47" s="520"/>
      <c r="C47" s="163"/>
      <c r="D47" s="164" t="s">
        <v>263</v>
      </c>
      <c r="E47" s="526"/>
      <c r="F47" s="165"/>
      <c r="G47" s="1545">
        <f>'2A'!I22</f>
        <v>59</v>
      </c>
      <c r="H47" s="190"/>
    </row>
    <row r="48" spans="2:10" x14ac:dyDescent="0.25">
      <c r="B48" s="520"/>
      <c r="C48" s="163"/>
      <c r="D48" s="173" t="s">
        <v>1679</v>
      </c>
      <c r="E48" s="529"/>
      <c r="F48" s="354"/>
      <c r="G48" s="931">
        <f>IF(G44="Yes",20957,16153)</f>
        <v>20957</v>
      </c>
      <c r="H48" s="190"/>
    </row>
    <row r="49" spans="2:8" ht="15.75" thickBot="1" x14ac:dyDescent="0.3">
      <c r="B49" s="520"/>
      <c r="C49" s="163"/>
      <c r="D49" s="171" t="s">
        <v>264</v>
      </c>
      <c r="E49" s="526"/>
      <c r="F49" s="165"/>
      <c r="G49" s="189">
        <f>G47*G48</f>
        <v>1236463</v>
      </c>
      <c r="H49" s="190"/>
    </row>
    <row r="50" spans="2:8" ht="15.75" thickBot="1" x14ac:dyDescent="0.3">
      <c r="B50" s="520"/>
      <c r="C50" s="522"/>
      <c r="D50" s="522"/>
      <c r="E50" s="163"/>
      <c r="F50" s="165"/>
      <c r="G50" s="165"/>
      <c r="H50" s="185"/>
    </row>
    <row r="51" spans="2:8" s="1176" customFormat="1" ht="20.25" thickTop="1" thickBot="1" x14ac:dyDescent="0.35">
      <c r="B51" s="1173"/>
      <c r="C51" s="1174"/>
      <c r="D51" s="1174"/>
      <c r="E51" s="2463" t="s">
        <v>265</v>
      </c>
      <c r="F51" s="2464"/>
      <c r="G51" s="1177">
        <f>MIN(G32,G42,G49)</f>
        <v>1236463</v>
      </c>
      <c r="H51" s="1175"/>
    </row>
    <row r="52" spans="2:8" ht="7.5" customHeight="1" thickBot="1" x14ac:dyDescent="0.3">
      <c r="B52" s="1546"/>
      <c r="C52" s="526"/>
      <c r="D52" s="526"/>
      <c r="E52" s="526"/>
      <c r="F52" s="526"/>
      <c r="G52" s="526"/>
      <c r="H52" s="1547"/>
    </row>
    <row r="53" spans="2:8" ht="15.75" thickBot="1" x14ac:dyDescent="0.3">
      <c r="B53" s="1546"/>
      <c r="C53" s="526"/>
      <c r="D53" s="526"/>
      <c r="E53" s="2465" t="s">
        <v>691</v>
      </c>
      <c r="F53" s="2466"/>
      <c r="G53" s="1178">
        <f>G51*G40*10</f>
        <v>12982861.500000002</v>
      </c>
      <c r="H53" s="1547"/>
    </row>
    <row r="54" spans="2:8" ht="15.75" thickBot="1" x14ac:dyDescent="0.3">
      <c r="B54" s="530"/>
      <c r="C54" s="531"/>
      <c r="D54" s="531"/>
      <c r="E54" s="2462"/>
      <c r="F54" s="2462"/>
      <c r="G54" s="2462"/>
      <c r="H54" s="532"/>
    </row>
  </sheetData>
  <sheetProtection password="D666" sheet="1" objects="1" scenarios="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89" orientation="portrait"/>
  <headerFooter>
    <oddFooter>&amp;LForm 6D
LIHTC Calculation&amp;CCFA Forms&amp;REdition: 2016
Version: 1.0</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66"/>
  <sheetViews>
    <sheetView showGridLines="0" topLeftCell="A9" zoomScale="125" zoomScaleNormal="125" zoomScalePageLayoutView="125" workbookViewId="0">
      <selection activeCell="U35" sqref="U35"/>
    </sheetView>
  </sheetViews>
  <sheetFormatPr defaultColWidth="8.85546875" defaultRowHeight="15" x14ac:dyDescent="0.25"/>
  <cols>
    <col min="1" max="2" width="1.7109375" style="394" customWidth="1"/>
    <col min="3" max="3" width="2.85546875" style="394" customWidth="1"/>
    <col min="4" max="4" width="14.28515625" style="394" customWidth="1"/>
    <col min="5" max="5" width="8.85546875" style="394"/>
    <col min="6" max="6" width="4.28515625" style="394" customWidth="1"/>
    <col min="7" max="7" width="4.28515625" style="394" bestFit="1" customWidth="1"/>
    <col min="8" max="9" width="11.42578125" style="394" customWidth="1"/>
    <col min="10" max="10" width="31.42578125" style="414" customWidth="1"/>
    <col min="11" max="11" width="1.7109375" style="414" customWidth="1"/>
    <col min="12" max="16384" width="8.85546875" style="394"/>
  </cols>
  <sheetData>
    <row r="6" spans="2:11" ht="15.75" thickBot="1" x14ac:dyDescent="0.3"/>
    <row r="7" spans="2:11" s="414" customFormat="1" x14ac:dyDescent="0.25">
      <c r="B7" s="535"/>
      <c r="C7" s="636"/>
      <c r="D7" s="636"/>
      <c r="E7" s="636"/>
      <c r="F7" s="636"/>
      <c r="G7" s="636"/>
      <c r="H7" s="636"/>
      <c r="I7" s="636"/>
      <c r="J7" s="636"/>
      <c r="K7" s="536"/>
    </row>
    <row r="8" spans="2:11" s="414" customFormat="1" ht="18.75" x14ac:dyDescent="0.3">
      <c r="B8" s="537"/>
      <c r="C8" s="2283" t="s">
        <v>532</v>
      </c>
      <c r="D8" s="2283"/>
      <c r="E8" s="2283"/>
      <c r="F8" s="2283"/>
      <c r="G8" s="2283"/>
      <c r="H8" s="2283"/>
      <c r="I8" s="2283"/>
      <c r="J8" s="2283"/>
      <c r="K8" s="538"/>
    </row>
    <row r="9" spans="2:11" s="414" customFormat="1" x14ac:dyDescent="0.25">
      <c r="B9" s="537"/>
      <c r="C9" s="422"/>
      <c r="D9" s="422"/>
      <c r="E9" s="422"/>
      <c r="F9" s="422"/>
      <c r="G9" s="422"/>
      <c r="H9" s="422"/>
      <c r="I9" s="422"/>
      <c r="J9" s="422"/>
      <c r="K9" s="538"/>
    </row>
    <row r="10" spans="2:11" s="414" customFormat="1" ht="15.75" thickBot="1" x14ac:dyDescent="0.3">
      <c r="B10" s="537"/>
      <c r="C10" s="2423" t="str">
        <f>IF('1'!G5="","Enter Project Name on Form 1",(CONCATENATE("Project Name: ",'1'!G5)))</f>
        <v>Project Name: Compass Broadview</v>
      </c>
      <c r="D10" s="2423"/>
      <c r="E10" s="2423"/>
      <c r="F10" s="2423"/>
      <c r="G10" s="2423"/>
      <c r="H10" s="2423"/>
      <c r="I10" s="2423"/>
      <c r="J10" s="2423"/>
      <c r="K10" s="538"/>
    </row>
    <row r="11" spans="2:11" s="414" customFormat="1" ht="15" customHeight="1" thickBot="1" x14ac:dyDescent="0.3">
      <c r="B11" s="537"/>
      <c r="C11" s="422"/>
      <c r="D11" s="422"/>
      <c r="E11" s="422"/>
      <c r="F11" s="422"/>
      <c r="G11" s="422"/>
      <c r="H11" s="422"/>
      <c r="I11" s="422"/>
      <c r="J11" s="422"/>
      <c r="K11" s="538"/>
    </row>
    <row r="12" spans="2:11" s="414" customFormat="1" ht="15.75" thickBot="1" x14ac:dyDescent="0.3">
      <c r="B12" s="537"/>
      <c r="C12" s="539" t="s">
        <v>266</v>
      </c>
      <c r="D12" s="691"/>
      <c r="E12" s="691"/>
      <c r="F12" s="687" t="s">
        <v>267</v>
      </c>
      <c r="G12" s="688" t="s">
        <v>268</v>
      </c>
      <c r="H12" s="688" t="s">
        <v>269</v>
      </c>
      <c r="I12" s="688" t="s">
        <v>85</v>
      </c>
      <c r="J12" s="686" t="s">
        <v>270</v>
      </c>
      <c r="K12" s="639"/>
    </row>
    <row r="13" spans="2:11" s="414" customFormat="1" ht="15.75" thickBot="1" x14ac:dyDescent="0.3">
      <c r="B13" s="537"/>
      <c r="C13" s="540" t="s">
        <v>271</v>
      </c>
      <c r="D13" s="540"/>
      <c r="E13" s="540"/>
      <c r="F13" s="142"/>
      <c r="G13" s="142"/>
      <c r="H13" s="142"/>
      <c r="I13" s="422"/>
      <c r="J13" s="422"/>
      <c r="K13" s="538"/>
    </row>
    <row r="14" spans="2:11" s="414" customFormat="1" ht="15.75" thickBot="1" x14ac:dyDescent="0.3">
      <c r="B14" s="537"/>
      <c r="C14" s="67"/>
      <c r="D14" s="67" t="s">
        <v>272</v>
      </c>
      <c r="E14" s="67"/>
      <c r="F14" s="689">
        <v>1</v>
      </c>
      <c r="G14" s="690"/>
      <c r="H14" s="690">
        <v>1000</v>
      </c>
      <c r="I14" s="2158">
        <f>F14*H14</f>
        <v>1000</v>
      </c>
      <c r="J14" s="683" t="s">
        <v>1887</v>
      </c>
      <c r="K14" s="538"/>
    </row>
    <row r="15" spans="2:11" s="414" customFormat="1" ht="15.75" thickBot="1" x14ac:dyDescent="0.3">
      <c r="B15" s="537"/>
      <c r="C15" s="67"/>
      <c r="D15" s="67"/>
      <c r="E15" s="67"/>
      <c r="F15" s="541"/>
      <c r="G15" s="541"/>
      <c r="H15" s="542"/>
      <c r="I15" s="2159">
        <f>I14</f>
        <v>1000</v>
      </c>
      <c r="J15" s="684"/>
      <c r="K15" s="538"/>
    </row>
    <row r="16" spans="2:11" s="414" customFormat="1" ht="3.75" customHeight="1" x14ac:dyDescent="0.25">
      <c r="B16" s="537"/>
      <c r="C16" s="67"/>
      <c r="D16" s="67"/>
      <c r="E16" s="67"/>
      <c r="F16" s="142"/>
      <c r="G16" s="142"/>
      <c r="H16" s="142"/>
      <c r="I16" s="2028"/>
      <c r="J16" s="422"/>
      <c r="K16" s="538"/>
    </row>
    <row r="17" spans="2:11" s="414" customFormat="1" ht="15.75" thickBot="1" x14ac:dyDescent="0.3">
      <c r="B17" s="537"/>
      <c r="C17" s="540" t="s">
        <v>273</v>
      </c>
      <c r="D17" s="540"/>
      <c r="E17" s="540"/>
      <c r="F17" s="142"/>
      <c r="G17" s="142"/>
      <c r="H17" s="142"/>
      <c r="I17" s="2028"/>
      <c r="J17" s="422"/>
      <c r="K17" s="538"/>
    </row>
    <row r="18" spans="2:11" s="414" customFormat="1" x14ac:dyDescent="0.25">
      <c r="B18" s="537"/>
      <c r="C18" s="67"/>
      <c r="D18" s="67" t="s">
        <v>274</v>
      </c>
      <c r="E18" s="67"/>
      <c r="F18" s="933">
        <v>1</v>
      </c>
      <c r="G18" s="934"/>
      <c r="H18" s="934">
        <v>10000</v>
      </c>
      <c r="I18" s="2160">
        <f t="shared" ref="I18:I25" si="0">F18*H18</f>
        <v>10000</v>
      </c>
      <c r="J18" s="935" t="s">
        <v>1888</v>
      </c>
      <c r="K18" s="538"/>
    </row>
    <row r="19" spans="2:11" s="414" customFormat="1" x14ac:dyDescent="0.25">
      <c r="B19" s="537"/>
      <c r="C19" s="67"/>
      <c r="D19" s="67" t="s">
        <v>275</v>
      </c>
      <c r="E19" s="67"/>
      <c r="F19" s="936">
        <v>1</v>
      </c>
      <c r="G19" s="937"/>
      <c r="H19" s="937">
        <v>16100</v>
      </c>
      <c r="I19" s="2161">
        <f t="shared" si="0"/>
        <v>16100</v>
      </c>
      <c r="J19" s="938" t="s">
        <v>1895</v>
      </c>
      <c r="K19" s="538"/>
    </row>
    <row r="20" spans="2:11" s="414" customFormat="1" x14ac:dyDescent="0.25">
      <c r="B20" s="537"/>
      <c r="C20" s="67"/>
      <c r="D20" s="67" t="s">
        <v>276</v>
      </c>
      <c r="E20" s="67"/>
      <c r="F20" s="936"/>
      <c r="G20" s="937"/>
      <c r="H20" s="937"/>
      <c r="I20" s="2161">
        <f t="shared" si="0"/>
        <v>0</v>
      </c>
      <c r="J20" s="938"/>
      <c r="K20" s="538"/>
    </row>
    <row r="21" spans="2:11" s="414" customFormat="1" x14ac:dyDescent="0.25">
      <c r="B21" s="537"/>
      <c r="C21" s="67"/>
      <c r="D21" s="67" t="s">
        <v>100</v>
      </c>
      <c r="E21" s="67"/>
      <c r="F21" s="936">
        <v>1</v>
      </c>
      <c r="G21" s="937"/>
      <c r="H21" s="937">
        <v>2000</v>
      </c>
      <c r="I21" s="2161">
        <f t="shared" si="0"/>
        <v>2000</v>
      </c>
      <c r="J21" s="938" t="s">
        <v>1889</v>
      </c>
      <c r="K21" s="538"/>
    </row>
    <row r="22" spans="2:11" s="414" customFormat="1" x14ac:dyDescent="0.25">
      <c r="B22" s="537"/>
      <c r="C22" s="67"/>
      <c r="D22" s="67" t="s">
        <v>277</v>
      </c>
      <c r="E22" s="67"/>
      <c r="F22" s="936"/>
      <c r="G22" s="937"/>
      <c r="H22" s="937"/>
      <c r="I22" s="2161">
        <f t="shared" si="0"/>
        <v>0</v>
      </c>
      <c r="J22" s="938"/>
      <c r="K22" s="538"/>
    </row>
    <row r="23" spans="2:11" s="414" customFormat="1" x14ac:dyDescent="0.25">
      <c r="B23" s="537"/>
      <c r="C23" s="67"/>
      <c r="D23" s="67" t="s">
        <v>278</v>
      </c>
      <c r="E23" s="67"/>
      <c r="F23" s="936"/>
      <c r="G23" s="937"/>
      <c r="H23" s="937"/>
      <c r="I23" s="2161">
        <f t="shared" si="0"/>
        <v>0</v>
      </c>
      <c r="J23" s="938"/>
      <c r="K23" s="538"/>
    </row>
    <row r="24" spans="2:11" s="414" customFormat="1" x14ac:dyDescent="0.25">
      <c r="B24" s="537"/>
      <c r="C24" s="67"/>
      <c r="D24" s="67" t="s">
        <v>230</v>
      </c>
      <c r="E24" s="67"/>
      <c r="F24" s="936">
        <v>1</v>
      </c>
      <c r="G24" s="937"/>
      <c r="H24" s="937">
        <v>11000</v>
      </c>
      <c r="I24" s="2161">
        <f t="shared" si="0"/>
        <v>11000</v>
      </c>
      <c r="J24" s="938" t="s">
        <v>1890</v>
      </c>
      <c r="K24" s="538"/>
    </row>
    <row r="25" spans="2:11" s="414" customFormat="1" ht="15.75" thickBot="1" x14ac:dyDescent="0.3">
      <c r="B25" s="537"/>
      <c r="C25" s="67"/>
      <c r="D25" s="67" t="s">
        <v>279</v>
      </c>
      <c r="E25" s="67"/>
      <c r="F25" s="939"/>
      <c r="G25" s="940"/>
      <c r="H25" s="940"/>
      <c r="I25" s="2162">
        <f t="shared" si="0"/>
        <v>0</v>
      </c>
      <c r="J25" s="941"/>
      <c r="K25" s="538"/>
    </row>
    <row r="26" spans="2:11" s="414" customFormat="1" ht="15.75" thickBot="1" x14ac:dyDescent="0.3">
      <c r="B26" s="537"/>
      <c r="C26" s="67"/>
      <c r="D26" s="67"/>
      <c r="E26" s="67"/>
      <c r="F26" s="541"/>
      <c r="G26" s="541"/>
      <c r="H26" s="543" t="s">
        <v>157</v>
      </c>
      <c r="I26" s="2163">
        <f>SUM(I18:I25)</f>
        <v>39100</v>
      </c>
      <c r="J26" s="685"/>
      <c r="K26" s="538"/>
    </row>
    <row r="27" spans="2:11" s="414" customFormat="1" ht="3.75" customHeight="1" x14ac:dyDescent="0.25">
      <c r="B27" s="537"/>
      <c r="C27" s="67"/>
      <c r="D27" s="67"/>
      <c r="E27" s="67"/>
      <c r="F27" s="142"/>
      <c r="G27" s="142"/>
      <c r="H27" s="142"/>
      <c r="I27" s="2028"/>
      <c r="J27" s="422"/>
      <c r="K27" s="538"/>
    </row>
    <row r="28" spans="2:11" s="414" customFormat="1" ht="15.75" thickBot="1" x14ac:dyDescent="0.3">
      <c r="B28" s="537"/>
      <c r="C28" s="540" t="s">
        <v>280</v>
      </c>
      <c r="D28" s="540"/>
      <c r="E28" s="540"/>
      <c r="F28" s="142"/>
      <c r="G28" s="142"/>
      <c r="H28" s="142"/>
      <c r="I28" s="2028"/>
      <c r="J28" s="422"/>
      <c r="K28" s="538"/>
    </row>
    <row r="29" spans="2:11" s="414" customFormat="1" x14ac:dyDescent="0.25">
      <c r="B29" s="537"/>
      <c r="C29" s="67"/>
      <c r="D29" s="67" t="s">
        <v>281</v>
      </c>
      <c r="E29" s="67"/>
      <c r="F29" s="933">
        <v>1</v>
      </c>
      <c r="G29" s="934"/>
      <c r="H29" s="934">
        <v>65000</v>
      </c>
      <c r="I29" s="2160">
        <f t="shared" ref="I29:I36" si="1">F29*H29</f>
        <v>65000</v>
      </c>
      <c r="J29" s="935" t="s">
        <v>1891</v>
      </c>
      <c r="K29" s="538"/>
    </row>
    <row r="30" spans="2:11" s="414" customFormat="1" x14ac:dyDescent="0.25">
      <c r="B30" s="537"/>
      <c r="C30" s="67"/>
      <c r="D30" s="67" t="s">
        <v>282</v>
      </c>
      <c r="E30" s="67"/>
      <c r="F30" s="936"/>
      <c r="G30" s="937"/>
      <c r="H30" s="937"/>
      <c r="I30" s="2161">
        <f t="shared" si="1"/>
        <v>0</v>
      </c>
      <c r="J30" s="938" t="s">
        <v>1892</v>
      </c>
      <c r="K30" s="538"/>
    </row>
    <row r="31" spans="2:11" s="414" customFormat="1" x14ac:dyDescent="0.25">
      <c r="B31" s="537"/>
      <c r="C31" s="67"/>
      <c r="D31" s="67" t="s">
        <v>283</v>
      </c>
      <c r="E31" s="67"/>
      <c r="F31" s="936"/>
      <c r="G31" s="937"/>
      <c r="H31" s="937"/>
      <c r="I31" s="2161">
        <f t="shared" si="1"/>
        <v>0</v>
      </c>
      <c r="J31" s="938"/>
      <c r="K31" s="538"/>
    </row>
    <row r="32" spans="2:11" s="414" customFormat="1" x14ac:dyDescent="0.25">
      <c r="B32" s="537"/>
      <c r="C32" s="67"/>
      <c r="D32" s="67" t="s">
        <v>284</v>
      </c>
      <c r="E32" s="67"/>
      <c r="F32" s="936"/>
      <c r="G32" s="937"/>
      <c r="H32" s="937"/>
      <c r="I32" s="2161">
        <f t="shared" si="1"/>
        <v>0</v>
      </c>
      <c r="J32" s="938"/>
      <c r="K32" s="538"/>
    </row>
    <row r="33" spans="1:11" s="414" customFormat="1" x14ac:dyDescent="0.25">
      <c r="B33" s="537"/>
      <c r="C33" s="67"/>
      <c r="D33" s="67" t="s">
        <v>285</v>
      </c>
      <c r="E33" s="67"/>
      <c r="F33" s="936"/>
      <c r="G33" s="937"/>
      <c r="H33" s="937"/>
      <c r="I33" s="2161">
        <f t="shared" si="1"/>
        <v>0</v>
      </c>
      <c r="J33" s="938"/>
      <c r="K33" s="538"/>
    </row>
    <row r="34" spans="1:11" s="414" customFormat="1" x14ac:dyDescent="0.25">
      <c r="B34" s="537"/>
      <c r="C34" s="67"/>
      <c r="D34" s="67" t="s">
        <v>286</v>
      </c>
      <c r="E34" s="67"/>
      <c r="F34" s="936"/>
      <c r="G34" s="937"/>
      <c r="H34" s="937"/>
      <c r="I34" s="2161">
        <f t="shared" si="1"/>
        <v>0</v>
      </c>
      <c r="J34" s="938"/>
      <c r="K34" s="538"/>
    </row>
    <row r="35" spans="1:11" s="414" customFormat="1" x14ac:dyDescent="0.25">
      <c r="B35" s="537"/>
      <c r="C35" s="67"/>
      <c r="D35" s="67" t="s">
        <v>287</v>
      </c>
      <c r="E35" s="67"/>
      <c r="F35" s="936"/>
      <c r="G35" s="937"/>
      <c r="H35" s="937"/>
      <c r="I35" s="2161">
        <f t="shared" si="1"/>
        <v>0</v>
      </c>
      <c r="J35" s="938"/>
      <c r="K35" s="538"/>
    </row>
    <row r="36" spans="1:11" s="414" customFormat="1" ht="15.75" thickBot="1" x14ac:dyDescent="0.3">
      <c r="B36" s="537"/>
      <c r="C36" s="67"/>
      <c r="D36" s="67" t="s">
        <v>288</v>
      </c>
      <c r="E36" s="67"/>
      <c r="F36" s="942">
        <v>1</v>
      </c>
      <c r="G36" s="943"/>
      <c r="H36" s="943">
        <v>10000</v>
      </c>
      <c r="I36" s="2162">
        <f t="shared" si="1"/>
        <v>10000</v>
      </c>
      <c r="J36" s="941" t="s">
        <v>1893</v>
      </c>
      <c r="K36" s="538"/>
    </row>
    <row r="37" spans="1:11" s="414" customFormat="1" ht="15.75" thickBot="1" x14ac:dyDescent="0.3">
      <c r="B37" s="537"/>
      <c r="C37" s="67"/>
      <c r="D37" s="67"/>
      <c r="E37" s="67"/>
      <c r="F37" s="541"/>
      <c r="G37" s="541"/>
      <c r="H37" s="543" t="s">
        <v>157</v>
      </c>
      <c r="I37" s="2159">
        <f>SUM(I29:I36)</f>
        <v>75000</v>
      </c>
      <c r="J37" s="684"/>
      <c r="K37" s="538"/>
    </row>
    <row r="38" spans="1:11" s="414" customFormat="1" ht="3.75" customHeight="1" x14ac:dyDescent="0.25">
      <c r="B38" s="537"/>
      <c r="C38" s="67"/>
      <c r="D38" s="67"/>
      <c r="E38" s="67"/>
      <c r="F38" s="142"/>
      <c r="G38" s="142"/>
      <c r="H38" s="142"/>
      <c r="I38" s="2028"/>
      <c r="J38" s="422"/>
      <c r="K38" s="538"/>
    </row>
    <row r="39" spans="1:11" s="414" customFormat="1" ht="15.75" thickBot="1" x14ac:dyDescent="0.3">
      <c r="B39" s="537"/>
      <c r="C39" s="540" t="s">
        <v>289</v>
      </c>
      <c r="D39" s="540"/>
      <c r="E39" s="540"/>
      <c r="F39" s="142"/>
      <c r="G39" s="142"/>
      <c r="H39" s="142"/>
      <c r="I39" s="2028"/>
      <c r="J39" s="422"/>
      <c r="K39" s="538"/>
    </row>
    <row r="40" spans="1:11" s="414" customFormat="1" x14ac:dyDescent="0.25">
      <c r="B40" s="537"/>
      <c r="C40" s="67"/>
      <c r="D40" s="67" t="s">
        <v>290</v>
      </c>
      <c r="E40" s="67"/>
      <c r="F40" s="933">
        <v>1</v>
      </c>
      <c r="G40" s="934"/>
      <c r="H40" s="934">
        <v>383500</v>
      </c>
      <c r="I40" s="2160">
        <f t="shared" ref="I40:I41" si="2">F40*H40</f>
        <v>383500</v>
      </c>
      <c r="J40" s="935" t="s">
        <v>1894</v>
      </c>
      <c r="K40" s="538"/>
    </row>
    <row r="41" spans="1:11" s="414" customFormat="1" x14ac:dyDescent="0.25">
      <c r="B41" s="537"/>
      <c r="C41" s="67"/>
      <c r="D41" s="67" t="s">
        <v>291</v>
      </c>
      <c r="E41" s="67"/>
      <c r="F41" s="944">
        <v>1</v>
      </c>
      <c r="G41" s="945"/>
      <c r="H41" s="945">
        <v>50000</v>
      </c>
      <c r="I41" s="2164">
        <f t="shared" si="2"/>
        <v>50000</v>
      </c>
      <c r="J41" s="938" t="s">
        <v>1895</v>
      </c>
      <c r="K41" s="538"/>
    </row>
    <row r="42" spans="1:11" x14ac:dyDescent="0.25">
      <c r="A42" s="414"/>
      <c r="B42" s="537"/>
      <c r="C42" s="67"/>
      <c r="D42" s="67" t="s">
        <v>292</v>
      </c>
      <c r="E42" s="67"/>
      <c r="F42" s="128"/>
      <c r="G42" s="127"/>
      <c r="H42" s="127"/>
      <c r="I42" s="2165"/>
      <c r="J42" s="948"/>
      <c r="K42" s="538"/>
    </row>
    <row r="43" spans="1:11" s="414" customFormat="1" x14ac:dyDescent="0.25">
      <c r="B43" s="537"/>
      <c r="C43" s="67"/>
      <c r="D43" s="2468" t="s">
        <v>539</v>
      </c>
      <c r="E43" s="2468"/>
      <c r="F43" s="946"/>
      <c r="G43" s="947"/>
      <c r="H43" s="947"/>
      <c r="I43" s="2166">
        <f t="shared" ref="I43:I44" si="3">F43*H43</f>
        <v>0</v>
      </c>
      <c r="J43" s="938"/>
      <c r="K43" s="538"/>
    </row>
    <row r="44" spans="1:11" s="414" customFormat="1" ht="15.75" thickBot="1" x14ac:dyDescent="0.3">
      <c r="B44" s="537"/>
      <c r="C44" s="67"/>
      <c r="D44" s="2468" t="s">
        <v>540</v>
      </c>
      <c r="E44" s="2468"/>
      <c r="F44" s="942">
        <v>1</v>
      </c>
      <c r="G44" s="943"/>
      <c r="H44" s="943">
        <v>53000</v>
      </c>
      <c r="I44" s="2162">
        <f t="shared" si="3"/>
        <v>53000</v>
      </c>
      <c r="J44" s="941" t="s">
        <v>1895</v>
      </c>
      <c r="K44" s="538"/>
    </row>
    <row r="45" spans="1:11" s="414" customFormat="1" ht="15.75" thickBot="1" x14ac:dyDescent="0.3">
      <c r="B45" s="537"/>
      <c r="C45" s="67"/>
      <c r="D45" s="67"/>
      <c r="E45" s="67"/>
      <c r="F45" s="541"/>
      <c r="G45" s="541"/>
      <c r="H45" s="543" t="s">
        <v>157</v>
      </c>
      <c r="I45" s="2159">
        <f>SUM(I40:I41)+SUM(I43:I44)</f>
        <v>486500</v>
      </c>
      <c r="J45" s="684"/>
      <c r="K45" s="538"/>
    </row>
    <row r="46" spans="1:11" s="414" customFormat="1" ht="3.75" customHeight="1" x14ac:dyDescent="0.25">
      <c r="B46" s="537"/>
      <c r="C46" s="67"/>
      <c r="D46" s="67"/>
      <c r="E46" s="67"/>
      <c r="F46" s="142"/>
      <c r="G46" s="142"/>
      <c r="H46" s="142"/>
      <c r="I46" s="2028"/>
      <c r="J46" s="422"/>
      <c r="K46" s="538"/>
    </row>
    <row r="47" spans="1:11" s="414" customFormat="1" ht="15.75" thickBot="1" x14ac:dyDescent="0.3">
      <c r="B47" s="537"/>
      <c r="C47" s="540" t="s">
        <v>293</v>
      </c>
      <c r="D47" s="540"/>
      <c r="E47" s="540"/>
      <c r="F47" s="142"/>
      <c r="G47" s="142"/>
      <c r="H47" s="142"/>
      <c r="I47" s="2028"/>
      <c r="J47" s="422"/>
      <c r="K47" s="538"/>
    </row>
    <row r="48" spans="1:11" s="414" customFormat="1" x14ac:dyDescent="0.25">
      <c r="B48" s="537"/>
      <c r="C48" s="67"/>
      <c r="D48" s="67" t="s">
        <v>294</v>
      </c>
      <c r="E48" s="67"/>
      <c r="F48" s="933"/>
      <c r="G48" s="934"/>
      <c r="H48" s="934"/>
      <c r="I48" s="2160">
        <f t="shared" ref="I48:I51" si="4">F48*H48</f>
        <v>0</v>
      </c>
      <c r="J48" s="935"/>
      <c r="K48" s="538"/>
    </row>
    <row r="49" spans="2:16" s="414" customFormat="1" x14ac:dyDescent="0.25">
      <c r="B49" s="537"/>
      <c r="C49" s="67"/>
      <c r="D49" s="67" t="s">
        <v>295</v>
      </c>
      <c r="E49" s="67"/>
      <c r="F49" s="936"/>
      <c r="G49" s="937"/>
      <c r="H49" s="937"/>
      <c r="I49" s="2161">
        <f t="shared" si="4"/>
        <v>0</v>
      </c>
      <c r="J49" s="938"/>
      <c r="K49" s="538"/>
    </row>
    <row r="50" spans="2:16" s="414" customFormat="1" x14ac:dyDescent="0.25">
      <c r="B50" s="537"/>
      <c r="C50" s="67"/>
      <c r="D50" s="67" t="s">
        <v>275</v>
      </c>
      <c r="E50" s="67"/>
      <c r="F50" s="936"/>
      <c r="G50" s="937"/>
      <c r="H50" s="937"/>
      <c r="I50" s="2161">
        <f t="shared" si="4"/>
        <v>0</v>
      </c>
      <c r="J50" s="938"/>
      <c r="K50" s="538"/>
    </row>
    <row r="51" spans="2:16" s="414" customFormat="1" ht="15.75" thickBot="1" x14ac:dyDescent="0.3">
      <c r="B51" s="537"/>
      <c r="C51" s="67"/>
      <c r="D51" s="67" t="s">
        <v>296</v>
      </c>
      <c r="E51" s="67"/>
      <c r="F51" s="939"/>
      <c r="G51" s="940"/>
      <c r="H51" s="940"/>
      <c r="I51" s="2162">
        <f t="shared" si="4"/>
        <v>0</v>
      </c>
      <c r="J51" s="941"/>
      <c r="K51" s="538"/>
    </row>
    <row r="52" spans="2:16" s="414" customFormat="1" ht="15.75" thickBot="1" x14ac:dyDescent="0.3">
      <c r="B52" s="537"/>
      <c r="C52" s="67"/>
      <c r="D52" s="67"/>
      <c r="E52" s="67"/>
      <c r="F52" s="541"/>
      <c r="G52" s="541"/>
      <c r="H52" s="543" t="s">
        <v>157</v>
      </c>
      <c r="I52" s="2159">
        <f>SUM(I48:I51)</f>
        <v>0</v>
      </c>
      <c r="J52" s="684"/>
      <c r="K52" s="538"/>
    </row>
    <row r="53" spans="2:16" s="414" customFormat="1" ht="3.75" customHeight="1" x14ac:dyDescent="0.25">
      <c r="B53" s="537"/>
      <c r="C53" s="67"/>
      <c r="D53" s="67"/>
      <c r="E53" s="67"/>
      <c r="F53" s="142"/>
      <c r="G53" s="142"/>
      <c r="H53" s="142"/>
      <c r="I53" s="2028"/>
      <c r="J53" s="422"/>
      <c r="K53" s="538"/>
    </row>
    <row r="54" spans="2:16" s="414" customFormat="1" ht="15.75" thickBot="1" x14ac:dyDescent="0.3">
      <c r="B54" s="537"/>
      <c r="C54" s="540" t="s">
        <v>230</v>
      </c>
      <c r="D54" s="540"/>
      <c r="E54" s="540"/>
      <c r="F54" s="544"/>
      <c r="G54" s="544"/>
      <c r="H54" s="544"/>
      <c r="I54" s="2167"/>
      <c r="J54" s="336"/>
      <c r="K54" s="538"/>
    </row>
    <row r="55" spans="2:16" s="414" customFormat="1" ht="15.75" thickBot="1" x14ac:dyDescent="0.3">
      <c r="B55" s="537"/>
      <c r="C55" s="67"/>
      <c r="D55" s="67"/>
      <c r="E55" s="67"/>
      <c r="F55" s="533">
        <v>1</v>
      </c>
      <c r="G55" s="534"/>
      <c r="H55" s="534">
        <v>50000</v>
      </c>
      <c r="I55" s="2168">
        <f>F55*H55</f>
        <v>50000</v>
      </c>
      <c r="J55" s="683" t="s">
        <v>1896</v>
      </c>
      <c r="K55" s="538"/>
    </row>
    <row r="56" spans="2:16" s="414" customFormat="1" ht="15.75" thickBot="1" x14ac:dyDescent="0.3">
      <c r="B56" s="537"/>
      <c r="C56" s="67"/>
      <c r="D56" s="67"/>
      <c r="E56" s="67"/>
      <c r="F56" s="541"/>
      <c r="G56" s="541"/>
      <c r="H56" s="543" t="s">
        <v>157</v>
      </c>
      <c r="I56" s="2159">
        <f>SUM(I55)</f>
        <v>50000</v>
      </c>
      <c r="J56" s="684"/>
      <c r="K56" s="538"/>
    </row>
    <row r="57" spans="2:16" s="414" customFormat="1" ht="7.5" customHeight="1" thickBot="1" x14ac:dyDescent="0.3">
      <c r="B57" s="537"/>
      <c r="C57" s="67"/>
      <c r="D57" s="67"/>
      <c r="E57" s="67"/>
      <c r="F57" s="142"/>
      <c r="G57" s="142"/>
      <c r="H57" s="142"/>
      <c r="I57" s="2169"/>
      <c r="J57" s="142"/>
      <c r="K57" s="538"/>
    </row>
    <row r="58" spans="2:16" ht="15.75" customHeight="1" thickBot="1" x14ac:dyDescent="0.3">
      <c r="B58" s="545"/>
      <c r="C58" s="692" t="s">
        <v>55</v>
      </c>
      <c r="D58" s="546"/>
      <c r="E58" s="547"/>
      <c r="F58" s="548"/>
      <c r="G58" s="548"/>
      <c r="H58" s="549"/>
      <c r="I58" s="2170">
        <f>I15+I26+I37+I45+I52+I56</f>
        <v>651600</v>
      </c>
      <c r="J58" s="550" t="str">
        <f>IF(I58&lt;&gt;('6A'!J100+'6A'!J101),"WARNING: Does not match Form 6A","")</f>
        <v/>
      </c>
      <c r="K58" s="538"/>
    </row>
    <row r="59" spans="2:16" s="414" customFormat="1" ht="9" customHeight="1" thickBot="1" x14ac:dyDescent="0.3">
      <c r="B59" s="551"/>
      <c r="C59" s="552"/>
      <c r="D59" s="552"/>
      <c r="E59" s="552"/>
      <c r="F59" s="552"/>
      <c r="G59" s="552"/>
      <c r="H59" s="552"/>
      <c r="I59" s="553" t="s">
        <v>34</v>
      </c>
      <c r="J59" s="552"/>
      <c r="K59" s="485"/>
    </row>
    <row r="60" spans="2:16" x14ac:dyDescent="0.25">
      <c r="J60" s="1095" t="str">
        <f>IF(J58="WARNING: Does not match Form 6A","Ensure that the total of the Permits, Fees &amp; Hookups and Impact/Mitigation Fees cells on Form 6A matches the total here.","")</f>
        <v/>
      </c>
    </row>
    <row r="62" spans="2:16" x14ac:dyDescent="0.25">
      <c r="M62" s="1094"/>
      <c r="N62" s="1094"/>
      <c r="O62" s="1094"/>
      <c r="P62" s="1094"/>
    </row>
    <row r="63" spans="2:16" ht="15" customHeight="1" x14ac:dyDescent="0.25">
      <c r="J63" s="1094"/>
      <c r="K63" s="1094"/>
      <c r="L63" s="1094"/>
      <c r="M63" s="1094"/>
    </row>
    <row r="64" spans="2:16" x14ac:dyDescent="0.25">
      <c r="I64" s="1094"/>
      <c r="J64" s="1094"/>
      <c r="K64" s="1094"/>
      <c r="L64" s="1094"/>
      <c r="M64" s="1094"/>
    </row>
    <row r="65" spans="9:13" x14ac:dyDescent="0.25">
      <c r="I65" s="1094"/>
      <c r="J65" s="1094"/>
      <c r="K65" s="1094"/>
      <c r="L65" s="1094"/>
      <c r="M65" s="1094"/>
    </row>
    <row r="66" spans="9:13" x14ac:dyDescent="0.25">
      <c r="I66" s="1094"/>
      <c r="J66" s="1094"/>
      <c r="K66" s="1094"/>
      <c r="L66" s="1094"/>
      <c r="M66" s="1094"/>
    </row>
  </sheetData>
  <sheetProtection password="D666" sheet="1" objects="1" scenarios="1" formatCells="0" formatColumns="0" formatRows="0"/>
  <mergeCells count="4">
    <mergeCell ref="D43:E43"/>
    <mergeCell ref="D44:E44"/>
    <mergeCell ref="C8:J8"/>
    <mergeCell ref="C10:J10"/>
  </mergeCells>
  <pageMargins left="0.7" right="0.7" top="0.75" bottom="0.75" header="0.3" footer="0.3"/>
  <pageSetup scale="94" orientation="portrait"/>
  <headerFooter>
    <oddFooter>&amp;LForm 6E
Fee Schedule&amp;CCFA Forms&amp;REdition: 2016
Version: 1.0</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3"/>
  <sheetViews>
    <sheetView showGridLines="0" topLeftCell="A17" zoomScale="125" zoomScaleNormal="125" zoomScalePageLayoutView="125" workbookViewId="0">
      <selection activeCell="U35" sqref="U35"/>
    </sheetView>
  </sheetViews>
  <sheetFormatPr defaultColWidth="8.85546875" defaultRowHeight="15" x14ac:dyDescent="0.25"/>
  <cols>
    <col min="1" max="2" width="1.7109375" style="395" customWidth="1"/>
    <col min="3" max="3" width="24.42578125" style="395" bestFit="1" customWidth="1"/>
    <col min="4" max="4" width="22.28515625" style="395" bestFit="1" customWidth="1"/>
    <col min="5" max="5" width="15.42578125" style="395" bestFit="1" customWidth="1"/>
    <col min="6" max="6" width="17" style="395" bestFit="1" customWidth="1"/>
    <col min="7" max="7" width="8.85546875" style="395"/>
    <col min="8" max="8" width="10.140625" style="395" customWidth="1"/>
    <col min="9" max="9" width="10.42578125" style="395" customWidth="1"/>
    <col min="10" max="10" width="6.85546875" style="395" bestFit="1" customWidth="1"/>
    <col min="11" max="11" width="11.28515625" style="395" bestFit="1" customWidth="1"/>
    <col min="12" max="12" width="9" style="395" bestFit="1" customWidth="1"/>
    <col min="13" max="13" width="11.28515625" style="395" bestFit="1" customWidth="1"/>
    <col min="14" max="14" width="9.7109375" style="395" bestFit="1" customWidth="1"/>
    <col min="15" max="15" width="10.140625" style="395" bestFit="1" customWidth="1"/>
    <col min="16" max="16" width="10" style="395" bestFit="1" customWidth="1"/>
    <col min="17" max="17" width="1.7109375" style="395" customWidth="1"/>
    <col min="18" max="16384" width="8.85546875" style="395"/>
  </cols>
  <sheetData>
    <row r="8" spans="2:17" ht="9" customHeight="1" thickBot="1" x14ac:dyDescent="0.3"/>
    <row r="9" spans="2:17" ht="9" customHeight="1" x14ac:dyDescent="0.25">
      <c r="B9" s="555"/>
      <c r="C9" s="556"/>
      <c r="D9" s="556"/>
      <c r="E9" s="557"/>
      <c r="F9" s="557"/>
      <c r="G9" s="557"/>
      <c r="H9" s="556"/>
      <c r="I9" s="556"/>
      <c r="J9" s="556"/>
      <c r="K9" s="556"/>
      <c r="L9" s="556"/>
      <c r="M9" s="556"/>
      <c r="N9" s="556"/>
      <c r="O9" s="556"/>
      <c r="P9" s="556"/>
      <c r="Q9" s="558"/>
    </row>
    <row r="10" spans="2:17" ht="18.75" x14ac:dyDescent="0.3">
      <c r="B10" s="559"/>
      <c r="C10" s="2402" t="s">
        <v>535</v>
      </c>
      <c r="D10" s="2402"/>
      <c r="E10" s="2402"/>
      <c r="F10" s="2402"/>
      <c r="G10" s="2402"/>
      <c r="H10" s="2402"/>
      <c r="I10" s="2402"/>
      <c r="J10" s="2402"/>
      <c r="K10" s="2402"/>
      <c r="L10" s="2402"/>
      <c r="M10" s="2402"/>
      <c r="N10" s="2402"/>
      <c r="O10" s="2402"/>
      <c r="P10" s="2402"/>
      <c r="Q10" s="560"/>
    </row>
    <row r="11" spans="2:17" x14ac:dyDescent="0.25">
      <c r="B11" s="559"/>
      <c r="C11" s="1895"/>
      <c r="D11" s="1895"/>
      <c r="E11" s="360"/>
      <c r="F11" s="360"/>
      <c r="G11" s="360"/>
      <c r="H11" s="1895"/>
      <c r="I11" s="1895"/>
      <c r="J11" s="1895"/>
      <c r="K11" s="1895"/>
      <c r="L11" s="1895"/>
      <c r="M11" s="1895"/>
      <c r="N11" s="1895"/>
      <c r="O11" s="1895"/>
      <c r="P11" s="1895"/>
      <c r="Q11" s="560"/>
    </row>
    <row r="12" spans="2:17" ht="15.75" thickBot="1" x14ac:dyDescent="0.3">
      <c r="B12" s="559"/>
      <c r="C12" s="2302" t="str">
        <f>IF('1'!G5="","Enter Project Name on Form 1",(CONCATENATE("Project Name: ",'1'!G5)))</f>
        <v>Project Name: Compass Broadview</v>
      </c>
      <c r="D12" s="2391"/>
      <c r="E12" s="2302"/>
      <c r="F12" s="2302"/>
      <c r="G12" s="2302"/>
      <c r="H12" s="2302"/>
      <c r="I12" s="2302"/>
      <c r="J12" s="2302"/>
      <c r="K12" s="2476"/>
      <c r="L12" s="2302"/>
      <c r="M12" s="2302"/>
      <c r="N12" s="1895"/>
      <c r="O12" s="1895"/>
      <c r="P12" s="1895"/>
      <c r="Q12" s="560"/>
    </row>
    <row r="13" spans="2:17" ht="22.5" customHeight="1" x14ac:dyDescent="0.25">
      <c r="B13" s="559"/>
      <c r="C13" s="1895"/>
      <c r="D13" s="1895"/>
      <c r="E13" s="360"/>
      <c r="F13" s="360"/>
      <c r="G13" s="360"/>
      <c r="H13" s="1895"/>
      <c r="I13" s="1895"/>
      <c r="J13" s="1895"/>
      <c r="K13" s="1895"/>
      <c r="L13" s="1895"/>
      <c r="M13" s="1895"/>
      <c r="N13" s="1895"/>
      <c r="O13" s="1895"/>
      <c r="P13" s="1895"/>
      <c r="Q13" s="560"/>
    </row>
    <row r="14" spans="2:17" ht="15.75" thickBot="1" x14ac:dyDescent="0.3">
      <c r="B14" s="559"/>
      <c r="C14" s="2477" t="s">
        <v>297</v>
      </c>
      <c r="D14" s="2478"/>
      <c r="E14" s="2477"/>
      <c r="F14" s="2477"/>
      <c r="G14" s="2477"/>
      <c r="H14" s="2477"/>
      <c r="I14" s="2477"/>
      <c r="J14" s="2477"/>
      <c r="K14" s="2479"/>
      <c r="L14" s="2477"/>
      <c r="M14" s="2477"/>
      <c r="N14" s="1895"/>
      <c r="O14" s="494"/>
      <c r="P14" s="494"/>
      <c r="Q14" s="561"/>
    </row>
    <row r="15" spans="2:17" ht="27" thickBot="1" x14ac:dyDescent="0.3">
      <c r="B15" s="562"/>
      <c r="C15" s="1077" t="s">
        <v>646</v>
      </c>
      <c r="D15" s="742" t="s">
        <v>647</v>
      </c>
      <c r="E15" s="563" t="s">
        <v>299</v>
      </c>
      <c r="F15" s="1896" t="s">
        <v>300</v>
      </c>
      <c r="G15" s="564" t="s">
        <v>301</v>
      </c>
      <c r="H15" s="564" t="s">
        <v>509</v>
      </c>
      <c r="I15" s="565" t="s">
        <v>302</v>
      </c>
      <c r="J15" s="2480" t="s">
        <v>303</v>
      </c>
      <c r="K15" s="2481"/>
      <c r="L15" s="2481"/>
      <c r="M15" s="2482"/>
      <c r="N15" s="1895"/>
      <c r="O15" s="566"/>
      <c r="P15" s="566"/>
      <c r="Q15" s="567"/>
    </row>
    <row r="16" spans="2:17" x14ac:dyDescent="0.25">
      <c r="B16" s="559"/>
      <c r="C16" s="743" t="s">
        <v>1924</v>
      </c>
      <c r="D16" s="1075" t="s">
        <v>570</v>
      </c>
      <c r="E16" s="2191">
        <v>500000</v>
      </c>
      <c r="F16" s="2192"/>
      <c r="G16" s="1179">
        <v>7.0000000000000007E-2</v>
      </c>
      <c r="H16" s="744" t="s">
        <v>1925</v>
      </c>
      <c r="I16" s="745"/>
      <c r="J16" s="2483" t="s">
        <v>1838</v>
      </c>
      <c r="K16" s="2484"/>
      <c r="L16" s="2484"/>
      <c r="M16" s="2485"/>
      <c r="N16" s="1895"/>
      <c r="O16" s="1895"/>
      <c r="P16" s="1895"/>
      <c r="Q16" s="560"/>
    </row>
    <row r="17" spans="2:18" x14ac:dyDescent="0.25">
      <c r="B17" s="559"/>
      <c r="C17" s="746" t="s">
        <v>1815</v>
      </c>
      <c r="D17" s="1076" t="s">
        <v>628</v>
      </c>
      <c r="E17" s="2193">
        <v>11034328.731772501</v>
      </c>
      <c r="F17" s="2194"/>
      <c r="G17" s="1180">
        <v>3.7499999999999999E-2</v>
      </c>
      <c r="H17" s="747" t="s">
        <v>2045</v>
      </c>
      <c r="I17" s="748"/>
      <c r="J17" s="2469" t="s">
        <v>658</v>
      </c>
      <c r="K17" s="2470"/>
      <c r="L17" s="2470"/>
      <c r="M17" s="2471"/>
      <c r="N17" s="1895"/>
      <c r="O17" s="1895"/>
      <c r="P17" s="1895"/>
      <c r="Q17" s="560"/>
    </row>
    <row r="18" spans="2:18" x14ac:dyDescent="0.25">
      <c r="B18" s="559"/>
      <c r="C18" s="746"/>
      <c r="D18" s="1076"/>
      <c r="E18" s="2193"/>
      <c r="F18" s="2194"/>
      <c r="G18" s="1180"/>
      <c r="H18" s="747"/>
      <c r="I18" s="748"/>
      <c r="J18" s="2469"/>
      <c r="K18" s="2470"/>
      <c r="L18" s="2470"/>
      <c r="M18" s="2471"/>
      <c r="N18" s="1895"/>
      <c r="O18" s="1895"/>
      <c r="P18" s="1895"/>
      <c r="Q18" s="560"/>
    </row>
    <row r="19" spans="2:18" ht="7.5" customHeight="1" thickBot="1" x14ac:dyDescent="0.3">
      <c r="B19" s="559"/>
      <c r="C19" s="1548"/>
      <c r="D19" s="1549"/>
      <c r="E19" s="2195"/>
      <c r="F19" s="2196"/>
      <c r="G19" s="1550"/>
      <c r="H19" s="1551"/>
      <c r="I19" s="1552"/>
      <c r="J19" s="2472"/>
      <c r="K19" s="2473"/>
      <c r="L19" s="2474"/>
      <c r="M19" s="2475"/>
      <c r="N19" s="1895"/>
      <c r="O19" s="1895"/>
      <c r="P19" s="1895"/>
      <c r="Q19" s="560"/>
    </row>
    <row r="20" spans="2:18" ht="15.75" thickBot="1" x14ac:dyDescent="0.3">
      <c r="B20" s="559"/>
      <c r="C20" s="373"/>
      <c r="D20" s="718" t="s">
        <v>304</v>
      </c>
      <c r="E20" s="2197">
        <f>SUM(E16:E19)</f>
        <v>11534328.731772501</v>
      </c>
      <c r="F20" s="2198">
        <f>SUM(F16:F19)</f>
        <v>0</v>
      </c>
      <c r="G20" s="191"/>
      <c r="H20" s="1895"/>
      <c r="I20" s="1895"/>
      <c r="J20" s="1895"/>
      <c r="K20" s="1895"/>
      <c r="L20" s="1895"/>
      <c r="M20" s="1895"/>
      <c r="N20" s="1895"/>
      <c r="O20" s="1895"/>
      <c r="P20" s="1895"/>
      <c r="Q20" s="560"/>
    </row>
    <row r="21" spans="2:18" ht="3.75" customHeight="1" thickBot="1" x14ac:dyDescent="0.3">
      <c r="B21" s="559"/>
      <c r="C21" s="192"/>
      <c r="D21" s="192"/>
      <c r="E21" s="2199"/>
      <c r="F21" s="2199"/>
      <c r="G21" s="191"/>
      <c r="H21" s="1895"/>
      <c r="I21" s="1895"/>
      <c r="J21" s="1895"/>
      <c r="K21" s="1895"/>
      <c r="L21" s="1895"/>
      <c r="M21" s="1895"/>
      <c r="N21" s="1895"/>
      <c r="O21" s="1895"/>
      <c r="P21" s="1895"/>
      <c r="Q21" s="560"/>
    </row>
    <row r="22" spans="2:18" ht="15.75" thickBot="1" x14ac:dyDescent="0.3">
      <c r="B22" s="559"/>
      <c r="C22" s="569" t="s">
        <v>305</v>
      </c>
      <c r="D22" s="569"/>
      <c r="E22" s="2200"/>
      <c r="F22" s="2201">
        <f>E20+F20</f>
        <v>11534328.731772501</v>
      </c>
      <c r="G22" s="360"/>
      <c r="H22" s="1895"/>
      <c r="I22" s="1895"/>
      <c r="J22" s="1895"/>
      <c r="K22" s="1895"/>
      <c r="L22" s="1895"/>
      <c r="M22" s="1895"/>
      <c r="N22" s="1895"/>
      <c r="O22" s="1895"/>
      <c r="P22" s="1895"/>
      <c r="Q22" s="560"/>
    </row>
    <row r="23" spans="2:18" ht="7.5" customHeight="1" x14ac:dyDescent="0.25">
      <c r="B23" s="559"/>
      <c r="C23" s="1895"/>
      <c r="D23" s="1895"/>
      <c r="E23" s="360"/>
      <c r="F23" s="360"/>
      <c r="G23" s="360"/>
      <c r="H23" s="1895"/>
      <c r="I23" s="1895"/>
      <c r="J23" s="1895"/>
      <c r="K23" s="1895"/>
      <c r="L23" s="1895"/>
      <c r="M23" s="1895"/>
      <c r="N23" s="1895"/>
      <c r="O23" s="1895"/>
      <c r="P23" s="1895"/>
      <c r="Q23" s="560"/>
    </row>
    <row r="24" spans="2:18" ht="15.75" thickBot="1" x14ac:dyDescent="0.3">
      <c r="B24" s="559"/>
      <c r="C24" s="2302" t="s">
        <v>306</v>
      </c>
      <c r="D24" s="2391"/>
      <c r="E24" s="2302"/>
      <c r="F24" s="2302"/>
      <c r="G24" s="2302"/>
      <c r="H24" s="2302"/>
      <c r="I24" s="2302"/>
      <c r="J24" s="2302"/>
      <c r="K24" s="2476"/>
      <c r="L24" s="2302"/>
      <c r="M24" s="2302"/>
      <c r="N24" s="2302"/>
      <c r="O24" s="2302"/>
      <c r="P24" s="2302"/>
      <c r="Q24" s="561"/>
    </row>
    <row r="25" spans="2:18" ht="27" thickBot="1" x14ac:dyDescent="0.3">
      <c r="B25" s="562"/>
      <c r="C25" s="1077" t="s">
        <v>643</v>
      </c>
      <c r="D25" s="742" t="s">
        <v>645</v>
      </c>
      <c r="E25" s="1896" t="s">
        <v>299</v>
      </c>
      <c r="F25" s="1896" t="s">
        <v>300</v>
      </c>
      <c r="G25" s="1896" t="s">
        <v>307</v>
      </c>
      <c r="H25" s="565" t="s">
        <v>308</v>
      </c>
      <c r="I25" s="565" t="s">
        <v>309</v>
      </c>
      <c r="J25" s="1896" t="s">
        <v>552</v>
      </c>
      <c r="K25" s="742" t="s">
        <v>1691</v>
      </c>
      <c r="L25" s="742" t="s">
        <v>1690</v>
      </c>
      <c r="M25" s="564" t="s">
        <v>301</v>
      </c>
      <c r="N25" s="564" t="s">
        <v>1692</v>
      </c>
      <c r="O25" s="565" t="s">
        <v>302</v>
      </c>
      <c r="P25" s="1897" t="s">
        <v>508</v>
      </c>
      <c r="Q25" s="567"/>
    </row>
    <row r="26" spans="2:18" x14ac:dyDescent="0.25">
      <c r="B26" s="559"/>
      <c r="C26" s="749" t="s">
        <v>1838</v>
      </c>
      <c r="D26" s="760" t="s">
        <v>625</v>
      </c>
      <c r="E26" s="2202">
        <v>5680553</v>
      </c>
      <c r="F26" s="2192"/>
      <c r="G26" s="750" t="s">
        <v>569</v>
      </c>
      <c r="H26" s="2190">
        <v>42626</v>
      </c>
      <c r="I26" s="1172">
        <v>42719</v>
      </c>
      <c r="J26" s="1891" t="s">
        <v>551</v>
      </c>
      <c r="K26" s="1903" t="s">
        <v>1685</v>
      </c>
      <c r="L26" s="751" t="s">
        <v>1695</v>
      </c>
      <c r="M26" s="1181">
        <v>1</v>
      </c>
      <c r="N26" s="1898">
        <v>50</v>
      </c>
      <c r="O26" s="1898"/>
      <c r="P26" s="752" t="s">
        <v>1685</v>
      </c>
      <c r="Q26" s="560"/>
      <c r="R26" s="554"/>
    </row>
    <row r="27" spans="2:18" x14ac:dyDescent="0.25">
      <c r="B27" s="559"/>
      <c r="C27" s="753" t="s">
        <v>1839</v>
      </c>
      <c r="D27" s="763" t="s">
        <v>1151</v>
      </c>
      <c r="E27" s="2203">
        <v>2250000</v>
      </c>
      <c r="F27" s="2194"/>
      <c r="G27" s="754" t="s">
        <v>569</v>
      </c>
      <c r="H27" s="2213">
        <v>42628</v>
      </c>
      <c r="I27" s="2214">
        <v>42719</v>
      </c>
      <c r="J27" s="1892" t="s">
        <v>551</v>
      </c>
      <c r="K27" s="1904" t="s">
        <v>1685</v>
      </c>
      <c r="L27" s="756" t="s">
        <v>1695</v>
      </c>
      <c r="M27" s="1182">
        <v>1</v>
      </c>
      <c r="N27" s="1899">
        <v>50</v>
      </c>
      <c r="O27" s="1899"/>
      <c r="P27" s="757" t="s">
        <v>1685</v>
      </c>
      <c r="Q27" s="560"/>
    </row>
    <row r="28" spans="2:18" x14ac:dyDescent="0.25">
      <c r="B28" s="559"/>
      <c r="C28" s="753" t="s">
        <v>1962</v>
      </c>
      <c r="D28" s="763" t="s">
        <v>650</v>
      </c>
      <c r="E28" s="2203"/>
      <c r="F28" s="2194">
        <v>400000</v>
      </c>
      <c r="G28" s="754" t="s">
        <v>570</v>
      </c>
      <c r="H28" s="2213">
        <v>42628</v>
      </c>
      <c r="I28" s="2214">
        <v>42719</v>
      </c>
      <c r="J28" s="1892" t="s">
        <v>551</v>
      </c>
      <c r="K28" s="1904" t="s">
        <v>674</v>
      </c>
      <c r="L28" s="756" t="s">
        <v>1695</v>
      </c>
      <c r="M28" s="1182">
        <v>1</v>
      </c>
      <c r="N28" s="1899">
        <v>50</v>
      </c>
      <c r="O28" s="1899"/>
      <c r="P28" s="757" t="s">
        <v>674</v>
      </c>
      <c r="Q28" s="560"/>
    </row>
    <row r="29" spans="2:18" x14ac:dyDescent="0.25">
      <c r="B29" s="559"/>
      <c r="C29" s="753"/>
      <c r="D29" s="763"/>
      <c r="E29" s="2203"/>
      <c r="F29" s="2194"/>
      <c r="G29" s="754"/>
      <c r="H29" s="1899"/>
      <c r="I29" s="755"/>
      <c r="J29" s="1892"/>
      <c r="K29" s="1904"/>
      <c r="L29" s="756"/>
      <c r="M29" s="1182"/>
      <c r="N29" s="1899"/>
      <c r="O29" s="1899"/>
      <c r="P29" s="757"/>
      <c r="Q29" s="560"/>
    </row>
    <row r="30" spans="2:18" x14ac:dyDescent="0.25">
      <c r="B30" s="559"/>
      <c r="C30" s="753"/>
      <c r="D30" s="763"/>
      <c r="E30" s="2203"/>
      <c r="F30" s="2194"/>
      <c r="G30" s="754"/>
      <c r="H30" s="1899"/>
      <c r="I30" s="755"/>
      <c r="J30" s="1892"/>
      <c r="K30" s="1904"/>
      <c r="L30" s="756"/>
      <c r="M30" s="1182"/>
      <c r="N30" s="1899"/>
      <c r="O30" s="1899"/>
      <c r="P30" s="757"/>
      <c r="Q30" s="560"/>
    </row>
    <row r="31" spans="2:18" ht="7.5" customHeight="1" thickBot="1" x14ac:dyDescent="0.3">
      <c r="B31" s="559"/>
      <c r="C31" s="1553"/>
      <c r="D31" s="1554"/>
      <c r="E31" s="2204"/>
      <c r="F31" s="2196"/>
      <c r="G31" s="1555"/>
      <c r="H31" s="1900"/>
      <c r="I31" s="1556"/>
      <c r="J31" s="1893"/>
      <c r="K31" s="1905"/>
      <c r="L31" s="1901"/>
      <c r="M31" s="1557"/>
      <c r="N31" s="1900"/>
      <c r="O31" s="1900"/>
      <c r="P31" s="1558"/>
      <c r="Q31" s="560"/>
    </row>
    <row r="32" spans="2:18" ht="15.75" thickBot="1" x14ac:dyDescent="0.3">
      <c r="B32" s="559"/>
      <c r="C32" s="373"/>
      <c r="D32" s="718" t="s">
        <v>311</v>
      </c>
      <c r="E32" s="2205">
        <f>SUM(E26:E31)</f>
        <v>7930553</v>
      </c>
      <c r="F32" s="2206">
        <f>SUM(F26:F31)</f>
        <v>400000</v>
      </c>
      <c r="G32" s="570"/>
      <c r="H32" s="571"/>
      <c r="I32" s="719"/>
      <c r="J32" s="1895"/>
      <c r="K32" s="1895"/>
      <c r="L32" s="1895"/>
      <c r="M32" s="1895"/>
      <c r="N32" s="1895"/>
      <c r="O32" s="719"/>
      <c r="P32" s="719"/>
      <c r="Q32" s="572"/>
    </row>
    <row r="33" spans="2:17" ht="3.75" customHeight="1" thickBot="1" x14ac:dyDescent="0.3">
      <c r="B33" s="559"/>
      <c r="C33" s="192"/>
      <c r="D33" s="192"/>
      <c r="E33" s="2199"/>
      <c r="F33" s="2199"/>
      <c r="G33" s="191"/>
      <c r="H33" s="573"/>
      <c r="I33" s="719"/>
      <c r="J33" s="1895"/>
      <c r="K33" s="1895"/>
      <c r="L33" s="1895"/>
      <c r="M33" s="1895"/>
      <c r="N33" s="1895"/>
      <c r="O33" s="719"/>
      <c r="P33" s="719"/>
      <c r="Q33" s="572"/>
    </row>
    <row r="34" spans="2:17" ht="15.75" thickBot="1" x14ac:dyDescent="0.3">
      <c r="B34" s="559"/>
      <c r="C34" s="373"/>
      <c r="D34" s="719"/>
      <c r="E34" s="2207" t="s">
        <v>312</v>
      </c>
      <c r="F34" s="2201">
        <f>E32+F32</f>
        <v>8330553</v>
      </c>
      <c r="G34" s="191"/>
      <c r="H34" s="573"/>
      <c r="I34" s="719"/>
      <c r="J34" s="1895"/>
      <c r="K34" s="1895"/>
      <c r="L34" s="1895"/>
      <c r="M34" s="1895"/>
      <c r="N34" s="1895"/>
      <c r="O34" s="719"/>
      <c r="P34" s="719"/>
      <c r="Q34" s="572"/>
    </row>
    <row r="35" spans="2:17" ht="3.75" customHeight="1" thickBot="1" x14ac:dyDescent="0.3">
      <c r="B35" s="559"/>
      <c r="C35" s="373"/>
      <c r="D35" s="1026"/>
      <c r="E35" s="2208"/>
      <c r="F35" s="2209"/>
      <c r="G35" s="191"/>
      <c r="H35" s="573"/>
      <c r="I35" s="719"/>
      <c r="J35" s="1895"/>
      <c r="K35" s="1895"/>
      <c r="L35" s="1895"/>
      <c r="M35" s="1895"/>
      <c r="N35" s="1895"/>
      <c r="O35" s="719"/>
      <c r="P35" s="719"/>
      <c r="Q35" s="572"/>
    </row>
    <row r="36" spans="2:17" ht="15.75" thickBot="1" x14ac:dyDescent="0.3">
      <c r="B36" s="559"/>
      <c r="C36" s="373"/>
      <c r="D36" s="719"/>
      <c r="E36" s="2207" t="s">
        <v>692</v>
      </c>
      <c r="F36" s="2201">
        <f>'6D'!G53</f>
        <v>12982861.500000002</v>
      </c>
      <c r="G36" s="574"/>
      <c r="H36" s="573"/>
      <c r="I36" s="719"/>
      <c r="J36" s="1895"/>
      <c r="K36" s="1895"/>
      <c r="L36" s="1895"/>
      <c r="M36" s="1895"/>
      <c r="N36" s="1895"/>
      <c r="O36" s="719"/>
      <c r="P36" s="719"/>
      <c r="Q36" s="572"/>
    </row>
    <row r="37" spans="2:17" ht="3.75" customHeight="1" thickBot="1" x14ac:dyDescent="0.3">
      <c r="B37" s="559"/>
      <c r="C37" s="373"/>
      <c r="D37" s="1026"/>
      <c r="E37" s="2208"/>
      <c r="F37" s="2209"/>
      <c r="G37" s="191"/>
      <c r="H37" s="573"/>
      <c r="I37" s="719"/>
      <c r="J37" s="1895"/>
      <c r="K37" s="1895"/>
      <c r="L37" s="1895"/>
      <c r="M37" s="1895"/>
      <c r="N37" s="1895"/>
      <c r="O37" s="719"/>
      <c r="P37" s="719"/>
      <c r="Q37" s="572"/>
    </row>
    <row r="38" spans="2:17" ht="15.75" thickBot="1" x14ac:dyDescent="0.3">
      <c r="B38" s="559"/>
      <c r="C38" s="373"/>
      <c r="D38" s="719"/>
      <c r="E38" s="2207" t="s">
        <v>314</v>
      </c>
      <c r="F38" s="2201">
        <f>F34+F36</f>
        <v>21313414.5</v>
      </c>
      <c r="G38" s="360"/>
      <c r="H38" s="573"/>
      <c r="I38" s="719"/>
      <c r="J38" s="719"/>
      <c r="K38" s="719"/>
      <c r="L38" s="719"/>
      <c r="M38" s="719"/>
      <c r="N38" s="719"/>
      <c r="O38" s="719"/>
      <c r="P38" s="1895"/>
      <c r="Q38" s="560"/>
    </row>
    <row r="39" spans="2:17" ht="7.5" customHeight="1" x14ac:dyDescent="0.25">
      <c r="B39" s="559"/>
      <c r="C39" s="1895"/>
      <c r="D39" s="1895"/>
      <c r="E39" s="360"/>
      <c r="F39" s="575"/>
      <c r="G39" s="360"/>
      <c r="H39" s="1895"/>
      <c r="I39" s="1895"/>
      <c r="J39" s="1895"/>
      <c r="K39" s="1895"/>
      <c r="L39" s="1895"/>
      <c r="M39" s="1895"/>
      <c r="N39" s="1895"/>
      <c r="O39" s="1895"/>
      <c r="P39" s="1895"/>
      <c r="Q39" s="560"/>
    </row>
    <row r="40" spans="2:17" ht="15.75" thickBot="1" x14ac:dyDescent="0.3">
      <c r="B40" s="559"/>
      <c r="C40" s="2302" t="s">
        <v>315</v>
      </c>
      <c r="D40" s="2391"/>
      <c r="E40" s="2302"/>
      <c r="F40" s="2302"/>
      <c r="G40" s="2302"/>
      <c r="H40" s="2302"/>
      <c r="I40" s="2302"/>
      <c r="J40" s="2302"/>
      <c r="K40" s="2476"/>
      <c r="L40" s="2302"/>
      <c r="M40" s="2302"/>
      <c r="N40" s="2302"/>
      <c r="O40" s="2302"/>
      <c r="P40" s="2302"/>
      <c r="Q40" s="560"/>
    </row>
    <row r="41" spans="2:17" ht="27" thickBot="1" x14ac:dyDescent="0.3">
      <c r="B41" s="559"/>
      <c r="C41" s="1077" t="s">
        <v>644</v>
      </c>
      <c r="D41" s="742" t="s">
        <v>648</v>
      </c>
      <c r="E41" s="1896" t="s">
        <v>299</v>
      </c>
      <c r="F41" s="1896" t="s">
        <v>300</v>
      </c>
      <c r="G41" s="1896" t="s">
        <v>307</v>
      </c>
      <c r="H41" s="565" t="s">
        <v>308</v>
      </c>
      <c r="I41" s="565" t="s">
        <v>309</v>
      </c>
      <c r="J41" s="1896" t="s">
        <v>552</v>
      </c>
      <c r="K41" s="742" t="s">
        <v>1691</v>
      </c>
      <c r="L41" s="742" t="s">
        <v>1690</v>
      </c>
      <c r="M41" s="564" t="s">
        <v>301</v>
      </c>
      <c r="N41" s="564" t="s">
        <v>310</v>
      </c>
      <c r="O41" s="565" t="s">
        <v>302</v>
      </c>
      <c r="P41" s="1897" t="s">
        <v>508</v>
      </c>
      <c r="Q41" s="560"/>
    </row>
    <row r="42" spans="2:17" x14ac:dyDescent="0.25">
      <c r="B42" s="559"/>
      <c r="C42" s="749" t="s">
        <v>1926</v>
      </c>
      <c r="D42" s="760" t="s">
        <v>570</v>
      </c>
      <c r="E42" s="2202"/>
      <c r="F42" s="2192">
        <v>350000</v>
      </c>
      <c r="G42" s="750" t="s">
        <v>570</v>
      </c>
      <c r="H42" s="2215" t="s">
        <v>1910</v>
      </c>
      <c r="I42" s="1172" t="s">
        <v>1910</v>
      </c>
      <c r="J42" s="1891" t="s">
        <v>533</v>
      </c>
      <c r="K42" s="1906" t="s">
        <v>1684</v>
      </c>
      <c r="L42" s="1908" t="s">
        <v>541</v>
      </c>
      <c r="M42" s="759"/>
      <c r="N42" s="758"/>
      <c r="O42" s="758"/>
      <c r="P42" s="760" t="s">
        <v>1172</v>
      </c>
      <c r="Q42" s="560"/>
    </row>
    <row r="43" spans="2:17" x14ac:dyDescent="0.25">
      <c r="B43" s="559"/>
      <c r="C43" s="753"/>
      <c r="D43" s="763"/>
      <c r="E43" s="2203"/>
      <c r="F43" s="2194"/>
      <c r="G43" s="754"/>
      <c r="H43" s="761"/>
      <c r="I43" s="755"/>
      <c r="J43" s="1892"/>
      <c r="K43" s="1907"/>
      <c r="L43" s="1909"/>
      <c r="M43" s="762"/>
      <c r="N43" s="761"/>
      <c r="O43" s="761"/>
      <c r="P43" s="763"/>
      <c r="Q43" s="560"/>
    </row>
    <row r="44" spans="2:17" ht="7.5" customHeight="1" thickBot="1" x14ac:dyDescent="0.3">
      <c r="B44" s="559"/>
      <c r="C44" s="1553"/>
      <c r="D44" s="1554"/>
      <c r="E44" s="2204"/>
      <c r="F44" s="2196"/>
      <c r="G44" s="1555"/>
      <c r="H44" s="1533"/>
      <c r="I44" s="1556"/>
      <c r="J44" s="1893"/>
      <c r="K44" s="1905"/>
      <c r="L44" s="1910"/>
      <c r="M44" s="1559"/>
      <c r="N44" s="1533"/>
      <c r="O44" s="1533"/>
      <c r="P44" s="1560"/>
      <c r="Q44" s="560"/>
    </row>
    <row r="45" spans="2:17" ht="15.75" thickBot="1" x14ac:dyDescent="0.3">
      <c r="B45" s="559"/>
      <c r="C45" s="373"/>
      <c r="D45" s="718" t="s">
        <v>311</v>
      </c>
      <c r="E45" s="2210">
        <f>SUM(E42:E44)</f>
        <v>0</v>
      </c>
      <c r="F45" s="2211">
        <f>SUM(F42:F44)</f>
        <v>350000</v>
      </c>
      <c r="G45" s="191"/>
      <c r="H45" s="719"/>
      <c r="I45" s="1895"/>
      <c r="J45" s="1895"/>
      <c r="K45" s="1895"/>
      <c r="L45" s="1895"/>
      <c r="M45" s="1895"/>
      <c r="N45" s="1895"/>
      <c r="O45" s="1895"/>
      <c r="P45" s="1895"/>
      <c r="Q45" s="560"/>
    </row>
    <row r="46" spans="2:17" ht="3.75" customHeight="1" thickBot="1" x14ac:dyDescent="0.3">
      <c r="B46" s="559"/>
      <c r="C46" s="719"/>
      <c r="D46" s="719"/>
      <c r="E46" s="2199"/>
      <c r="F46" s="2209"/>
      <c r="G46" s="191"/>
      <c r="H46" s="719"/>
      <c r="I46" s="1895"/>
      <c r="J46" s="1895"/>
      <c r="K46" s="1895"/>
      <c r="L46" s="1895"/>
      <c r="M46" s="1895"/>
      <c r="N46" s="1895"/>
      <c r="O46" s="1895"/>
      <c r="P46" s="1895"/>
      <c r="Q46" s="560"/>
    </row>
    <row r="47" spans="2:17" ht="16.5" thickBot="1" x14ac:dyDescent="0.3">
      <c r="B47" s="559"/>
      <c r="C47" s="373"/>
      <c r="D47" s="719"/>
      <c r="E47" s="2207" t="s">
        <v>316</v>
      </c>
      <c r="F47" s="2201">
        <f>E45+F45</f>
        <v>350000</v>
      </c>
      <c r="G47" s="191"/>
      <c r="H47" s="576"/>
      <c r="I47" s="719"/>
      <c r="J47" s="719"/>
      <c r="K47" s="719"/>
      <c r="L47" s="719"/>
      <c r="M47" s="719"/>
      <c r="N47" s="719"/>
      <c r="O47" s="719"/>
      <c r="P47" s="1895"/>
      <c r="Q47" s="560"/>
    </row>
    <row r="48" spans="2:17" ht="3.75" customHeight="1" thickBot="1" x14ac:dyDescent="0.3">
      <c r="B48" s="1561"/>
      <c r="C48" s="373"/>
      <c r="D48" s="373"/>
      <c r="E48" s="2200"/>
      <c r="F48" s="2200"/>
      <c r="G48" s="373"/>
      <c r="H48" s="373"/>
      <c r="I48" s="373"/>
      <c r="J48" s="373"/>
      <c r="K48" s="373"/>
      <c r="L48" s="373"/>
      <c r="M48" s="373"/>
      <c r="N48" s="373"/>
      <c r="O48" s="373"/>
      <c r="P48" s="373"/>
      <c r="Q48" s="1562"/>
    </row>
    <row r="49" spans="2:17" ht="15.75" thickBot="1" x14ac:dyDescent="0.3">
      <c r="B49" s="1561"/>
      <c r="C49" s="373"/>
      <c r="D49" s="373"/>
      <c r="E49" s="2212" t="s">
        <v>649</v>
      </c>
      <c r="F49" s="2201">
        <f>F38+F47</f>
        <v>21663414.5</v>
      </c>
      <c r="G49" s="373"/>
      <c r="H49" s="373"/>
      <c r="I49" s="373"/>
      <c r="J49" s="373"/>
      <c r="K49" s="373"/>
      <c r="L49" s="373"/>
      <c r="M49" s="373"/>
      <c r="N49" s="373"/>
      <c r="O49" s="373"/>
      <c r="P49" s="373"/>
      <c r="Q49" s="1562"/>
    </row>
    <row r="50" spans="2:17" ht="9" customHeight="1" thickBot="1" x14ac:dyDescent="0.3">
      <c r="B50" s="577"/>
      <c r="C50" s="578"/>
      <c r="D50" s="578"/>
      <c r="E50" s="580"/>
      <c r="F50" s="581"/>
      <c r="G50" s="581"/>
      <c r="H50" s="582"/>
      <c r="I50" s="582"/>
      <c r="J50" s="579"/>
      <c r="K50" s="579"/>
      <c r="L50" s="579"/>
      <c r="M50" s="579"/>
      <c r="N50" s="579"/>
      <c r="O50" s="582"/>
      <c r="P50" s="582"/>
      <c r="Q50" s="583"/>
    </row>
    <row r="52" spans="2:17" x14ac:dyDescent="0.25">
      <c r="F52" s="2223">
        <f>'6A'!J120</f>
        <v>21663414.802096002</v>
      </c>
    </row>
    <row r="53" spans="2:17" x14ac:dyDescent="0.25">
      <c r="F53" s="2225">
        <f>F52-F49</f>
        <v>0.30209600180387497</v>
      </c>
    </row>
  </sheetData>
  <sheetProtection password="D666" sheet="1" objects="1" scenarios="1" formatCells="0" formatColumns="0" formatRows="0" insertRows="0"/>
  <mergeCells count="10">
    <mergeCell ref="J18:M18"/>
    <mergeCell ref="J19:M19"/>
    <mergeCell ref="C24:P24"/>
    <mergeCell ref="C40:P40"/>
    <mergeCell ref="C10:P10"/>
    <mergeCell ref="C12:M12"/>
    <mergeCell ref="C14:M14"/>
    <mergeCell ref="J15:M15"/>
    <mergeCell ref="J16:M16"/>
    <mergeCell ref="J17:M17"/>
  </mergeCells>
  <conditionalFormatting sqref="L26:P30 L42:P43">
    <cfRule type="expression" dxfId="20" priority="2">
      <formula>$K26="Non-Recoverable"</formula>
    </cfRule>
  </conditionalFormatting>
  <dataValidations count="11">
    <dataValidation type="list" allowBlank="1" showInputMessage="1" showErrorMessage="1" sqref="K42">
      <formula1>INDIRECT(J26)</formula1>
    </dataValidation>
    <dataValidation type="list" allowBlank="1" showInputMessage="1" showErrorMessage="1" sqref="C42:C43">
      <formula1>NonRes_FundSource</formula1>
    </dataValidation>
    <dataValidation type="list" allowBlank="1" showInputMessage="1" showErrorMessage="1" sqref="D16:D18 D26:D30 D42:D43">
      <formula1>Fund_Source</formula1>
    </dataValidation>
    <dataValidation type="list" allowBlank="1" showInputMessage="1" showErrorMessage="1" sqref="G26:G30 G42:G43">
      <formula1>"Select...,Public,Private"</formula1>
    </dataValidation>
    <dataValidation type="list" allowBlank="1" showInputMessage="1" showErrorMessage="1" sqref="G31 G44">
      <formula1>"Public,Private"</formula1>
    </dataValidation>
    <dataValidation type="list" allowBlank="1" showInputMessage="1" showErrorMessage="1" sqref="J42:J44 J26:J31">
      <formula1>G_or_L</formula1>
    </dataValidation>
    <dataValidation type="list" allowBlank="1" showInputMessage="1" showErrorMessage="1" sqref="K26:K30">
      <formula1>INDIRECT(J26)</formula1>
    </dataValidation>
    <dataValidation type="list" allowBlank="1" showInputMessage="1" showErrorMessage="1" sqref="K31">
      <formula1>INDIRECT(J26)</formula1>
    </dataValidation>
    <dataValidation type="list" allowBlank="1" showInputMessage="1" showErrorMessage="1" sqref="K43">
      <formula1>INDIRECT(J26)</formula1>
    </dataValidation>
    <dataValidation type="list" allowBlank="1" showInputMessage="1" showErrorMessage="1" sqref="K44">
      <formula1>INDIRECT(J26)</formula1>
    </dataValidation>
    <dataValidation type="list" allowBlank="1" showInputMessage="1" showErrorMessage="1" sqref="L26:L31 L42:L44">
      <formula1>Debt_Type</formula1>
    </dataValidation>
  </dataValidations>
  <pageMargins left="0.25" right="0.25" top="0.75" bottom="0.75" header="0.3" footer="0.3"/>
  <pageSetup paperSize="5" scale="91" orientation="landscape"/>
  <headerFooter>
    <oddFooter>&amp;LForm 7A
Financing Sources&amp;CCFA Forms&amp;REdition: 2016
Version: 1.0</oddFooter>
  </headerFooter>
  <drawing r:id="rId1"/>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topLeftCell="A12" zoomScale="125" zoomScaleNormal="125" zoomScaleSheetLayoutView="100" zoomScalePageLayoutView="125" workbookViewId="0">
      <pane ySplit="1" topLeftCell="A13" activePane="bottomLeft" state="frozen"/>
      <selection activeCell="U35" sqref="U35"/>
      <selection pane="bottomLeft" activeCell="M14" sqref="M14"/>
    </sheetView>
  </sheetViews>
  <sheetFormatPr defaultColWidth="8.85546875" defaultRowHeight="15" x14ac:dyDescent="0.25"/>
  <cols>
    <col min="1" max="2" width="1.7109375" style="394" customWidth="1"/>
    <col min="3" max="3" width="20.28515625" style="394" bestFit="1" customWidth="1"/>
    <col min="4" max="4" width="10.42578125" style="394" bestFit="1" customWidth="1"/>
    <col min="5" max="6" width="11.28515625" style="394" bestFit="1" customWidth="1"/>
    <col min="7" max="7" width="12.28515625" style="394" customWidth="1"/>
    <col min="8" max="8" width="11.140625" style="394" customWidth="1"/>
    <col min="9" max="9" width="12.42578125" style="394" customWidth="1"/>
    <col min="10" max="13" width="10.28515625" style="394" bestFit="1" customWidth="1"/>
    <col min="14" max="14" width="8.85546875" style="394" bestFit="1" customWidth="1"/>
    <col min="15" max="15" width="11.7109375" style="394" bestFit="1" customWidth="1"/>
    <col min="16" max="16" width="8.5703125" style="394" bestFit="1" customWidth="1"/>
    <col min="17" max="17" width="8.85546875" style="394" bestFit="1" customWidth="1"/>
    <col min="18" max="19" width="8.5703125" style="394" bestFit="1" customWidth="1"/>
    <col min="20" max="20" width="11.28515625" style="394" bestFit="1" customWidth="1"/>
    <col min="21" max="21" width="2.28515625" style="394" customWidth="1"/>
    <col min="22" max="16384" width="8.85546875" style="394"/>
  </cols>
  <sheetData>
    <row r="10" spans="2:25" ht="9" customHeight="1" thickBot="1" x14ac:dyDescent="0.3"/>
    <row r="11" spans="2:25" ht="9" customHeight="1" x14ac:dyDescent="0.25">
      <c r="B11" s="584"/>
      <c r="C11" s="436"/>
      <c r="D11" s="436"/>
      <c r="E11" s="436"/>
      <c r="F11" s="436"/>
      <c r="G11" s="436"/>
      <c r="H11" s="436"/>
      <c r="I11" s="436"/>
      <c r="J11" s="436"/>
      <c r="K11" s="436"/>
      <c r="L11" s="1564"/>
      <c r="M11" s="1564"/>
      <c r="N11" s="1564"/>
      <c r="O11" s="1564"/>
      <c r="P11" s="1564"/>
      <c r="Q11" s="1564"/>
      <c r="R11" s="1564"/>
      <c r="S11" s="1564"/>
      <c r="T11" s="1564"/>
      <c r="U11" s="1565"/>
    </row>
    <row r="12" spans="2:25" ht="18.75" x14ac:dyDescent="0.3">
      <c r="B12" s="585"/>
      <c r="C12" s="2402" t="s">
        <v>536</v>
      </c>
      <c r="D12" s="2402"/>
      <c r="E12" s="2402"/>
      <c r="F12" s="2402"/>
      <c r="G12" s="2402"/>
      <c r="H12" s="2402"/>
      <c r="I12" s="2402"/>
      <c r="J12" s="2402"/>
      <c r="K12" s="2402"/>
      <c r="L12" s="2402"/>
      <c r="M12" s="2402"/>
      <c r="N12" s="2402"/>
      <c r="O12" s="2402"/>
      <c r="P12" s="2402"/>
      <c r="Q12" s="2402"/>
      <c r="R12" s="2402"/>
      <c r="S12" s="2402"/>
      <c r="T12" s="2402"/>
      <c r="U12" s="1566"/>
    </row>
    <row r="13" spans="2:25" ht="15" customHeight="1" x14ac:dyDescent="0.25">
      <c r="B13" s="585"/>
      <c r="C13" s="407"/>
      <c r="D13" s="407"/>
      <c r="E13" s="407"/>
      <c r="F13" s="407"/>
      <c r="G13" s="407"/>
      <c r="H13" s="407"/>
      <c r="I13" s="407"/>
      <c r="J13" s="407"/>
      <c r="K13" s="407"/>
      <c r="L13" s="1098"/>
      <c r="M13" s="1098"/>
      <c r="N13" s="1098"/>
      <c r="O13" s="1098"/>
      <c r="P13" s="1098"/>
      <c r="Q13" s="1098"/>
      <c r="R13" s="1098"/>
      <c r="S13" s="1098"/>
      <c r="T13" s="1098"/>
      <c r="U13" s="1566"/>
    </row>
    <row r="14" spans="2:25" ht="15.75" thickBot="1" x14ac:dyDescent="0.3">
      <c r="B14" s="586"/>
      <c r="C14" s="2495" t="str">
        <f>IF('1'!G5="","Enter Project Name on Form 1",(CONCATENATE("Project Name: ",'1'!G5)))</f>
        <v>Project Name: Compass Broadview</v>
      </c>
      <c r="D14" s="2495"/>
      <c r="E14" s="2495"/>
      <c r="F14" s="2495"/>
      <c r="G14" s="2495"/>
      <c r="H14" s="2495"/>
      <c r="I14" s="2495"/>
      <c r="J14" s="2495"/>
      <c r="K14" s="363"/>
      <c r="L14" s="133" t="s">
        <v>317</v>
      </c>
      <c r="M14" s="2268">
        <v>42626</v>
      </c>
      <c r="N14" s="1098"/>
      <c r="O14" s="1098"/>
      <c r="P14" s="1098"/>
      <c r="Q14" s="1098"/>
      <c r="R14" s="1098"/>
      <c r="S14" s="1098"/>
      <c r="T14" s="1098"/>
      <c r="U14" s="1566"/>
    </row>
    <row r="15" spans="2:25" s="414" customFormat="1" ht="15" customHeight="1" x14ac:dyDescent="0.25">
      <c r="B15" s="586"/>
      <c r="C15" s="1403"/>
      <c r="D15" s="595"/>
      <c r="E15" s="1062"/>
      <c r="F15" s="630"/>
      <c r="G15" s="1063"/>
      <c r="H15" s="595"/>
      <c r="I15" s="595"/>
      <c r="J15" s="595"/>
      <c r="K15" s="377"/>
      <c r="L15" s="1216"/>
      <c r="M15" s="1216"/>
      <c r="N15" s="1216"/>
      <c r="O15" s="1216"/>
      <c r="P15" s="1216"/>
      <c r="Q15" s="1216"/>
      <c r="R15" s="1216"/>
      <c r="S15" s="1216"/>
      <c r="T15" s="1216"/>
      <c r="U15" s="1567"/>
      <c r="W15" s="394"/>
      <c r="X15" s="394"/>
      <c r="Y15" s="394"/>
    </row>
    <row r="16" spans="2:25" s="414" customFormat="1" ht="15" customHeight="1" thickBot="1" x14ac:dyDescent="0.3">
      <c r="B16" s="586"/>
      <c r="C16" s="2496" t="s">
        <v>318</v>
      </c>
      <c r="D16" s="2496"/>
      <c r="E16" s="2496"/>
      <c r="F16" s="2496"/>
      <c r="G16" s="2496"/>
      <c r="H16" s="2496"/>
      <c r="I16" s="2496"/>
      <c r="J16" s="2496"/>
      <c r="K16" s="2496"/>
      <c r="L16" s="1216"/>
      <c r="M16" s="1216"/>
      <c r="N16" s="1216"/>
      <c r="O16" s="1216"/>
      <c r="P16" s="1216"/>
      <c r="Q16" s="1216"/>
      <c r="R16" s="1216"/>
      <c r="S16" s="1216"/>
      <c r="T16" s="1216"/>
      <c r="U16" s="1567"/>
    </row>
    <row r="17" spans="2:21" s="414" customFormat="1" ht="15" customHeight="1" x14ac:dyDescent="0.25">
      <c r="B17" s="586"/>
      <c r="C17" s="129"/>
      <c r="D17" s="1064" t="s">
        <v>654</v>
      </c>
      <c r="E17" s="1065" t="s">
        <v>655</v>
      </c>
      <c r="F17" s="1065" t="s">
        <v>656</v>
      </c>
      <c r="G17" s="1065" t="s">
        <v>657</v>
      </c>
      <c r="H17" s="1065" t="s">
        <v>654</v>
      </c>
      <c r="I17" s="1065" t="s">
        <v>655</v>
      </c>
      <c r="J17" s="1065" t="s">
        <v>656</v>
      </c>
      <c r="K17" s="1065" t="s">
        <v>657</v>
      </c>
      <c r="L17" s="1065" t="s">
        <v>654</v>
      </c>
      <c r="M17" s="1065" t="s">
        <v>655</v>
      </c>
      <c r="N17" s="1065" t="s">
        <v>656</v>
      </c>
      <c r="O17" s="1065" t="s">
        <v>657</v>
      </c>
      <c r="P17" s="1065" t="s">
        <v>654</v>
      </c>
      <c r="Q17" s="1065" t="s">
        <v>655</v>
      </c>
      <c r="R17" s="1065" t="s">
        <v>656</v>
      </c>
      <c r="S17" s="1066" t="s">
        <v>657</v>
      </c>
      <c r="T17" s="347" t="s">
        <v>329</v>
      </c>
      <c r="U17" s="1567"/>
    </row>
    <row r="18" spans="2:21" s="414" customFormat="1" ht="15" customHeight="1" thickBot="1" x14ac:dyDescent="0.3">
      <c r="B18" s="586"/>
      <c r="C18" s="130" t="s">
        <v>297</v>
      </c>
      <c r="D18" s="1913" t="s">
        <v>639</v>
      </c>
      <c r="E18" s="1914" t="s">
        <v>640</v>
      </c>
      <c r="F18" s="1914" t="s">
        <v>641</v>
      </c>
      <c r="G18" s="1914" t="s">
        <v>642</v>
      </c>
      <c r="H18" s="2265" t="s">
        <v>662</v>
      </c>
      <c r="I18" s="1914" t="s">
        <v>663</v>
      </c>
      <c r="J18" s="1914" t="s">
        <v>664</v>
      </c>
      <c r="K18" s="1914" t="s">
        <v>665</v>
      </c>
      <c r="L18" s="2265" t="s">
        <v>666</v>
      </c>
      <c r="M18" s="2265" t="s">
        <v>667</v>
      </c>
      <c r="N18" s="1915" t="s">
        <v>660</v>
      </c>
      <c r="O18" s="1914" t="s">
        <v>661</v>
      </c>
      <c r="P18" s="1914" t="s">
        <v>659</v>
      </c>
      <c r="Q18" s="1914" t="s">
        <v>668</v>
      </c>
      <c r="R18" s="1914" t="s">
        <v>669</v>
      </c>
      <c r="S18" s="1916" t="s">
        <v>670</v>
      </c>
      <c r="T18" s="348"/>
      <c r="U18" s="1567"/>
    </row>
    <row r="19" spans="2:21" s="414" customFormat="1" ht="15" customHeight="1" x14ac:dyDescent="0.25">
      <c r="B19" s="586"/>
      <c r="C19" s="588" t="s">
        <v>319</v>
      </c>
      <c r="D19" s="2233">
        <v>0</v>
      </c>
      <c r="E19" s="2234">
        <v>0</v>
      </c>
      <c r="F19" s="2234">
        <v>0</v>
      </c>
      <c r="G19" s="2234">
        <v>0</v>
      </c>
      <c r="H19" s="2234">
        <v>0</v>
      </c>
      <c r="I19" s="2234">
        <v>0</v>
      </c>
      <c r="J19" s="2234">
        <v>0</v>
      </c>
      <c r="K19" s="2234">
        <v>0</v>
      </c>
      <c r="L19" s="2234">
        <v>0</v>
      </c>
      <c r="M19" s="2234">
        <v>0</v>
      </c>
      <c r="N19" s="2234">
        <v>0</v>
      </c>
      <c r="O19" s="2234">
        <v>0</v>
      </c>
      <c r="P19" s="2234">
        <v>0</v>
      </c>
      <c r="Q19" s="2234">
        <v>0</v>
      </c>
      <c r="R19" s="2234">
        <v>0</v>
      </c>
      <c r="S19" s="2235">
        <v>0</v>
      </c>
      <c r="T19" s="2252">
        <f>SUM(D19:K19)+SUM(L19:S19)</f>
        <v>0</v>
      </c>
      <c r="U19" s="1567"/>
    </row>
    <row r="20" spans="2:21" s="414" customFormat="1" ht="15" customHeight="1" x14ac:dyDescent="0.25">
      <c r="B20" s="586"/>
      <c r="C20" s="1101" t="str">
        <f>IF('7A'!C16="","Enter on Form 7A",'7A'!C16)</f>
        <v>Impact Capital</v>
      </c>
      <c r="D20" s="2236">
        <v>199875</v>
      </c>
      <c r="E20" s="2237">
        <v>191875</v>
      </c>
      <c r="F20" s="2237">
        <v>108250</v>
      </c>
      <c r="G20" s="2237">
        <v>-500000</v>
      </c>
      <c r="H20" s="2237">
        <v>0</v>
      </c>
      <c r="I20" s="2237">
        <v>0</v>
      </c>
      <c r="J20" s="2237">
        <v>0</v>
      </c>
      <c r="K20" s="2237">
        <v>0</v>
      </c>
      <c r="L20" s="2237">
        <v>0</v>
      </c>
      <c r="M20" s="2237">
        <v>0</v>
      </c>
      <c r="N20" s="2237">
        <v>0</v>
      </c>
      <c r="O20" s="2237">
        <v>0</v>
      </c>
      <c r="P20" s="2237">
        <v>0</v>
      </c>
      <c r="Q20" s="2237">
        <v>0</v>
      </c>
      <c r="R20" s="2237">
        <v>0</v>
      </c>
      <c r="S20" s="2238">
        <v>0</v>
      </c>
      <c r="T20" s="2253">
        <f>SUM(D20:K20)+SUM(L20:S20)</f>
        <v>0</v>
      </c>
      <c r="U20" s="1567"/>
    </row>
    <row r="21" spans="2:21" s="414" customFormat="1" ht="15" customHeight="1" x14ac:dyDescent="0.25">
      <c r="B21" s="586"/>
      <c r="C21" s="1101" t="str">
        <f>IF('7A'!C17="","Enter on Form 7A",'7A'!C17)</f>
        <v>TBD</v>
      </c>
      <c r="D21" s="2236">
        <v>0</v>
      </c>
      <c r="E21" s="2237">
        <v>0</v>
      </c>
      <c r="F21" s="2237">
        <v>0</v>
      </c>
      <c r="G21" s="2237">
        <v>0</v>
      </c>
      <c r="H21" s="2237">
        <v>0</v>
      </c>
      <c r="I21" s="2237">
        <v>0</v>
      </c>
      <c r="J21" s="2237">
        <v>4014872.3911528005</v>
      </c>
      <c r="K21" s="2237">
        <v>3932756.450524</v>
      </c>
      <c r="L21" s="2237">
        <v>1828373.9802096002</v>
      </c>
      <c r="M21" s="2237">
        <v>1258325.9098860994</v>
      </c>
      <c r="N21" s="2237">
        <v>0</v>
      </c>
      <c r="O21" s="2237">
        <v>-11034328.731772501</v>
      </c>
      <c r="P21" s="2237">
        <v>0</v>
      </c>
      <c r="Q21" s="2237">
        <v>0</v>
      </c>
      <c r="R21" s="2237">
        <v>0</v>
      </c>
      <c r="S21" s="2238">
        <v>0</v>
      </c>
      <c r="T21" s="2250">
        <f>SUM(D21:K21)+SUM(L21:S21)</f>
        <v>0</v>
      </c>
      <c r="U21" s="1567"/>
    </row>
    <row r="22" spans="2:21" s="414" customFormat="1" ht="15" customHeight="1" thickBot="1" x14ac:dyDescent="0.3">
      <c r="B22" s="586"/>
      <c r="C22" s="1101" t="str">
        <f>IF('7A'!C18="","Enter on Form 7A",'7A'!C18)</f>
        <v>Enter on Form 7A</v>
      </c>
      <c r="D22" s="2239">
        <v>0</v>
      </c>
      <c r="E22" s="2240">
        <v>0</v>
      </c>
      <c r="F22" s="2240">
        <v>0</v>
      </c>
      <c r="G22" s="2240">
        <v>0</v>
      </c>
      <c r="H22" s="2240">
        <v>0</v>
      </c>
      <c r="I22" s="2240">
        <v>0</v>
      </c>
      <c r="J22" s="2240">
        <v>0</v>
      </c>
      <c r="K22" s="2240">
        <v>0</v>
      </c>
      <c r="L22" s="2240">
        <v>0</v>
      </c>
      <c r="M22" s="2240">
        <v>0</v>
      </c>
      <c r="N22" s="2240">
        <v>0</v>
      </c>
      <c r="O22" s="2240">
        <v>0</v>
      </c>
      <c r="P22" s="2240">
        <v>0</v>
      </c>
      <c r="Q22" s="2240">
        <v>0</v>
      </c>
      <c r="R22" s="2240">
        <v>0</v>
      </c>
      <c r="S22" s="2241">
        <v>0</v>
      </c>
      <c r="T22" s="2251">
        <f>SUM(D22:K22)+SUM(L22:S22)</f>
        <v>0</v>
      </c>
      <c r="U22" s="1567"/>
    </row>
    <row r="23" spans="2:21" s="414" customFormat="1" ht="15" customHeight="1" thickBot="1" x14ac:dyDescent="0.3">
      <c r="B23" s="586"/>
      <c r="C23" s="137" t="s">
        <v>320</v>
      </c>
      <c r="D23" s="2242">
        <f>SUM(D19:D22)</f>
        <v>199875</v>
      </c>
      <c r="E23" s="2243">
        <f t="shared" ref="E23:K23" si="0">SUM(E19:E22)</f>
        <v>191875</v>
      </c>
      <c r="F23" s="2243">
        <f t="shared" si="0"/>
        <v>108250</v>
      </c>
      <c r="G23" s="2243">
        <f t="shared" si="0"/>
        <v>-500000</v>
      </c>
      <c r="H23" s="2243">
        <f t="shared" si="0"/>
        <v>0</v>
      </c>
      <c r="I23" s="2243">
        <f t="shared" si="0"/>
        <v>0</v>
      </c>
      <c r="J23" s="2243">
        <f t="shared" si="0"/>
        <v>4014872.3911528005</v>
      </c>
      <c r="K23" s="2243">
        <f t="shared" si="0"/>
        <v>3932756.450524</v>
      </c>
      <c r="L23" s="2243">
        <f t="shared" ref="L23:T23" si="1">SUM(L19:L22)</f>
        <v>1828373.9802096002</v>
      </c>
      <c r="M23" s="2243">
        <f t="shared" si="1"/>
        <v>1258325.9098860994</v>
      </c>
      <c r="N23" s="2243">
        <f t="shared" si="1"/>
        <v>0</v>
      </c>
      <c r="O23" s="2243">
        <f t="shared" si="1"/>
        <v>-11034328.731772501</v>
      </c>
      <c r="P23" s="2243">
        <f t="shared" si="1"/>
        <v>0</v>
      </c>
      <c r="Q23" s="2243">
        <f t="shared" si="1"/>
        <v>0</v>
      </c>
      <c r="R23" s="2243">
        <f t="shared" si="1"/>
        <v>0</v>
      </c>
      <c r="S23" s="2244">
        <f t="shared" si="1"/>
        <v>0</v>
      </c>
      <c r="T23" s="2245">
        <f t="shared" si="1"/>
        <v>0</v>
      </c>
      <c r="U23" s="1567"/>
    </row>
    <row r="24" spans="2:21" s="414" customFormat="1" ht="3.75" customHeight="1" x14ac:dyDescent="0.25">
      <c r="B24" s="586"/>
      <c r="C24" s="1403"/>
      <c r="D24" s="595"/>
      <c r="E24" s="1062"/>
      <c r="F24" s="630"/>
      <c r="G24" s="1063"/>
      <c r="H24" s="595"/>
      <c r="I24" s="595"/>
      <c r="J24" s="595"/>
      <c r="K24" s="595"/>
      <c r="L24" s="595"/>
      <c r="M24" s="1216"/>
      <c r="N24" s="1216"/>
      <c r="O24" s="1216"/>
      <c r="P24" s="1216"/>
      <c r="Q24" s="1216"/>
      <c r="R24" s="1216"/>
      <c r="S24" s="1216"/>
      <c r="T24" s="1216"/>
      <c r="U24" s="1567"/>
    </row>
    <row r="25" spans="2:21" s="414" customFormat="1" ht="15" customHeight="1" thickBot="1" x14ac:dyDescent="0.3">
      <c r="B25" s="586"/>
      <c r="C25" s="130" t="s">
        <v>196</v>
      </c>
      <c r="D25" s="1098"/>
      <c r="E25" s="1098"/>
      <c r="F25" s="1098"/>
      <c r="G25" s="1098"/>
      <c r="H25" s="1098"/>
      <c r="I25" s="1098"/>
      <c r="J25" s="1098"/>
      <c r="K25" s="1098"/>
      <c r="L25" s="1098"/>
      <c r="M25" s="1216"/>
      <c r="N25" s="1216"/>
      <c r="O25" s="1216"/>
      <c r="P25" s="1216"/>
      <c r="Q25" s="1216"/>
      <c r="R25" s="1216"/>
      <c r="S25" s="1216"/>
      <c r="T25" s="1216"/>
      <c r="U25" s="1567"/>
    </row>
    <row r="26" spans="2:21" s="414" customFormat="1" ht="15" customHeight="1" x14ac:dyDescent="0.25">
      <c r="B26" s="586"/>
      <c r="C26" s="1067" t="s">
        <v>658</v>
      </c>
      <c r="D26" s="2233">
        <v>0</v>
      </c>
      <c r="E26" s="2234">
        <v>0</v>
      </c>
      <c r="F26" s="2234">
        <v>0</v>
      </c>
      <c r="G26" s="2234">
        <v>1298286</v>
      </c>
      <c r="H26" s="2234">
        <v>0</v>
      </c>
      <c r="I26" s="2234">
        <v>0</v>
      </c>
      <c r="J26" s="2234">
        <v>0</v>
      </c>
      <c r="K26" s="2234">
        <v>0</v>
      </c>
      <c r="L26" s="2234">
        <v>0</v>
      </c>
      <c r="M26" s="2234">
        <v>622942.21318064351</v>
      </c>
      <c r="N26" s="2234">
        <v>141474.14285714284</v>
      </c>
      <c r="O26" s="2234">
        <v>10793405.446058216</v>
      </c>
      <c r="P26" s="2234">
        <v>0</v>
      </c>
      <c r="Q26" s="2234">
        <v>126754</v>
      </c>
      <c r="R26" s="2234">
        <v>0</v>
      </c>
      <c r="S26" s="2235">
        <v>0</v>
      </c>
      <c r="T26" s="2249">
        <f t="shared" ref="T26:T33" si="2">SUM(D26:K26)+SUM(L26:S26)</f>
        <v>12982861.802096002</v>
      </c>
      <c r="U26" s="1567"/>
    </row>
    <row r="27" spans="2:21" x14ac:dyDescent="0.25">
      <c r="B27" s="1514"/>
      <c r="C27" s="1568" t="str">
        <f>IF('7A'!C26="","Enter on Form 7A",'7A'!C26)</f>
        <v>Seattle Office of Housing</v>
      </c>
      <c r="D27" s="2236">
        <v>0</v>
      </c>
      <c r="E27" s="2237">
        <v>0</v>
      </c>
      <c r="F27" s="2237">
        <v>0</v>
      </c>
      <c r="G27" s="2237">
        <v>376284</v>
      </c>
      <c r="H27" s="2237">
        <v>1569206.9802096002</v>
      </c>
      <c r="I27" s="2237">
        <v>3152239.9604192004</v>
      </c>
      <c r="J27" s="2237">
        <v>14767.059371199459</v>
      </c>
      <c r="K27" s="2237">
        <v>0</v>
      </c>
      <c r="L27" s="2237">
        <v>0</v>
      </c>
      <c r="M27" s="2237">
        <v>0</v>
      </c>
      <c r="N27" s="2237">
        <v>0</v>
      </c>
      <c r="O27" s="2237">
        <v>568055</v>
      </c>
      <c r="P27" s="2237">
        <v>0</v>
      </c>
      <c r="Q27" s="2237">
        <v>0</v>
      </c>
      <c r="R27" s="2237">
        <v>0</v>
      </c>
      <c r="S27" s="2238">
        <v>0</v>
      </c>
      <c r="T27" s="2250">
        <f t="shared" si="2"/>
        <v>5680553</v>
      </c>
      <c r="U27" s="1566"/>
    </row>
    <row r="28" spans="2:21" x14ac:dyDescent="0.25">
      <c r="B28" s="1514"/>
      <c r="C28" s="1568" t="str">
        <f>IF('7A'!C27="","Enter on Form 7A",'7A'!C27)</f>
        <v>State Department of Commerce</v>
      </c>
      <c r="D28" s="2236">
        <v>0</v>
      </c>
      <c r="E28" s="2237">
        <v>0</v>
      </c>
      <c r="F28" s="2237">
        <v>0</v>
      </c>
      <c r="G28" s="2237">
        <v>2025000</v>
      </c>
      <c r="H28" s="2237">
        <v>0</v>
      </c>
      <c r="I28" s="2237">
        <v>0</v>
      </c>
      <c r="J28" s="2237">
        <v>0</v>
      </c>
      <c r="K28" s="2237">
        <v>0</v>
      </c>
      <c r="L28" s="2237">
        <v>0</v>
      </c>
      <c r="M28" s="2237">
        <v>0</v>
      </c>
      <c r="N28" s="2237">
        <v>0</v>
      </c>
      <c r="O28" s="2237">
        <v>225000</v>
      </c>
      <c r="P28" s="2237">
        <v>0</v>
      </c>
      <c r="Q28" s="2237">
        <v>0</v>
      </c>
      <c r="R28" s="2237">
        <v>0</v>
      </c>
      <c r="S28" s="2238">
        <v>0</v>
      </c>
      <c r="T28" s="2250">
        <f t="shared" si="2"/>
        <v>2250000</v>
      </c>
      <c r="U28" s="1566"/>
    </row>
    <row r="29" spans="2:21" x14ac:dyDescent="0.25">
      <c r="B29" s="1514"/>
      <c r="C29" s="1568" t="str">
        <f>IF('7A'!C28="","Enter on Form 7A",'7A'!C28)</f>
        <v>Deferred Developer Fee</v>
      </c>
      <c r="D29" s="2236">
        <v>0</v>
      </c>
      <c r="E29" s="2237">
        <v>0</v>
      </c>
      <c r="F29" s="2237">
        <v>0</v>
      </c>
      <c r="G29" s="2237">
        <v>0</v>
      </c>
      <c r="H29" s="2237">
        <v>0</v>
      </c>
      <c r="I29" s="2237">
        <v>0</v>
      </c>
      <c r="J29" s="2237">
        <v>0</v>
      </c>
      <c r="K29" s="2237">
        <v>0</v>
      </c>
      <c r="L29" s="2237">
        <v>0</v>
      </c>
      <c r="M29" s="2237">
        <v>0</v>
      </c>
      <c r="N29" s="2237">
        <v>0</v>
      </c>
      <c r="O29" s="2237">
        <v>0</v>
      </c>
      <c r="P29" s="2237">
        <v>0</v>
      </c>
      <c r="Q29" s="2237">
        <v>400000</v>
      </c>
      <c r="R29" s="2237">
        <v>0</v>
      </c>
      <c r="S29" s="2238">
        <v>0</v>
      </c>
      <c r="T29" s="2250">
        <f t="shared" si="2"/>
        <v>400000</v>
      </c>
      <c r="U29" s="1566"/>
    </row>
    <row r="30" spans="2:21" x14ac:dyDescent="0.25">
      <c r="B30" s="1514"/>
      <c r="C30" s="1568" t="str">
        <f>IF('7A'!C29="","Enter on Form 7A",'7A'!C29)</f>
        <v>Enter on Form 7A</v>
      </c>
      <c r="D30" s="2236">
        <v>0</v>
      </c>
      <c r="E30" s="2237">
        <v>0</v>
      </c>
      <c r="F30" s="2237">
        <v>0</v>
      </c>
      <c r="G30" s="2237">
        <v>0</v>
      </c>
      <c r="H30" s="2237">
        <v>0</v>
      </c>
      <c r="I30" s="2237">
        <v>0</v>
      </c>
      <c r="J30" s="2237">
        <v>0</v>
      </c>
      <c r="K30" s="2237">
        <v>0</v>
      </c>
      <c r="L30" s="2237">
        <v>0</v>
      </c>
      <c r="M30" s="2237">
        <v>0</v>
      </c>
      <c r="N30" s="2237">
        <v>0</v>
      </c>
      <c r="O30" s="2237">
        <v>0</v>
      </c>
      <c r="P30" s="2237">
        <v>0</v>
      </c>
      <c r="Q30" s="2237">
        <v>0</v>
      </c>
      <c r="R30" s="2237">
        <v>0</v>
      </c>
      <c r="S30" s="2238">
        <v>0</v>
      </c>
      <c r="T30" s="2250">
        <f t="shared" si="2"/>
        <v>0</v>
      </c>
      <c r="U30" s="1566"/>
    </row>
    <row r="31" spans="2:21" x14ac:dyDescent="0.25">
      <c r="B31" s="1514"/>
      <c r="C31" s="1568" t="str">
        <f>IF('7A'!C30="","Enter on Form 7A",'7A'!C30)</f>
        <v>Enter on Form 7A</v>
      </c>
      <c r="D31" s="2236">
        <v>0</v>
      </c>
      <c r="E31" s="2237">
        <v>0</v>
      </c>
      <c r="F31" s="2237">
        <v>0</v>
      </c>
      <c r="G31" s="2237">
        <v>0</v>
      </c>
      <c r="H31" s="2237">
        <v>0</v>
      </c>
      <c r="I31" s="2237">
        <v>0</v>
      </c>
      <c r="J31" s="2237">
        <v>0</v>
      </c>
      <c r="K31" s="2237">
        <v>0</v>
      </c>
      <c r="L31" s="2237">
        <v>0</v>
      </c>
      <c r="M31" s="2237">
        <v>0</v>
      </c>
      <c r="N31" s="2237">
        <v>0</v>
      </c>
      <c r="O31" s="2237">
        <v>0</v>
      </c>
      <c r="P31" s="2237">
        <v>0</v>
      </c>
      <c r="Q31" s="2237">
        <v>0</v>
      </c>
      <c r="R31" s="2237">
        <v>0</v>
      </c>
      <c r="S31" s="2238">
        <v>0</v>
      </c>
      <c r="T31" s="2250">
        <f t="shared" si="2"/>
        <v>0</v>
      </c>
      <c r="U31" s="1566"/>
    </row>
    <row r="32" spans="2:21" x14ac:dyDescent="0.25">
      <c r="B32" s="1514"/>
      <c r="C32" s="1568" t="str">
        <f>IF('7A'!C42="","Enter on Form 7A",'7A'!C42)</f>
        <v>Luther Memorial Church</v>
      </c>
      <c r="D32" s="2236">
        <v>0</v>
      </c>
      <c r="E32" s="2237">
        <v>0</v>
      </c>
      <c r="F32" s="2237">
        <v>211225</v>
      </c>
      <c r="G32" s="2237">
        <v>138775</v>
      </c>
      <c r="H32" s="2237">
        <v>0</v>
      </c>
      <c r="I32" s="2237">
        <v>0</v>
      </c>
      <c r="J32" s="2237">
        <v>0</v>
      </c>
      <c r="K32" s="2237">
        <v>0</v>
      </c>
      <c r="L32" s="2237">
        <v>0</v>
      </c>
      <c r="M32" s="2237">
        <v>0</v>
      </c>
      <c r="N32" s="2237">
        <v>0</v>
      </c>
      <c r="O32" s="2237">
        <v>0</v>
      </c>
      <c r="P32" s="2237">
        <v>0</v>
      </c>
      <c r="Q32" s="2237">
        <v>0</v>
      </c>
      <c r="R32" s="2237">
        <v>0</v>
      </c>
      <c r="S32" s="2238">
        <v>0</v>
      </c>
      <c r="T32" s="2250">
        <f t="shared" si="2"/>
        <v>350000</v>
      </c>
      <c r="U32" s="1566"/>
    </row>
    <row r="33" spans="2:21" ht="15.75" thickBot="1" x14ac:dyDescent="0.3">
      <c r="B33" s="1514"/>
      <c r="C33" s="1568" t="str">
        <f>IF('7A'!C43="","Enter on Form 7A",'7A'!C43)</f>
        <v>Enter on Form 7A</v>
      </c>
      <c r="D33" s="2239">
        <v>0</v>
      </c>
      <c r="E33" s="2240">
        <v>0</v>
      </c>
      <c r="F33" s="2240">
        <v>0</v>
      </c>
      <c r="G33" s="2240">
        <v>0</v>
      </c>
      <c r="H33" s="2240">
        <v>0</v>
      </c>
      <c r="I33" s="2240">
        <v>0</v>
      </c>
      <c r="J33" s="2240">
        <v>0</v>
      </c>
      <c r="K33" s="2240">
        <v>0</v>
      </c>
      <c r="L33" s="2240">
        <v>0</v>
      </c>
      <c r="M33" s="2240">
        <v>0</v>
      </c>
      <c r="N33" s="2240">
        <v>0</v>
      </c>
      <c r="O33" s="2240">
        <v>0</v>
      </c>
      <c r="P33" s="2240">
        <v>0</v>
      </c>
      <c r="Q33" s="2240">
        <v>0</v>
      </c>
      <c r="R33" s="2240">
        <v>0</v>
      </c>
      <c r="S33" s="2241">
        <v>0</v>
      </c>
      <c r="T33" s="2251">
        <f t="shared" si="2"/>
        <v>0</v>
      </c>
      <c r="U33" s="1566"/>
    </row>
    <row r="34" spans="2:21" ht="15.75" thickBot="1" x14ac:dyDescent="0.3">
      <c r="B34" s="589"/>
      <c r="C34" s="131" t="s">
        <v>320</v>
      </c>
      <c r="D34" s="2242">
        <f>SUM(D26:D33)</f>
        <v>0</v>
      </c>
      <c r="E34" s="2243">
        <f t="shared" ref="E34:J34" si="3">SUM(E26:E33)</f>
        <v>0</v>
      </c>
      <c r="F34" s="2243">
        <f t="shared" si="3"/>
        <v>211225</v>
      </c>
      <c r="G34" s="2243">
        <f t="shared" si="3"/>
        <v>3838345</v>
      </c>
      <c r="H34" s="2243">
        <f t="shared" si="3"/>
        <v>1569206.9802096002</v>
      </c>
      <c r="I34" s="2243">
        <f t="shared" si="3"/>
        <v>3152239.9604192004</v>
      </c>
      <c r="J34" s="2243">
        <f t="shared" si="3"/>
        <v>14767.059371199459</v>
      </c>
      <c r="K34" s="2243">
        <f>SUM(K26:K33)</f>
        <v>0</v>
      </c>
      <c r="L34" s="2243">
        <f t="shared" ref="L34:T34" si="4">SUM(L26:L33)</f>
        <v>0</v>
      </c>
      <c r="M34" s="2243">
        <f t="shared" si="4"/>
        <v>622942.21318064351</v>
      </c>
      <c r="N34" s="2243">
        <f t="shared" si="4"/>
        <v>141474.14285714284</v>
      </c>
      <c r="O34" s="2243">
        <f t="shared" si="4"/>
        <v>11586460.446058216</v>
      </c>
      <c r="P34" s="2243">
        <f t="shared" si="4"/>
        <v>0</v>
      </c>
      <c r="Q34" s="2243">
        <f t="shared" si="4"/>
        <v>526754</v>
      </c>
      <c r="R34" s="2243">
        <f t="shared" si="4"/>
        <v>0</v>
      </c>
      <c r="S34" s="2244">
        <f t="shared" si="4"/>
        <v>0</v>
      </c>
      <c r="T34" s="2245">
        <f t="shared" si="4"/>
        <v>21663414.802096002</v>
      </c>
      <c r="U34" s="1566"/>
    </row>
    <row r="35" spans="2:21" ht="3.75" customHeight="1" thickBot="1" x14ac:dyDescent="0.3">
      <c r="B35" s="589"/>
      <c r="C35" s="132"/>
      <c r="D35" s="2246"/>
      <c r="E35" s="2246"/>
      <c r="F35" s="2246"/>
      <c r="G35" s="2246"/>
      <c r="H35" s="2246"/>
      <c r="I35" s="2246"/>
      <c r="J35" s="2246"/>
      <c r="K35" s="2246"/>
      <c r="L35" s="2246"/>
      <c r="M35" s="2246"/>
      <c r="N35" s="2246"/>
      <c r="O35" s="2246"/>
      <c r="P35" s="2246"/>
      <c r="Q35" s="2246"/>
      <c r="R35" s="2246"/>
      <c r="S35" s="2246"/>
      <c r="T35" s="2247"/>
      <c r="U35" s="1566"/>
    </row>
    <row r="36" spans="2:21" ht="15.75" thickBot="1" x14ac:dyDescent="0.3">
      <c r="B36" s="586"/>
      <c r="C36" s="130" t="s">
        <v>321</v>
      </c>
      <c r="D36" s="2242">
        <f>D23+D34</f>
        <v>199875</v>
      </c>
      <c r="E36" s="2243">
        <f t="shared" ref="E36:K36" si="5">E23+E34</f>
        <v>191875</v>
      </c>
      <c r="F36" s="2243">
        <f t="shared" si="5"/>
        <v>319475</v>
      </c>
      <c r="G36" s="2243">
        <f t="shared" si="5"/>
        <v>3338345</v>
      </c>
      <c r="H36" s="2243">
        <f t="shared" si="5"/>
        <v>1569206.9802096002</v>
      </c>
      <c r="I36" s="2243">
        <f t="shared" si="5"/>
        <v>3152239.9604192004</v>
      </c>
      <c r="J36" s="2243">
        <f t="shared" si="5"/>
        <v>4029639.450524</v>
      </c>
      <c r="K36" s="2243">
        <f t="shared" si="5"/>
        <v>3932756.450524</v>
      </c>
      <c r="L36" s="2243">
        <f t="shared" ref="L36:T36" si="6">L23+L34</f>
        <v>1828373.9802096002</v>
      </c>
      <c r="M36" s="2243">
        <f t="shared" si="6"/>
        <v>1881268.1230667429</v>
      </c>
      <c r="N36" s="2243">
        <f t="shared" si="6"/>
        <v>141474.14285714284</v>
      </c>
      <c r="O36" s="2243">
        <f t="shared" si="6"/>
        <v>552131.71428571455</v>
      </c>
      <c r="P36" s="2243">
        <f t="shared" si="6"/>
        <v>0</v>
      </c>
      <c r="Q36" s="2243">
        <f t="shared" si="6"/>
        <v>526754</v>
      </c>
      <c r="R36" s="2243">
        <f t="shared" si="6"/>
        <v>0</v>
      </c>
      <c r="S36" s="2244">
        <f t="shared" si="6"/>
        <v>0</v>
      </c>
      <c r="T36" s="2248">
        <f t="shared" si="6"/>
        <v>21663414.802096002</v>
      </c>
      <c r="U36" s="1566"/>
    </row>
    <row r="37" spans="2:21" x14ac:dyDescent="0.25">
      <c r="B37" s="586"/>
      <c r="C37" s="129"/>
      <c r="D37" s="129"/>
      <c r="E37" s="129"/>
      <c r="F37" s="129"/>
      <c r="G37" s="129"/>
      <c r="H37" s="129"/>
      <c r="I37" s="587"/>
      <c r="J37" s="129"/>
      <c r="K37" s="1097"/>
      <c r="L37" s="1098"/>
      <c r="M37" s="1098"/>
      <c r="N37" s="1098"/>
      <c r="O37" s="1098"/>
      <c r="P37" s="1098"/>
      <c r="Q37" s="1098"/>
      <c r="R37" s="1098"/>
      <c r="S37" s="1098"/>
      <c r="T37" s="1098"/>
      <c r="U37" s="1566"/>
    </row>
    <row r="38" spans="2:21" ht="15.75" thickBot="1" x14ac:dyDescent="0.3">
      <c r="B38" s="586"/>
      <c r="C38" s="2497" t="s">
        <v>322</v>
      </c>
      <c r="D38" s="2497"/>
      <c r="E38" s="2497"/>
      <c r="F38" s="2497"/>
      <c r="G38" s="2497"/>
      <c r="H38" s="2497"/>
      <c r="I38" s="2497"/>
      <c r="J38" s="2497"/>
      <c r="K38" s="2497"/>
      <c r="L38" s="1098"/>
      <c r="M38" s="1098"/>
      <c r="N38" s="1098"/>
      <c r="O38" s="1098"/>
      <c r="P38" s="1098"/>
      <c r="Q38" s="1098"/>
      <c r="R38" s="1098"/>
      <c r="S38" s="1098"/>
      <c r="T38" s="1098"/>
      <c r="U38" s="1566"/>
    </row>
    <row r="39" spans="2:21" x14ac:dyDescent="0.25">
      <c r="B39" s="586"/>
      <c r="C39" s="138" t="s">
        <v>22</v>
      </c>
      <c r="D39" s="2254">
        <v>0</v>
      </c>
      <c r="E39" s="2255">
        <v>0</v>
      </c>
      <c r="F39" s="2255">
        <v>0</v>
      </c>
      <c r="G39" s="2255">
        <v>1826700</v>
      </c>
      <c r="H39" s="2255">
        <v>0</v>
      </c>
      <c r="I39" s="2255">
        <v>0</v>
      </c>
      <c r="J39" s="2255">
        <v>0</v>
      </c>
      <c r="K39" s="2255">
        <v>0</v>
      </c>
      <c r="L39" s="2255">
        <v>0</v>
      </c>
      <c r="M39" s="2255">
        <v>0</v>
      </c>
      <c r="N39" s="2255">
        <v>0</v>
      </c>
      <c r="O39" s="2255">
        <v>0</v>
      </c>
      <c r="P39" s="2255">
        <v>0</v>
      </c>
      <c r="Q39" s="2255">
        <v>0</v>
      </c>
      <c r="R39" s="2255">
        <v>0</v>
      </c>
      <c r="S39" s="2256">
        <v>0</v>
      </c>
      <c r="T39" s="2249">
        <f t="shared" ref="T39:T47" si="7">SUM(D39:K39)+SUM(L39:S39)</f>
        <v>1826700</v>
      </c>
      <c r="U39" s="1566"/>
    </row>
    <row r="40" spans="2:21" x14ac:dyDescent="0.25">
      <c r="B40" s="586"/>
      <c r="C40" s="139" t="s">
        <v>323</v>
      </c>
      <c r="D40" s="2257">
        <v>0</v>
      </c>
      <c r="E40" s="2258">
        <v>0</v>
      </c>
      <c r="F40" s="2258">
        <v>0</v>
      </c>
      <c r="G40" s="2258">
        <v>0</v>
      </c>
      <c r="H40" s="2258">
        <v>1521532.9802096002</v>
      </c>
      <c r="I40" s="2258">
        <v>3043065.9604192004</v>
      </c>
      <c r="J40" s="2258">
        <v>3803832.450524</v>
      </c>
      <c r="K40" s="2258">
        <v>3803832.450524</v>
      </c>
      <c r="L40" s="2258">
        <v>1646532.9802096002</v>
      </c>
      <c r="M40" s="2258">
        <v>1521532.9802096002</v>
      </c>
      <c r="N40" s="2258">
        <v>0</v>
      </c>
      <c r="O40" s="2258">
        <v>0</v>
      </c>
      <c r="P40" s="2258">
        <v>0</v>
      </c>
      <c r="Q40" s="2258">
        <v>0</v>
      </c>
      <c r="R40" s="2258">
        <v>0</v>
      </c>
      <c r="S40" s="2259">
        <v>0</v>
      </c>
      <c r="T40" s="2250">
        <f t="shared" si="7"/>
        <v>15340329.802096002</v>
      </c>
      <c r="U40" s="1566"/>
    </row>
    <row r="41" spans="2:21" x14ac:dyDescent="0.25">
      <c r="B41" s="586"/>
      <c r="C41" s="139" t="s">
        <v>1716</v>
      </c>
      <c r="D41" s="2257">
        <v>188000</v>
      </c>
      <c r="E41" s="2258">
        <v>180000</v>
      </c>
      <c r="F41" s="2258">
        <v>210000</v>
      </c>
      <c r="G41" s="2258">
        <v>497755</v>
      </c>
      <c r="H41" s="2258">
        <v>45000</v>
      </c>
      <c r="I41" s="2258">
        <v>52500</v>
      </c>
      <c r="J41" s="2258">
        <v>198758</v>
      </c>
      <c r="K41" s="2258">
        <v>52500</v>
      </c>
      <c r="L41" s="2258">
        <v>52500</v>
      </c>
      <c r="M41" s="2258">
        <v>196258</v>
      </c>
      <c r="N41" s="2258">
        <v>0</v>
      </c>
      <c r="O41" s="2258">
        <v>192006</v>
      </c>
      <c r="P41" s="2258">
        <v>0</v>
      </c>
      <c r="Q41" s="2258">
        <v>522754</v>
      </c>
      <c r="R41" s="2258">
        <v>0</v>
      </c>
      <c r="S41" s="2259">
        <v>0</v>
      </c>
      <c r="T41" s="2250">
        <f t="shared" si="7"/>
        <v>2388031</v>
      </c>
      <c r="U41" s="1566"/>
    </row>
    <row r="42" spans="2:21" x14ac:dyDescent="0.25">
      <c r="B42" s="586"/>
      <c r="C42" s="139" t="s">
        <v>324</v>
      </c>
      <c r="D42" s="2257">
        <v>11875</v>
      </c>
      <c r="E42" s="2258">
        <v>11875</v>
      </c>
      <c r="F42" s="2258">
        <v>4375</v>
      </c>
      <c r="G42" s="2258">
        <v>4375</v>
      </c>
      <c r="H42" s="2258">
        <v>0</v>
      </c>
      <c r="I42" s="2258">
        <v>0</v>
      </c>
      <c r="J42" s="2258">
        <v>0</v>
      </c>
      <c r="K42" s="2258">
        <v>0</v>
      </c>
      <c r="L42" s="2258">
        <v>0</v>
      </c>
      <c r="M42" s="2258">
        <v>0</v>
      </c>
      <c r="N42" s="2258">
        <v>0</v>
      </c>
      <c r="O42" s="2258">
        <v>0</v>
      </c>
      <c r="P42" s="2258">
        <v>0</v>
      </c>
      <c r="Q42" s="2258">
        <v>0</v>
      </c>
      <c r="R42" s="2258">
        <v>0</v>
      </c>
      <c r="S42" s="2259">
        <v>0</v>
      </c>
      <c r="T42" s="2250">
        <f t="shared" si="7"/>
        <v>32500</v>
      </c>
      <c r="U42" s="1566"/>
    </row>
    <row r="43" spans="2:21" x14ac:dyDescent="0.25">
      <c r="B43" s="586"/>
      <c r="C43" s="140" t="s">
        <v>190</v>
      </c>
      <c r="D43" s="2257">
        <v>0</v>
      </c>
      <c r="E43" s="2258">
        <v>0</v>
      </c>
      <c r="F43" s="2258">
        <v>0</v>
      </c>
      <c r="G43" s="2258">
        <v>150343</v>
      </c>
      <c r="H43" s="2258">
        <v>0</v>
      </c>
      <c r="I43" s="2258">
        <v>0</v>
      </c>
      <c r="J43" s="2258">
        <v>24375</v>
      </c>
      <c r="K43" s="2258">
        <v>73750</v>
      </c>
      <c r="L43" s="2258">
        <v>110000</v>
      </c>
      <c r="M43" s="2258">
        <v>124136.14285714284</v>
      </c>
      <c r="N43" s="2258">
        <v>124136.14285714284</v>
      </c>
      <c r="O43" s="2258">
        <v>64974.714285714319</v>
      </c>
      <c r="P43" s="2258">
        <v>0</v>
      </c>
      <c r="Q43" s="2258">
        <v>0</v>
      </c>
      <c r="R43" s="2258">
        <v>0</v>
      </c>
      <c r="S43" s="2259">
        <v>0</v>
      </c>
      <c r="T43" s="2250">
        <f t="shared" si="7"/>
        <v>671715</v>
      </c>
      <c r="U43" s="1566"/>
    </row>
    <row r="44" spans="2:21" x14ac:dyDescent="0.25">
      <c r="B44" s="586"/>
      <c r="C44" s="140" t="s">
        <v>196</v>
      </c>
      <c r="D44" s="2257">
        <v>0</v>
      </c>
      <c r="E44" s="2258">
        <v>0</v>
      </c>
      <c r="F44" s="2258">
        <v>0</v>
      </c>
      <c r="G44" s="2258">
        <v>253998</v>
      </c>
      <c r="H44" s="2258">
        <v>0</v>
      </c>
      <c r="I44" s="2258">
        <v>0</v>
      </c>
      <c r="J44" s="2258">
        <v>0</v>
      </c>
      <c r="K44" s="2258">
        <v>0</v>
      </c>
      <c r="L44" s="2258">
        <v>0</v>
      </c>
      <c r="M44" s="2258">
        <v>0</v>
      </c>
      <c r="N44" s="2258">
        <v>0</v>
      </c>
      <c r="O44" s="2258">
        <v>0</v>
      </c>
      <c r="P44" s="2258">
        <v>0</v>
      </c>
      <c r="Q44" s="2258">
        <v>0</v>
      </c>
      <c r="R44" s="2258">
        <v>0</v>
      </c>
      <c r="S44" s="2259">
        <v>0</v>
      </c>
      <c r="T44" s="2250">
        <f t="shared" si="7"/>
        <v>253998</v>
      </c>
      <c r="U44" s="1566"/>
    </row>
    <row r="45" spans="2:21" x14ac:dyDescent="0.25">
      <c r="B45" s="586"/>
      <c r="C45" s="140" t="s">
        <v>204</v>
      </c>
      <c r="D45" s="2257">
        <v>0</v>
      </c>
      <c r="E45" s="2258">
        <v>0</v>
      </c>
      <c r="F45" s="2258">
        <v>0</v>
      </c>
      <c r="G45" s="2258">
        <v>0</v>
      </c>
      <c r="H45" s="2258">
        <v>0</v>
      </c>
      <c r="I45" s="2258">
        <v>0</v>
      </c>
      <c r="J45" s="2258">
        <v>0</v>
      </c>
      <c r="K45" s="2258">
        <v>0</v>
      </c>
      <c r="L45" s="2258">
        <v>0</v>
      </c>
      <c r="M45" s="2258">
        <v>0</v>
      </c>
      <c r="N45" s="2258">
        <v>0</v>
      </c>
      <c r="O45" s="2258">
        <v>295151</v>
      </c>
      <c r="P45" s="2258">
        <v>0</v>
      </c>
      <c r="Q45" s="2258">
        <v>0</v>
      </c>
      <c r="R45" s="2258">
        <v>0</v>
      </c>
      <c r="S45" s="2259">
        <v>0</v>
      </c>
      <c r="T45" s="2250">
        <f t="shared" si="7"/>
        <v>295151</v>
      </c>
      <c r="U45" s="1566"/>
    </row>
    <row r="46" spans="2:21" x14ac:dyDescent="0.25">
      <c r="B46" s="586"/>
      <c r="C46" s="140" t="s">
        <v>207</v>
      </c>
      <c r="D46" s="2257">
        <v>0</v>
      </c>
      <c r="E46" s="2258">
        <v>0</v>
      </c>
      <c r="F46" s="2258">
        <v>105100</v>
      </c>
      <c r="G46" s="2258">
        <v>605174</v>
      </c>
      <c r="H46" s="2258">
        <v>2674</v>
      </c>
      <c r="I46" s="2258">
        <v>56674</v>
      </c>
      <c r="J46" s="2258">
        <v>2674</v>
      </c>
      <c r="K46" s="2258">
        <v>2674</v>
      </c>
      <c r="L46" s="2258">
        <v>19341</v>
      </c>
      <c r="M46" s="2258">
        <v>39341</v>
      </c>
      <c r="N46" s="2258">
        <v>17338</v>
      </c>
      <c r="O46" s="2258">
        <v>0</v>
      </c>
      <c r="P46" s="2258">
        <v>0</v>
      </c>
      <c r="Q46" s="2258">
        <v>4000</v>
      </c>
      <c r="R46" s="2258">
        <v>0</v>
      </c>
      <c r="S46" s="2259">
        <v>0</v>
      </c>
      <c r="T46" s="2250">
        <f t="shared" si="7"/>
        <v>854990</v>
      </c>
      <c r="U46" s="1566"/>
    </row>
    <row r="47" spans="2:21" ht="15.75" thickBot="1" x14ac:dyDescent="0.3">
      <c r="B47" s="586"/>
      <c r="C47" s="140" t="s">
        <v>325</v>
      </c>
      <c r="D47" s="2260">
        <v>0</v>
      </c>
      <c r="E47" s="2261">
        <v>0</v>
      </c>
      <c r="F47" s="2261">
        <v>0</v>
      </c>
      <c r="G47" s="2261">
        <v>0</v>
      </c>
      <c r="H47" s="2261">
        <v>0</v>
      </c>
      <c r="I47" s="2261">
        <v>0</v>
      </c>
      <c r="J47" s="2261">
        <v>0</v>
      </c>
      <c r="K47" s="2261">
        <v>0</v>
      </c>
      <c r="L47" s="2261">
        <v>0</v>
      </c>
      <c r="M47" s="2261">
        <v>0</v>
      </c>
      <c r="N47" s="2261">
        <v>0</v>
      </c>
      <c r="O47" s="2261">
        <v>0</v>
      </c>
      <c r="P47" s="2261">
        <v>0</v>
      </c>
      <c r="Q47" s="2261">
        <v>0</v>
      </c>
      <c r="R47" s="2261">
        <v>0</v>
      </c>
      <c r="S47" s="2262">
        <v>0</v>
      </c>
      <c r="T47" s="2251">
        <f t="shared" si="7"/>
        <v>0</v>
      </c>
      <c r="U47" s="1566"/>
    </row>
    <row r="48" spans="2:21" ht="3.75" customHeight="1" thickBot="1" x14ac:dyDescent="0.3">
      <c r="B48" s="586"/>
      <c r="C48" s="136"/>
      <c r="D48" s="75"/>
      <c r="E48" s="75"/>
      <c r="F48" s="75"/>
      <c r="G48" s="75"/>
      <c r="H48" s="75"/>
      <c r="I48" s="75"/>
      <c r="J48" s="75"/>
      <c r="K48" s="75"/>
      <c r="L48" s="75"/>
      <c r="M48" s="2246"/>
      <c r="N48" s="2246"/>
      <c r="O48" s="2246"/>
      <c r="P48" s="2246"/>
      <c r="Q48" s="2246"/>
      <c r="R48" s="2246"/>
      <c r="S48" s="2246"/>
      <c r="T48" s="2247"/>
      <c r="U48" s="1566"/>
    </row>
    <row r="49" spans="2:21" ht="15.75" thickBot="1" x14ac:dyDescent="0.3">
      <c r="B49" s="586"/>
      <c r="C49" s="130" t="s">
        <v>326</v>
      </c>
      <c r="D49" s="2242">
        <f>SUM(D39:D47)</f>
        <v>199875</v>
      </c>
      <c r="E49" s="2243">
        <f t="shared" ref="E49:J49" si="8">SUM(E39:E47)</f>
        <v>191875</v>
      </c>
      <c r="F49" s="2243">
        <f t="shared" si="8"/>
        <v>319475</v>
      </c>
      <c r="G49" s="2243">
        <f t="shared" si="8"/>
        <v>3338345</v>
      </c>
      <c r="H49" s="2243">
        <f t="shared" si="8"/>
        <v>1569206.9802096002</v>
      </c>
      <c r="I49" s="2243">
        <f t="shared" si="8"/>
        <v>3152239.9604192004</v>
      </c>
      <c r="J49" s="2243">
        <f t="shared" si="8"/>
        <v>4029639.450524</v>
      </c>
      <c r="K49" s="2243">
        <f>SUM(K39:K47)</f>
        <v>3932756.450524</v>
      </c>
      <c r="L49" s="2243">
        <f>SUM(L39:L47)</f>
        <v>1828373.9802096002</v>
      </c>
      <c r="M49" s="2243">
        <f t="shared" ref="M49:S49" si="9">SUM(M39:M47)</f>
        <v>1881268.1230667429</v>
      </c>
      <c r="N49" s="2243">
        <f t="shared" si="9"/>
        <v>141474.14285714284</v>
      </c>
      <c r="O49" s="2243">
        <f t="shared" si="9"/>
        <v>552131.71428571432</v>
      </c>
      <c r="P49" s="2243">
        <f t="shared" si="9"/>
        <v>0</v>
      </c>
      <c r="Q49" s="2243">
        <f t="shared" si="9"/>
        <v>526754</v>
      </c>
      <c r="R49" s="2243">
        <f t="shared" si="9"/>
        <v>0</v>
      </c>
      <c r="S49" s="2244">
        <f t="shared" si="9"/>
        <v>0</v>
      </c>
      <c r="T49" s="2263">
        <f>SUM(T39:T47)</f>
        <v>21663414.802096002</v>
      </c>
      <c r="U49" s="1566"/>
    </row>
    <row r="50" spans="2:21" ht="3.75" customHeight="1" thickBot="1" x14ac:dyDescent="0.3">
      <c r="B50" s="586"/>
      <c r="C50" s="129"/>
      <c r="D50" s="2246"/>
      <c r="E50" s="2246"/>
      <c r="F50" s="2246"/>
      <c r="G50" s="2246"/>
      <c r="H50" s="2246"/>
      <c r="I50" s="75"/>
      <c r="J50" s="75"/>
      <c r="K50" s="75"/>
      <c r="L50" s="75"/>
      <c r="M50" s="2246"/>
      <c r="N50" s="2246"/>
      <c r="O50" s="2246"/>
      <c r="P50" s="2246"/>
      <c r="Q50" s="75"/>
      <c r="R50" s="75"/>
      <c r="S50" s="75"/>
      <c r="T50" s="2264"/>
      <c r="U50" s="1566"/>
    </row>
    <row r="51" spans="2:21" ht="15.75" thickBot="1" x14ac:dyDescent="0.3">
      <c r="B51" s="586"/>
      <c r="C51" s="133" t="s">
        <v>327</v>
      </c>
      <c r="D51" s="2242">
        <f t="shared" ref="D51:T51" si="10">D36-D49</f>
        <v>0</v>
      </c>
      <c r="E51" s="2243">
        <f t="shared" si="10"/>
        <v>0</v>
      </c>
      <c r="F51" s="2243">
        <f t="shared" si="10"/>
        <v>0</v>
      </c>
      <c r="G51" s="2243">
        <f t="shared" si="10"/>
        <v>0</v>
      </c>
      <c r="H51" s="2243">
        <f t="shared" si="10"/>
        <v>0</v>
      </c>
      <c r="I51" s="2243">
        <f t="shared" si="10"/>
        <v>0</v>
      </c>
      <c r="J51" s="2243">
        <f t="shared" si="10"/>
        <v>0</v>
      </c>
      <c r="K51" s="2243">
        <f t="shared" si="10"/>
        <v>0</v>
      </c>
      <c r="L51" s="2243">
        <f t="shared" si="10"/>
        <v>0</v>
      </c>
      <c r="M51" s="2243">
        <f t="shared" si="10"/>
        <v>0</v>
      </c>
      <c r="N51" s="2243">
        <f t="shared" si="10"/>
        <v>0</v>
      </c>
      <c r="O51" s="2243">
        <f t="shared" si="10"/>
        <v>0</v>
      </c>
      <c r="P51" s="2243">
        <f t="shared" si="10"/>
        <v>0</v>
      </c>
      <c r="Q51" s="2243">
        <f t="shared" si="10"/>
        <v>0</v>
      </c>
      <c r="R51" s="2243">
        <f t="shared" si="10"/>
        <v>0</v>
      </c>
      <c r="S51" s="2244">
        <f t="shared" si="10"/>
        <v>0</v>
      </c>
      <c r="T51" s="2245">
        <f t="shared" si="10"/>
        <v>0</v>
      </c>
      <c r="U51" s="1566"/>
    </row>
    <row r="52" spans="2:21" ht="7.5" customHeight="1" x14ac:dyDescent="0.25">
      <c r="B52" s="586"/>
      <c r="C52" s="129"/>
      <c r="D52" s="129"/>
      <c r="E52" s="135"/>
      <c r="F52" s="135"/>
      <c r="G52" s="135"/>
      <c r="H52" s="135"/>
      <c r="I52" s="135"/>
      <c r="J52" s="135"/>
      <c r="K52" s="135"/>
      <c r="L52" s="1098"/>
      <c r="M52" s="1098"/>
      <c r="N52" s="1098"/>
      <c r="O52" s="1098"/>
      <c r="P52" s="1098"/>
      <c r="Q52" s="1098"/>
      <c r="R52" s="1098"/>
      <c r="S52" s="1098"/>
      <c r="T52" s="1098"/>
      <c r="U52" s="1566"/>
    </row>
    <row r="53" spans="2:21" x14ac:dyDescent="0.25">
      <c r="B53" s="586"/>
      <c r="C53" s="134" t="s">
        <v>328</v>
      </c>
      <c r="D53" s="1098"/>
      <c r="E53" s="135"/>
      <c r="F53" s="135"/>
      <c r="G53" s="135"/>
      <c r="H53" s="135"/>
      <c r="I53" s="135"/>
      <c r="J53" s="135"/>
      <c r="K53" s="135"/>
      <c r="L53" s="1098"/>
      <c r="M53" s="1098"/>
      <c r="N53" s="1098"/>
      <c r="O53" s="1098"/>
      <c r="P53" s="1098"/>
      <c r="Q53" s="1098"/>
      <c r="R53" s="1098"/>
      <c r="S53" s="1098"/>
      <c r="T53" s="1098"/>
      <c r="U53" s="1566"/>
    </row>
    <row r="54" spans="2:21" ht="15" customHeight="1" x14ac:dyDescent="0.25">
      <c r="B54" s="586"/>
      <c r="C54" s="2486"/>
      <c r="D54" s="2487"/>
      <c r="E54" s="2487"/>
      <c r="F54" s="2487"/>
      <c r="G54" s="2487"/>
      <c r="H54" s="2487"/>
      <c r="I54" s="2487"/>
      <c r="J54" s="2487"/>
      <c r="K54" s="2488"/>
      <c r="L54" s="1098"/>
      <c r="M54" s="1098"/>
      <c r="N54" s="1098"/>
      <c r="O54" s="1098"/>
      <c r="P54" s="1098"/>
      <c r="Q54" s="1098"/>
      <c r="R54" s="1098"/>
      <c r="S54" s="1098"/>
      <c r="T54" s="1098"/>
      <c r="U54" s="1566"/>
    </row>
    <row r="55" spans="2:21" ht="15" customHeight="1" x14ac:dyDescent="0.25">
      <c r="B55" s="586"/>
      <c r="C55" s="2489"/>
      <c r="D55" s="2490"/>
      <c r="E55" s="2490"/>
      <c r="F55" s="2490"/>
      <c r="G55" s="2490"/>
      <c r="H55" s="2490"/>
      <c r="I55" s="2490"/>
      <c r="J55" s="2490"/>
      <c r="K55" s="2491"/>
      <c r="L55" s="1098"/>
      <c r="M55" s="1098"/>
      <c r="N55" s="1098"/>
      <c r="O55" s="1098"/>
      <c r="P55" s="1098"/>
      <c r="Q55" s="1098"/>
      <c r="R55" s="1098"/>
      <c r="S55" s="1098"/>
      <c r="T55" s="1098"/>
      <c r="U55" s="1566"/>
    </row>
    <row r="56" spans="2:21" ht="15" customHeight="1" x14ac:dyDescent="0.25">
      <c r="B56" s="586"/>
      <c r="C56" s="2489"/>
      <c r="D56" s="2490"/>
      <c r="E56" s="2490"/>
      <c r="F56" s="2490"/>
      <c r="G56" s="2490"/>
      <c r="H56" s="2490"/>
      <c r="I56" s="2490"/>
      <c r="J56" s="2490"/>
      <c r="K56" s="2491"/>
      <c r="L56" s="1098"/>
      <c r="M56" s="1098"/>
      <c r="N56" s="1098"/>
      <c r="O56" s="1098"/>
      <c r="P56" s="1098"/>
      <c r="Q56" s="1098"/>
      <c r="R56" s="1098"/>
      <c r="S56" s="1098"/>
      <c r="T56" s="1098"/>
      <c r="U56" s="1566"/>
    </row>
    <row r="57" spans="2:21" ht="15" customHeight="1" x14ac:dyDescent="0.25">
      <c r="B57" s="586"/>
      <c r="C57" s="2492"/>
      <c r="D57" s="2493"/>
      <c r="E57" s="2493"/>
      <c r="F57" s="2493"/>
      <c r="G57" s="2493"/>
      <c r="H57" s="2493"/>
      <c r="I57" s="2493"/>
      <c r="J57" s="2493"/>
      <c r="K57" s="2494"/>
      <c r="L57" s="1098"/>
      <c r="M57" s="1098"/>
      <c r="N57" s="1098"/>
      <c r="O57" s="1098"/>
      <c r="P57" s="1098"/>
      <c r="Q57" s="1098"/>
      <c r="R57" s="1098"/>
      <c r="S57" s="1098"/>
      <c r="T57" s="1098"/>
      <c r="U57" s="1566"/>
    </row>
    <row r="58" spans="2:21" ht="9" customHeight="1" thickBot="1" x14ac:dyDescent="0.3">
      <c r="B58" s="590"/>
      <c r="C58" s="1100"/>
      <c r="D58" s="1099"/>
      <c r="E58" s="1099"/>
      <c r="F58" s="1099"/>
      <c r="G58" s="1099"/>
      <c r="H58" s="1099"/>
      <c r="I58" s="1099"/>
      <c r="J58" s="1099"/>
      <c r="K58" s="1099"/>
      <c r="L58" s="1569"/>
      <c r="M58" s="1569"/>
      <c r="N58" s="1569"/>
      <c r="O58" s="1569"/>
      <c r="P58" s="1569"/>
      <c r="Q58" s="1569"/>
      <c r="R58" s="1569"/>
      <c r="S58" s="1569"/>
      <c r="T58" s="1569"/>
      <c r="U58" s="1524"/>
    </row>
    <row r="59" spans="2:21" ht="3.75" customHeight="1" x14ac:dyDescent="0.25"/>
    <row r="60" spans="2:21" ht="3.75" customHeight="1" x14ac:dyDescent="0.25"/>
  </sheetData>
  <sheetProtection password="D666" sheet="1" objects="1" scenarios="1" formatCells="0" formatColumns="0" formatRows="0" insertRows="0"/>
  <mergeCells count="5">
    <mergeCell ref="C54:K57"/>
    <mergeCell ref="C14:J14"/>
    <mergeCell ref="C16:K16"/>
    <mergeCell ref="C38:K38"/>
    <mergeCell ref="C12:T12"/>
  </mergeCells>
  <pageMargins left="0.25" right="0.25" top="0.75" bottom="0.75" header="0.3" footer="0.3"/>
  <pageSetup scale="66" orientation="landscape" horizontalDpi="4294967295" verticalDpi="4294967295" r:id="rId1"/>
  <headerFooter>
    <oddFooter>&amp;LForm 7B
Estimate of Cash Flow During Development&amp;CCFA Forms&amp;REdition: 2016
Version: 1.0</oddFooter>
  </headerFooter>
  <rowBreaks count="1" manualBreakCount="1">
    <brk id="59" min="1" max="12" man="1"/>
  </rowBreaks>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54"/>
  <sheetViews>
    <sheetView showGridLines="0" tabSelected="1" topLeftCell="A5" zoomScale="125" zoomScaleNormal="125" zoomScaleSheetLayoutView="100" zoomScalePageLayoutView="125" workbookViewId="0">
      <selection activeCell="L14" sqref="L14:L25"/>
    </sheetView>
  </sheetViews>
  <sheetFormatPr defaultColWidth="8.85546875" defaultRowHeight="15" x14ac:dyDescent="0.25"/>
  <cols>
    <col min="1" max="2" width="1.7109375" style="414" customWidth="1"/>
    <col min="3" max="3" width="14.28515625" style="414" customWidth="1"/>
    <col min="4" max="4" width="5.28515625" style="414" bestFit="1" customWidth="1"/>
    <col min="5" max="5" width="8.42578125" style="414" bestFit="1" customWidth="1"/>
    <col min="6" max="7" width="10" style="414" bestFit="1" customWidth="1"/>
    <col min="8" max="8" width="11" style="414" customWidth="1"/>
    <col min="9" max="9" width="11.140625" style="414" customWidth="1"/>
    <col min="10" max="10" width="12.28515625" style="414" customWidth="1"/>
    <col min="11" max="12" width="11.140625" style="414" customWidth="1"/>
    <col min="13" max="13" width="11.7109375" style="414" bestFit="1" customWidth="1"/>
    <col min="14" max="15" width="12.42578125" style="414" bestFit="1" customWidth="1"/>
    <col min="16" max="16" width="1.7109375" style="414" customWidth="1"/>
    <col min="17" max="17" width="24.85546875" style="2172" customWidth="1"/>
    <col min="18" max="16384" width="8.85546875" style="414"/>
  </cols>
  <sheetData>
    <row r="7" spans="2:17" ht="9" customHeight="1" thickBot="1" x14ac:dyDescent="0.3"/>
    <row r="8" spans="2:17" ht="9" customHeight="1" x14ac:dyDescent="0.25">
      <c r="B8" s="193"/>
      <c r="C8" s="652"/>
      <c r="D8" s="652"/>
      <c r="E8" s="653"/>
      <c r="F8" s="653"/>
      <c r="G8" s="653"/>
      <c r="H8" s="652"/>
      <c r="I8" s="652"/>
      <c r="J8" s="652"/>
      <c r="K8" s="652"/>
      <c r="L8" s="652"/>
      <c r="M8" s="652"/>
      <c r="N8" s="652"/>
      <c r="O8" s="652"/>
      <c r="P8" s="654"/>
    </row>
    <row r="9" spans="2:17" ht="18.75" x14ac:dyDescent="0.25">
      <c r="B9" s="4"/>
      <c r="C9" s="2299" t="s">
        <v>547</v>
      </c>
      <c r="D9" s="2299"/>
      <c r="E9" s="2299"/>
      <c r="F9" s="2299"/>
      <c r="G9" s="2299"/>
      <c r="H9" s="2299"/>
      <c r="I9" s="2299"/>
      <c r="J9" s="2299"/>
      <c r="K9" s="2299"/>
      <c r="L9" s="2299"/>
      <c r="M9" s="2299"/>
      <c r="N9" s="2299"/>
      <c r="O9" s="2299"/>
      <c r="P9" s="655"/>
    </row>
    <row r="10" spans="2:17" x14ac:dyDescent="0.25">
      <c r="B10" s="4"/>
      <c r="C10" s="1"/>
      <c r="D10" s="1"/>
      <c r="E10" s="142"/>
      <c r="F10" s="142"/>
      <c r="G10" s="142"/>
      <c r="H10" s="1"/>
      <c r="I10" s="1"/>
      <c r="J10" s="1"/>
      <c r="K10" s="1"/>
      <c r="L10" s="1"/>
      <c r="M10" s="1"/>
      <c r="N10" s="1"/>
      <c r="O10" s="1"/>
      <c r="P10" s="655"/>
    </row>
    <row r="11" spans="2:17" ht="15.75" thickBot="1" x14ac:dyDescent="0.3">
      <c r="B11" s="495"/>
      <c r="C11" s="2391" t="str">
        <f>IF('1'!G5="","Enter Project Name on Form 1",(CONCATENATE("Project Name: ",'1'!G5)))</f>
        <v>Project Name: Compass Broadview</v>
      </c>
      <c r="D11" s="2391"/>
      <c r="E11" s="2391"/>
      <c r="F11" s="2391"/>
      <c r="G11" s="2391"/>
      <c r="H11" s="2391"/>
      <c r="I11" s="2391"/>
      <c r="J11" s="2391"/>
      <c r="K11" s="2391"/>
      <c r="L11" s="2391"/>
      <c r="M11" s="2391"/>
      <c r="N11" s="2391"/>
      <c r="O11" s="494"/>
      <c r="P11" s="561"/>
    </row>
    <row r="12" spans="2:17" ht="22.5" customHeight="1" thickBot="1" x14ac:dyDescent="0.3">
      <c r="B12" s="4"/>
      <c r="C12" s="1"/>
      <c r="D12" s="1"/>
      <c r="E12" s="142"/>
      <c r="F12" s="142"/>
      <c r="G12" s="142"/>
      <c r="H12" s="1"/>
      <c r="I12" s="1"/>
      <c r="J12" s="1"/>
      <c r="K12" s="1"/>
      <c r="L12" s="1"/>
      <c r="M12" s="1"/>
      <c r="N12" s="1"/>
      <c r="O12" s="1"/>
      <c r="P12" s="655"/>
    </row>
    <row r="13" spans="2:17" ht="45.75" thickBot="1" x14ac:dyDescent="0.3">
      <c r="B13" s="4"/>
      <c r="C13" s="656" t="s">
        <v>330</v>
      </c>
      <c r="D13" s="657" t="s">
        <v>594</v>
      </c>
      <c r="E13" s="657" t="s">
        <v>1148</v>
      </c>
      <c r="F13" s="657" t="s">
        <v>595</v>
      </c>
      <c r="G13" s="658" t="s">
        <v>534</v>
      </c>
      <c r="H13" s="659" t="s">
        <v>331</v>
      </c>
      <c r="I13" s="657" t="s">
        <v>332</v>
      </c>
      <c r="J13" s="659" t="s">
        <v>333</v>
      </c>
      <c r="K13" s="659" t="s">
        <v>334</v>
      </c>
      <c r="L13" s="657" t="s">
        <v>335</v>
      </c>
      <c r="M13" s="659" t="s">
        <v>336</v>
      </c>
      <c r="N13" s="659" t="s">
        <v>337</v>
      </c>
      <c r="O13" s="660" t="s">
        <v>338</v>
      </c>
      <c r="P13" s="143"/>
    </row>
    <row r="14" spans="2:17" x14ac:dyDescent="0.25">
      <c r="B14" s="4"/>
      <c r="C14" s="1104">
        <v>0.3</v>
      </c>
      <c r="D14" s="1105">
        <v>6</v>
      </c>
      <c r="E14" s="1105" t="s">
        <v>39</v>
      </c>
      <c r="F14" s="1986">
        <v>1</v>
      </c>
      <c r="G14" s="1105">
        <v>420</v>
      </c>
      <c r="H14" s="2154">
        <v>200</v>
      </c>
      <c r="I14" s="1106">
        <v>40</v>
      </c>
      <c r="J14" s="1629">
        <f>H14+I14</f>
        <v>240</v>
      </c>
      <c r="K14" s="1106">
        <f>949-J14</f>
        <v>709</v>
      </c>
      <c r="L14" s="1629">
        <f>J14+K14</f>
        <v>949</v>
      </c>
      <c r="M14" s="1629">
        <f>D14*H14*12</f>
        <v>14400</v>
      </c>
      <c r="N14" s="1629">
        <f>D14*K14*12</f>
        <v>51048</v>
      </c>
      <c r="O14" s="1630">
        <f>M14+N14</f>
        <v>65448</v>
      </c>
      <c r="P14" s="143"/>
    </row>
    <row r="15" spans="2:17" x14ac:dyDescent="0.25">
      <c r="B15" s="4"/>
      <c r="C15" s="2224">
        <v>0.5</v>
      </c>
      <c r="D15" s="1987">
        <v>2</v>
      </c>
      <c r="E15" s="1987" t="s">
        <v>39</v>
      </c>
      <c r="F15" s="1987"/>
      <c r="G15" s="1987">
        <v>420</v>
      </c>
      <c r="H15" s="1985">
        <f>633-I15</f>
        <v>593</v>
      </c>
      <c r="I15" s="1109">
        <v>40</v>
      </c>
      <c r="J15" s="1631">
        <f t="shared" ref="J15:J26" si="0">H15+I15</f>
        <v>633</v>
      </c>
      <c r="K15" s="1109">
        <v>0</v>
      </c>
      <c r="L15" s="1631">
        <f t="shared" ref="L15:L26" si="1">J15+K15</f>
        <v>633</v>
      </c>
      <c r="M15" s="1631">
        <f t="shared" ref="M15:M26" si="2">D15*H15*12</f>
        <v>14232</v>
      </c>
      <c r="N15" s="1631">
        <f t="shared" ref="N15:N26" si="3">D15*K15*12</f>
        <v>0</v>
      </c>
      <c r="O15" s="1632">
        <f t="shared" ref="O15:O26" si="4">M15+N15</f>
        <v>14232</v>
      </c>
      <c r="P15" s="143"/>
      <c r="Q15" s="2173" t="s">
        <v>1960</v>
      </c>
    </row>
    <row r="16" spans="2:17" x14ac:dyDescent="0.25">
      <c r="B16" s="4"/>
      <c r="C16" s="2224">
        <v>0.5</v>
      </c>
      <c r="D16" s="1987">
        <v>7</v>
      </c>
      <c r="E16" s="1987" t="s">
        <v>39</v>
      </c>
      <c r="F16" s="1987"/>
      <c r="G16" s="1987">
        <v>420</v>
      </c>
      <c r="H16" s="1985">
        <f>791-I16</f>
        <v>751</v>
      </c>
      <c r="I16" s="1109">
        <v>40</v>
      </c>
      <c r="J16" s="1631">
        <f t="shared" si="0"/>
        <v>791</v>
      </c>
      <c r="K16" s="1109"/>
      <c r="L16" s="1631">
        <f t="shared" si="1"/>
        <v>791</v>
      </c>
      <c r="M16" s="1631">
        <f t="shared" si="2"/>
        <v>63084</v>
      </c>
      <c r="N16" s="1631">
        <f t="shared" si="3"/>
        <v>0</v>
      </c>
      <c r="O16" s="1632">
        <f t="shared" si="4"/>
        <v>63084</v>
      </c>
      <c r="P16" s="655"/>
    </row>
    <row r="17" spans="2:17" x14ac:dyDescent="0.25">
      <c r="B17" s="4"/>
      <c r="C17" s="2224">
        <v>0.3</v>
      </c>
      <c r="D17" s="1987">
        <v>5</v>
      </c>
      <c r="E17" s="1987" t="s">
        <v>571</v>
      </c>
      <c r="F17" s="1987">
        <v>1</v>
      </c>
      <c r="G17" s="1987">
        <v>550</v>
      </c>
      <c r="H17" s="1985">
        <v>200</v>
      </c>
      <c r="I17" s="1109">
        <v>40</v>
      </c>
      <c r="J17" s="1631">
        <f>H17+I17</f>
        <v>240</v>
      </c>
      <c r="K17" s="1109">
        <f>1017-J17</f>
        <v>777</v>
      </c>
      <c r="L17" s="1631">
        <f t="shared" si="1"/>
        <v>1017</v>
      </c>
      <c r="M17" s="1631">
        <f t="shared" si="2"/>
        <v>12000</v>
      </c>
      <c r="N17" s="1631">
        <f t="shared" si="3"/>
        <v>46620</v>
      </c>
      <c r="O17" s="1632">
        <f t="shared" si="4"/>
        <v>58620</v>
      </c>
      <c r="P17" s="655"/>
    </row>
    <row r="18" spans="2:17" x14ac:dyDescent="0.25">
      <c r="B18" s="4"/>
      <c r="C18" s="2224">
        <v>0.5</v>
      </c>
      <c r="D18" s="1987">
        <v>1</v>
      </c>
      <c r="E18" s="1987" t="s">
        <v>571</v>
      </c>
      <c r="F18" s="1987"/>
      <c r="G18" s="1987">
        <v>550</v>
      </c>
      <c r="H18" s="1985">
        <f>678-I18</f>
        <v>638</v>
      </c>
      <c r="I18" s="1109">
        <v>40</v>
      </c>
      <c r="J18" s="1631">
        <f t="shared" si="0"/>
        <v>678</v>
      </c>
      <c r="K18" s="1109"/>
      <c r="L18" s="1631">
        <f t="shared" si="1"/>
        <v>678</v>
      </c>
      <c r="M18" s="1631">
        <f t="shared" si="2"/>
        <v>7656</v>
      </c>
      <c r="N18" s="1631">
        <f t="shared" si="3"/>
        <v>0</v>
      </c>
      <c r="O18" s="1632">
        <f t="shared" si="4"/>
        <v>7656</v>
      </c>
      <c r="P18" s="655"/>
      <c r="Q18" s="2173" t="s">
        <v>1960</v>
      </c>
    </row>
    <row r="19" spans="2:17" x14ac:dyDescent="0.25">
      <c r="B19" s="4"/>
      <c r="C19" s="2224">
        <v>0.5</v>
      </c>
      <c r="D19" s="1987">
        <v>5</v>
      </c>
      <c r="E19" s="1987" t="s">
        <v>571</v>
      </c>
      <c r="F19" s="1987"/>
      <c r="G19" s="1987">
        <v>550</v>
      </c>
      <c r="H19" s="1985">
        <f>847-I19</f>
        <v>807</v>
      </c>
      <c r="I19" s="1109">
        <v>40</v>
      </c>
      <c r="J19" s="1631">
        <f>H19+I19</f>
        <v>847</v>
      </c>
      <c r="K19" s="1109">
        <v>0</v>
      </c>
      <c r="L19" s="1631">
        <f t="shared" si="1"/>
        <v>847</v>
      </c>
      <c r="M19" s="1631">
        <f t="shared" si="2"/>
        <v>48420</v>
      </c>
      <c r="N19" s="1631">
        <f t="shared" si="3"/>
        <v>0</v>
      </c>
      <c r="O19" s="1632">
        <f t="shared" si="4"/>
        <v>48420</v>
      </c>
      <c r="P19" s="655"/>
    </row>
    <row r="20" spans="2:17" x14ac:dyDescent="0.25">
      <c r="B20" s="4"/>
      <c r="C20" s="2224">
        <v>0.3</v>
      </c>
      <c r="D20" s="1987">
        <v>15</v>
      </c>
      <c r="E20" s="1987" t="s">
        <v>572</v>
      </c>
      <c r="F20" s="1987">
        <v>1</v>
      </c>
      <c r="G20" s="1987">
        <v>825</v>
      </c>
      <c r="H20" s="1985">
        <v>200</v>
      </c>
      <c r="I20" s="1109">
        <v>65</v>
      </c>
      <c r="J20" s="1631">
        <f t="shared" si="0"/>
        <v>265</v>
      </c>
      <c r="K20" s="1109">
        <f>1219-J20</f>
        <v>954</v>
      </c>
      <c r="L20" s="1631">
        <f t="shared" si="1"/>
        <v>1219</v>
      </c>
      <c r="M20" s="1631">
        <f t="shared" si="2"/>
        <v>36000</v>
      </c>
      <c r="N20" s="1631">
        <f t="shared" si="3"/>
        <v>171720</v>
      </c>
      <c r="O20" s="1632">
        <f t="shared" si="4"/>
        <v>207720</v>
      </c>
      <c r="P20" s="655"/>
    </row>
    <row r="21" spans="2:17" x14ac:dyDescent="0.25">
      <c r="B21" s="4"/>
      <c r="C21" s="2224">
        <v>0.5</v>
      </c>
      <c r="D21" s="1987">
        <v>1</v>
      </c>
      <c r="E21" s="1987" t="s">
        <v>572</v>
      </c>
      <c r="F21" s="1987"/>
      <c r="G21" s="1987">
        <v>825</v>
      </c>
      <c r="H21" s="1985">
        <f>813-I21</f>
        <v>748</v>
      </c>
      <c r="I21" s="1109">
        <v>65</v>
      </c>
      <c r="J21" s="1631">
        <f t="shared" si="0"/>
        <v>813</v>
      </c>
      <c r="K21" s="1109">
        <v>0</v>
      </c>
      <c r="L21" s="1631">
        <f t="shared" si="1"/>
        <v>813</v>
      </c>
      <c r="M21" s="1631">
        <f t="shared" si="2"/>
        <v>8976</v>
      </c>
      <c r="N21" s="1631">
        <f t="shared" si="3"/>
        <v>0</v>
      </c>
      <c r="O21" s="1632">
        <f t="shared" si="4"/>
        <v>8976</v>
      </c>
      <c r="P21" s="655"/>
      <c r="Q21" s="2173" t="s">
        <v>1960</v>
      </c>
    </row>
    <row r="22" spans="2:17" x14ac:dyDescent="0.25">
      <c r="B22" s="4"/>
      <c r="C22" s="2224">
        <v>0.5</v>
      </c>
      <c r="D22" s="1987">
        <v>11</v>
      </c>
      <c r="E22" s="1987" t="s">
        <v>572</v>
      </c>
      <c r="F22" s="1987"/>
      <c r="G22" s="1987">
        <v>825</v>
      </c>
      <c r="H22" s="1985">
        <f>1016-I22</f>
        <v>951</v>
      </c>
      <c r="I22" s="1109">
        <v>65</v>
      </c>
      <c r="J22" s="1631">
        <f t="shared" si="0"/>
        <v>1016</v>
      </c>
      <c r="K22" s="1109">
        <v>0</v>
      </c>
      <c r="L22" s="1631">
        <f t="shared" si="1"/>
        <v>1016</v>
      </c>
      <c r="M22" s="1631">
        <f t="shared" si="2"/>
        <v>125532</v>
      </c>
      <c r="N22" s="1631">
        <f t="shared" si="3"/>
        <v>0</v>
      </c>
      <c r="O22" s="1632">
        <f t="shared" si="4"/>
        <v>125532</v>
      </c>
      <c r="P22" s="143"/>
    </row>
    <row r="23" spans="2:17" x14ac:dyDescent="0.25">
      <c r="B23" s="4"/>
      <c r="C23" s="2224">
        <v>0.3</v>
      </c>
      <c r="D23" s="1987">
        <v>4</v>
      </c>
      <c r="E23" s="1987" t="s">
        <v>573</v>
      </c>
      <c r="F23" s="1987"/>
      <c r="G23" s="1987">
        <v>1025</v>
      </c>
      <c r="H23" s="1985">
        <v>300</v>
      </c>
      <c r="I23" s="1109">
        <v>105</v>
      </c>
      <c r="J23" s="1631">
        <f t="shared" si="0"/>
        <v>405</v>
      </c>
      <c r="K23" s="1109">
        <f>1772-J23</f>
        <v>1367</v>
      </c>
      <c r="L23" s="1631">
        <f t="shared" si="1"/>
        <v>1772</v>
      </c>
      <c r="M23" s="1631">
        <f t="shared" si="2"/>
        <v>14400</v>
      </c>
      <c r="N23" s="1631">
        <f t="shared" si="3"/>
        <v>65616</v>
      </c>
      <c r="O23" s="1632">
        <f t="shared" si="4"/>
        <v>80016</v>
      </c>
      <c r="P23" s="143"/>
    </row>
    <row r="24" spans="2:17" x14ac:dyDescent="0.25">
      <c r="B24" s="4"/>
      <c r="C24" s="2224">
        <v>0.5</v>
      </c>
      <c r="D24" s="1987">
        <v>1</v>
      </c>
      <c r="E24" s="1987" t="s">
        <v>573</v>
      </c>
      <c r="F24" s="1987"/>
      <c r="G24" s="1987">
        <v>1025</v>
      </c>
      <c r="H24" s="1985">
        <f>939-I24</f>
        <v>834</v>
      </c>
      <c r="I24" s="1109">
        <v>105</v>
      </c>
      <c r="J24" s="1631">
        <f t="shared" si="0"/>
        <v>939</v>
      </c>
      <c r="K24" s="1109">
        <v>0</v>
      </c>
      <c r="L24" s="1631">
        <f t="shared" si="1"/>
        <v>939</v>
      </c>
      <c r="M24" s="1631">
        <f t="shared" si="2"/>
        <v>10008</v>
      </c>
      <c r="N24" s="1631">
        <f t="shared" si="3"/>
        <v>0</v>
      </c>
      <c r="O24" s="1632">
        <f t="shared" si="4"/>
        <v>10008</v>
      </c>
      <c r="P24" s="143"/>
      <c r="Q24" s="2173" t="s">
        <v>1960</v>
      </c>
    </row>
    <row r="25" spans="2:17" x14ac:dyDescent="0.25">
      <c r="B25" s="4"/>
      <c r="C25" s="1107">
        <v>0.5</v>
      </c>
      <c r="D25" s="1108">
        <v>1</v>
      </c>
      <c r="E25" s="1108" t="s">
        <v>573</v>
      </c>
      <c r="F25" s="1108"/>
      <c r="G25" s="1108">
        <v>1025</v>
      </c>
      <c r="H25" s="1109">
        <f>1174-I25</f>
        <v>1069</v>
      </c>
      <c r="I25" s="1109">
        <v>105</v>
      </c>
      <c r="J25" s="1631">
        <f t="shared" si="0"/>
        <v>1174</v>
      </c>
      <c r="K25" s="1109">
        <v>0</v>
      </c>
      <c r="L25" s="1631">
        <f t="shared" si="1"/>
        <v>1174</v>
      </c>
      <c r="M25" s="1631">
        <f t="shared" si="2"/>
        <v>12828</v>
      </c>
      <c r="N25" s="1631">
        <f t="shared" si="3"/>
        <v>0</v>
      </c>
      <c r="O25" s="1632">
        <f t="shared" si="4"/>
        <v>12828</v>
      </c>
      <c r="P25" s="143"/>
    </row>
    <row r="26" spans="2:17" x14ac:dyDescent="0.25">
      <c r="B26" s="4"/>
      <c r="C26" s="1110"/>
      <c r="D26" s="1111"/>
      <c r="E26" s="1111"/>
      <c r="F26" s="1111"/>
      <c r="G26" s="1111"/>
      <c r="H26" s="1112">
        <v>0</v>
      </c>
      <c r="I26" s="1112">
        <v>0</v>
      </c>
      <c r="J26" s="1633">
        <f t="shared" si="0"/>
        <v>0</v>
      </c>
      <c r="K26" s="1112">
        <v>0</v>
      </c>
      <c r="L26" s="1633">
        <f t="shared" si="1"/>
        <v>0</v>
      </c>
      <c r="M26" s="1633">
        <f t="shared" si="2"/>
        <v>0</v>
      </c>
      <c r="N26" s="1633">
        <f t="shared" si="3"/>
        <v>0</v>
      </c>
      <c r="O26" s="1634">
        <f t="shared" si="4"/>
        <v>0</v>
      </c>
      <c r="P26" s="143"/>
    </row>
    <row r="27" spans="2:17" ht="3.75" customHeight="1" x14ac:dyDescent="0.25">
      <c r="B27" s="4"/>
      <c r="C27" s="1635"/>
      <c r="D27" s="1636"/>
      <c r="E27" s="1636"/>
      <c r="F27" s="1636"/>
      <c r="G27" s="1636"/>
      <c r="H27" s="1637"/>
      <c r="I27" s="1637"/>
      <c r="J27" s="1638"/>
      <c r="K27" s="1637"/>
      <c r="L27" s="1638"/>
      <c r="M27" s="1638"/>
      <c r="N27" s="1638"/>
      <c r="O27" s="1639"/>
      <c r="P27" s="143"/>
    </row>
    <row r="28" spans="2:17" ht="24" x14ac:dyDescent="0.25">
      <c r="B28" s="4"/>
      <c r="C28" s="1102" t="s">
        <v>339</v>
      </c>
      <c r="D28" s="775">
        <v>0</v>
      </c>
      <c r="E28" s="775" t="s">
        <v>571</v>
      </c>
      <c r="F28" s="775"/>
      <c r="G28" s="775">
        <v>550</v>
      </c>
      <c r="H28" s="776"/>
      <c r="I28" s="776"/>
      <c r="J28" s="1640"/>
      <c r="K28" s="776"/>
      <c r="L28" s="1640"/>
      <c r="M28" s="1640"/>
      <c r="N28" s="1640"/>
      <c r="O28" s="1641"/>
      <c r="P28" s="143"/>
    </row>
    <row r="29" spans="2:17" ht="15.75" thickBot="1" x14ac:dyDescent="0.3">
      <c r="B29" s="4"/>
      <c r="C29" s="1103" t="s">
        <v>599</v>
      </c>
      <c r="D29" s="773"/>
      <c r="E29" s="773"/>
      <c r="F29" s="773"/>
      <c r="G29" s="773"/>
      <c r="H29" s="774">
        <v>0</v>
      </c>
      <c r="I29" s="1423">
        <v>0</v>
      </c>
      <c r="J29" s="1633">
        <f>H29+I29</f>
        <v>0</v>
      </c>
      <c r="K29" s="774">
        <v>0</v>
      </c>
      <c r="L29" s="1633">
        <f>J29+K29</f>
        <v>0</v>
      </c>
      <c r="M29" s="1633">
        <f>D29*H29*12</f>
        <v>0</v>
      </c>
      <c r="N29" s="1633">
        <f>D29*K29*12</f>
        <v>0</v>
      </c>
      <c r="O29" s="1634">
        <f>M29+N29</f>
        <v>0</v>
      </c>
      <c r="P29" s="143"/>
    </row>
    <row r="30" spans="2:17" ht="16.5" thickTop="1" thickBot="1" x14ac:dyDescent="0.3">
      <c r="B30" s="1642"/>
      <c r="C30" s="661" t="s">
        <v>85</v>
      </c>
      <c r="D30" s="662">
        <f>SUM(D14:D29)</f>
        <v>59</v>
      </c>
      <c r="E30" s="663"/>
      <c r="F30" s="664"/>
      <c r="G30" s="664"/>
      <c r="H30" s="1422"/>
      <c r="I30" s="1422"/>
      <c r="J30" s="665"/>
      <c r="K30" s="665"/>
      <c r="L30" s="665"/>
      <c r="M30" s="666">
        <f>SUM(M14:M26)+(SUMIF(C28:C29,"Market Rate",M28:M29))</f>
        <v>367536</v>
      </c>
      <c r="N30" s="1079">
        <f>SUM(N14:N26)+(SUMIF(C28:C29,"Market Rate",N28:N29))</f>
        <v>335004</v>
      </c>
      <c r="O30" s="667">
        <f>SUM(O14:O26)+(SUMIF(C28:C29,"Market Rate",O28:O29))</f>
        <v>702540</v>
      </c>
      <c r="P30" s="1567"/>
    </row>
    <row r="31" spans="2:17" x14ac:dyDescent="0.25">
      <c r="B31" s="4"/>
      <c r="C31" s="668"/>
      <c r="D31" s="669"/>
      <c r="E31" s="670"/>
      <c r="F31" s="670"/>
      <c r="G31" s="670"/>
      <c r="H31" s="670"/>
      <c r="I31" s="670"/>
      <c r="J31" s="670"/>
      <c r="K31" s="670"/>
      <c r="L31" s="670"/>
      <c r="M31" s="671"/>
      <c r="N31" s="672"/>
      <c r="O31" s="671"/>
      <c r="P31" s="143"/>
    </row>
    <row r="32" spans="2:17" x14ac:dyDescent="0.25">
      <c r="B32" s="1518"/>
      <c r="C32" s="1939" t="s">
        <v>596</v>
      </c>
      <c r="D32" s="1940"/>
      <c r="E32" s="1940"/>
      <c r="F32" s="1940"/>
      <c r="G32" s="1940"/>
      <c r="H32" s="1940"/>
      <c r="I32" s="1940"/>
      <c r="J32" s="1940"/>
      <c r="K32" s="1940"/>
      <c r="L32" s="1940"/>
      <c r="M32" s="1940"/>
      <c r="N32" s="1940"/>
      <c r="O32" s="1940"/>
      <c r="P32" s="772"/>
    </row>
    <row r="33" spans="2:16" ht="7.5" customHeight="1" thickBot="1" x14ac:dyDescent="0.3">
      <c r="B33" s="1518"/>
      <c r="C33" s="1570"/>
      <c r="D33" s="1535"/>
      <c r="E33" s="1563"/>
      <c r="F33" s="1563"/>
      <c r="G33" s="1563"/>
      <c r="H33" s="1563"/>
      <c r="I33" s="1563"/>
      <c r="J33" s="1563"/>
      <c r="K33" s="1563"/>
      <c r="L33" s="1563"/>
      <c r="M33" s="1563"/>
      <c r="N33" s="1563"/>
      <c r="P33" s="1571"/>
    </row>
    <row r="34" spans="2:16" ht="30.75" thickBot="1" x14ac:dyDescent="0.3">
      <c r="B34" s="1518"/>
      <c r="C34" s="1572" t="s">
        <v>36</v>
      </c>
      <c r="D34" s="1573" t="s">
        <v>37</v>
      </c>
      <c r="E34" s="1574" t="s">
        <v>38</v>
      </c>
      <c r="F34" s="1574" t="s">
        <v>39</v>
      </c>
      <c r="G34" s="1574" t="s">
        <v>571</v>
      </c>
      <c r="H34" s="1574" t="s">
        <v>572</v>
      </c>
      <c r="I34" s="1575" t="s">
        <v>573</v>
      </c>
      <c r="J34" s="1575" t="s">
        <v>574</v>
      </c>
      <c r="K34" s="1576" t="s">
        <v>575</v>
      </c>
      <c r="L34" s="1577" t="s">
        <v>600</v>
      </c>
      <c r="P34" s="1578"/>
    </row>
    <row r="35" spans="2:16" x14ac:dyDescent="0.25">
      <c r="B35" s="1518"/>
      <c r="C35" s="1579">
        <v>0.25</v>
      </c>
      <c r="D35" s="1580">
        <f t="shared" ref="D35:K44" si="5">SUMIFS($D$13:$D$30,$C$13:$C$30,$C35,$E$13:$E$30,D$34)</f>
        <v>0</v>
      </c>
      <c r="E35" s="1581">
        <f t="shared" si="5"/>
        <v>0</v>
      </c>
      <c r="F35" s="1581">
        <f t="shared" si="5"/>
        <v>0</v>
      </c>
      <c r="G35" s="1581">
        <f t="shared" si="5"/>
        <v>0</v>
      </c>
      <c r="H35" s="1581">
        <f t="shared" si="5"/>
        <v>0</v>
      </c>
      <c r="I35" s="1581">
        <f t="shared" si="5"/>
        <v>0</v>
      </c>
      <c r="J35" s="1581">
        <f t="shared" si="5"/>
        <v>0</v>
      </c>
      <c r="K35" s="1582">
        <f t="shared" si="5"/>
        <v>0</v>
      </c>
      <c r="L35" s="1583">
        <f t="shared" ref="L35:L44" si="6">SUM(D35:K35)</f>
        <v>0</v>
      </c>
      <c r="P35" s="1578"/>
    </row>
    <row r="36" spans="2:16" x14ac:dyDescent="0.25">
      <c r="B36" s="1518"/>
      <c r="C36" s="1584">
        <v>0.3</v>
      </c>
      <c r="D36" s="1585">
        <f t="shared" si="5"/>
        <v>0</v>
      </c>
      <c r="E36" s="1586">
        <f t="shared" si="5"/>
        <v>0</v>
      </c>
      <c r="F36" s="1586">
        <f t="shared" si="5"/>
        <v>6</v>
      </c>
      <c r="G36" s="1586">
        <f t="shared" si="5"/>
        <v>5</v>
      </c>
      <c r="H36" s="1586">
        <f t="shared" si="5"/>
        <v>15</v>
      </c>
      <c r="I36" s="1586">
        <f t="shared" si="5"/>
        <v>4</v>
      </c>
      <c r="J36" s="1586">
        <f t="shared" si="5"/>
        <v>0</v>
      </c>
      <c r="K36" s="1587">
        <f t="shared" si="5"/>
        <v>0</v>
      </c>
      <c r="L36" s="1588">
        <f t="shared" si="6"/>
        <v>30</v>
      </c>
      <c r="P36" s="1578"/>
    </row>
    <row r="37" spans="2:16" x14ac:dyDescent="0.25">
      <c r="B37" s="1518"/>
      <c r="C37" s="1584">
        <v>0.35</v>
      </c>
      <c r="D37" s="1585">
        <f t="shared" si="5"/>
        <v>0</v>
      </c>
      <c r="E37" s="1586">
        <f t="shared" si="5"/>
        <v>0</v>
      </c>
      <c r="F37" s="1586">
        <f t="shared" si="5"/>
        <v>0</v>
      </c>
      <c r="G37" s="1586">
        <f t="shared" si="5"/>
        <v>0</v>
      </c>
      <c r="H37" s="1586">
        <f t="shared" si="5"/>
        <v>0</v>
      </c>
      <c r="I37" s="1586">
        <f t="shared" si="5"/>
        <v>0</v>
      </c>
      <c r="J37" s="1586">
        <f t="shared" si="5"/>
        <v>0</v>
      </c>
      <c r="K37" s="1587">
        <f t="shared" si="5"/>
        <v>0</v>
      </c>
      <c r="L37" s="1588">
        <f t="shared" si="6"/>
        <v>0</v>
      </c>
      <c r="P37" s="1578"/>
    </row>
    <row r="38" spans="2:16" x14ac:dyDescent="0.25">
      <c r="B38" s="1518"/>
      <c r="C38" s="1584">
        <v>0.4</v>
      </c>
      <c r="D38" s="1585">
        <f t="shared" si="5"/>
        <v>0</v>
      </c>
      <c r="E38" s="1586">
        <f t="shared" si="5"/>
        <v>0</v>
      </c>
      <c r="F38" s="1586">
        <f t="shared" si="5"/>
        <v>0</v>
      </c>
      <c r="G38" s="1586">
        <f t="shared" si="5"/>
        <v>0</v>
      </c>
      <c r="H38" s="1586">
        <f t="shared" si="5"/>
        <v>0</v>
      </c>
      <c r="I38" s="1586">
        <f t="shared" si="5"/>
        <v>0</v>
      </c>
      <c r="J38" s="1586">
        <f t="shared" si="5"/>
        <v>0</v>
      </c>
      <c r="K38" s="1587">
        <f t="shared" si="5"/>
        <v>0</v>
      </c>
      <c r="L38" s="1588">
        <f t="shared" si="6"/>
        <v>0</v>
      </c>
      <c r="P38" s="1578"/>
    </row>
    <row r="39" spans="2:16" x14ac:dyDescent="0.25">
      <c r="B39" s="1518"/>
      <c r="C39" s="1584">
        <v>0.45</v>
      </c>
      <c r="D39" s="1585">
        <f t="shared" si="5"/>
        <v>0</v>
      </c>
      <c r="E39" s="1586">
        <f t="shared" si="5"/>
        <v>0</v>
      </c>
      <c r="F39" s="1586">
        <f t="shared" si="5"/>
        <v>0</v>
      </c>
      <c r="G39" s="1586">
        <f t="shared" si="5"/>
        <v>0</v>
      </c>
      <c r="H39" s="1586">
        <f t="shared" si="5"/>
        <v>0</v>
      </c>
      <c r="I39" s="1586">
        <f t="shared" si="5"/>
        <v>0</v>
      </c>
      <c r="J39" s="1586">
        <f t="shared" si="5"/>
        <v>0</v>
      </c>
      <c r="K39" s="1587">
        <f t="shared" si="5"/>
        <v>0</v>
      </c>
      <c r="L39" s="1588">
        <f t="shared" si="6"/>
        <v>0</v>
      </c>
      <c r="P39" s="1578"/>
    </row>
    <row r="40" spans="2:16" x14ac:dyDescent="0.25">
      <c r="B40" s="1518"/>
      <c r="C40" s="1584">
        <v>0.5</v>
      </c>
      <c r="D40" s="1585">
        <f t="shared" si="5"/>
        <v>0</v>
      </c>
      <c r="E40" s="1586">
        <f t="shared" si="5"/>
        <v>0</v>
      </c>
      <c r="F40" s="1586">
        <f t="shared" si="5"/>
        <v>9</v>
      </c>
      <c r="G40" s="1586">
        <f t="shared" si="5"/>
        <v>6</v>
      </c>
      <c r="H40" s="1586">
        <f t="shared" si="5"/>
        <v>12</v>
      </c>
      <c r="I40" s="1586">
        <f t="shared" si="5"/>
        <v>2</v>
      </c>
      <c r="J40" s="1586">
        <f t="shared" si="5"/>
        <v>0</v>
      </c>
      <c r="K40" s="1587">
        <f t="shared" si="5"/>
        <v>0</v>
      </c>
      <c r="L40" s="1588">
        <f t="shared" si="6"/>
        <v>29</v>
      </c>
      <c r="P40" s="1578"/>
    </row>
    <row r="41" spans="2:16" x14ac:dyDescent="0.25">
      <c r="B41" s="1518"/>
      <c r="C41" s="1584">
        <v>0.55000000000000004</v>
      </c>
      <c r="D41" s="1585">
        <f t="shared" si="5"/>
        <v>0</v>
      </c>
      <c r="E41" s="1586">
        <f t="shared" si="5"/>
        <v>0</v>
      </c>
      <c r="F41" s="1586">
        <f t="shared" si="5"/>
        <v>0</v>
      </c>
      <c r="G41" s="1586">
        <f t="shared" si="5"/>
        <v>0</v>
      </c>
      <c r="H41" s="1586">
        <f t="shared" si="5"/>
        <v>0</v>
      </c>
      <c r="I41" s="1586">
        <f t="shared" si="5"/>
        <v>0</v>
      </c>
      <c r="J41" s="1586">
        <f t="shared" si="5"/>
        <v>0</v>
      </c>
      <c r="K41" s="1587">
        <f t="shared" si="5"/>
        <v>0</v>
      </c>
      <c r="L41" s="1588">
        <f t="shared" si="6"/>
        <v>0</v>
      </c>
      <c r="P41" s="1578"/>
    </row>
    <row r="42" spans="2:16" x14ac:dyDescent="0.25">
      <c r="B42" s="1518"/>
      <c r="C42" s="1584">
        <v>0.6</v>
      </c>
      <c r="D42" s="1585">
        <f t="shared" si="5"/>
        <v>0</v>
      </c>
      <c r="E42" s="1586">
        <f t="shared" si="5"/>
        <v>0</v>
      </c>
      <c r="F42" s="1586">
        <f t="shared" si="5"/>
        <v>0</v>
      </c>
      <c r="G42" s="1586">
        <f t="shared" si="5"/>
        <v>0</v>
      </c>
      <c r="H42" s="1586">
        <f t="shared" si="5"/>
        <v>0</v>
      </c>
      <c r="I42" s="1586">
        <f t="shared" si="5"/>
        <v>0</v>
      </c>
      <c r="J42" s="1586">
        <f t="shared" si="5"/>
        <v>0</v>
      </c>
      <c r="K42" s="1587">
        <f t="shared" si="5"/>
        <v>0</v>
      </c>
      <c r="L42" s="1588">
        <f t="shared" si="6"/>
        <v>0</v>
      </c>
      <c r="P42" s="1578"/>
    </row>
    <row r="43" spans="2:16" x14ac:dyDescent="0.25">
      <c r="B43" s="1518"/>
      <c r="C43" s="1584">
        <v>0.65</v>
      </c>
      <c r="D43" s="1585">
        <f t="shared" si="5"/>
        <v>0</v>
      </c>
      <c r="E43" s="1586">
        <f t="shared" si="5"/>
        <v>0</v>
      </c>
      <c r="F43" s="1586">
        <f t="shared" si="5"/>
        <v>0</v>
      </c>
      <c r="G43" s="1586">
        <f t="shared" si="5"/>
        <v>0</v>
      </c>
      <c r="H43" s="1586">
        <f t="shared" si="5"/>
        <v>0</v>
      </c>
      <c r="I43" s="1586">
        <f t="shared" si="5"/>
        <v>0</v>
      </c>
      <c r="J43" s="1586">
        <f t="shared" si="5"/>
        <v>0</v>
      </c>
      <c r="K43" s="1587">
        <f t="shared" si="5"/>
        <v>0</v>
      </c>
      <c r="L43" s="1588">
        <f t="shared" si="6"/>
        <v>0</v>
      </c>
      <c r="P43" s="1578"/>
    </row>
    <row r="44" spans="2:16" x14ac:dyDescent="0.25">
      <c r="B44" s="1518"/>
      <c r="C44" s="1589">
        <v>0.8</v>
      </c>
      <c r="D44" s="1590">
        <f t="shared" si="5"/>
        <v>0</v>
      </c>
      <c r="E44" s="1591">
        <f t="shared" si="5"/>
        <v>0</v>
      </c>
      <c r="F44" s="1591">
        <f t="shared" si="5"/>
        <v>0</v>
      </c>
      <c r="G44" s="1591">
        <f t="shared" si="5"/>
        <v>0</v>
      </c>
      <c r="H44" s="1591">
        <f t="shared" si="5"/>
        <v>0</v>
      </c>
      <c r="I44" s="1591">
        <f t="shared" si="5"/>
        <v>0</v>
      </c>
      <c r="J44" s="1591">
        <f t="shared" si="5"/>
        <v>0</v>
      </c>
      <c r="K44" s="1592">
        <f t="shared" si="5"/>
        <v>0</v>
      </c>
      <c r="L44" s="1593">
        <f t="shared" si="6"/>
        <v>0</v>
      </c>
      <c r="P44" s="1578"/>
    </row>
    <row r="45" spans="2:16" ht="25.5" x14ac:dyDescent="0.25">
      <c r="B45" s="1518"/>
      <c r="C45" s="1594" t="s">
        <v>41</v>
      </c>
      <c r="D45" s="1595">
        <f t="shared" ref="D45:E45" si="7">SUM(D35:D44)</f>
        <v>0</v>
      </c>
      <c r="E45" s="1595">
        <f t="shared" si="7"/>
        <v>0</v>
      </c>
      <c r="F45" s="1595">
        <f t="shared" ref="F45:L45" si="8">SUM(F35:F44)</f>
        <v>15</v>
      </c>
      <c r="G45" s="1595">
        <f t="shared" si="8"/>
        <v>11</v>
      </c>
      <c r="H45" s="1595">
        <f t="shared" si="8"/>
        <v>27</v>
      </c>
      <c r="I45" s="1595">
        <f t="shared" si="8"/>
        <v>6</v>
      </c>
      <c r="J45" s="1596">
        <f t="shared" si="8"/>
        <v>0</v>
      </c>
      <c r="K45" s="1596">
        <f t="shared" si="8"/>
        <v>0</v>
      </c>
      <c r="L45" s="1597">
        <f t="shared" si="8"/>
        <v>59</v>
      </c>
      <c r="P45" s="1578"/>
    </row>
    <row r="46" spans="2:16" x14ac:dyDescent="0.25">
      <c r="B46" s="1518"/>
      <c r="C46" s="1598" t="s">
        <v>599</v>
      </c>
      <c r="D46" s="1599">
        <f t="shared" ref="D46:K47" si="9">SUMIFS($D$13:$D$30,$C$13:$C$30,$C46,$E$13:$E$30,D$34)</f>
        <v>0</v>
      </c>
      <c r="E46" s="1600">
        <f t="shared" si="9"/>
        <v>0</v>
      </c>
      <c r="F46" s="1600">
        <f t="shared" si="9"/>
        <v>0</v>
      </c>
      <c r="G46" s="1600">
        <f t="shared" si="9"/>
        <v>0</v>
      </c>
      <c r="H46" s="1600">
        <f t="shared" si="9"/>
        <v>0</v>
      </c>
      <c r="I46" s="1600">
        <f t="shared" si="9"/>
        <v>0</v>
      </c>
      <c r="J46" s="1600">
        <f t="shared" si="9"/>
        <v>0</v>
      </c>
      <c r="K46" s="1601">
        <f t="shared" si="9"/>
        <v>0</v>
      </c>
      <c r="L46" s="1602">
        <f>SUM(D46:K46)</f>
        <v>0</v>
      </c>
      <c r="P46" s="1578"/>
    </row>
    <row r="47" spans="2:16" ht="24.75" thickBot="1" x14ac:dyDescent="0.3">
      <c r="B47" s="1518"/>
      <c r="C47" s="1603" t="s">
        <v>339</v>
      </c>
      <c r="D47" s="1604">
        <f t="shared" si="9"/>
        <v>0</v>
      </c>
      <c r="E47" s="1605">
        <f t="shared" si="9"/>
        <v>0</v>
      </c>
      <c r="F47" s="1605">
        <f t="shared" si="9"/>
        <v>0</v>
      </c>
      <c r="G47" s="1605">
        <f t="shared" si="9"/>
        <v>0</v>
      </c>
      <c r="H47" s="1605">
        <f t="shared" si="9"/>
        <v>0</v>
      </c>
      <c r="I47" s="1605">
        <f t="shared" si="9"/>
        <v>0</v>
      </c>
      <c r="J47" s="1605">
        <f t="shared" si="9"/>
        <v>0</v>
      </c>
      <c r="K47" s="1606">
        <f t="shared" si="9"/>
        <v>0</v>
      </c>
      <c r="L47" s="1607">
        <f>SUM(D47:K47)</f>
        <v>0</v>
      </c>
      <c r="P47" s="1578"/>
    </row>
    <row r="48" spans="2:16" ht="16.5" thickTop="1" thickBot="1" x14ac:dyDescent="0.3">
      <c r="B48" s="1518"/>
      <c r="C48" s="1608" t="s">
        <v>42</v>
      </c>
      <c r="D48" s="1609">
        <f t="shared" ref="D48:K48" si="10">D45+D46+D47</f>
        <v>0</v>
      </c>
      <c r="E48" s="1610">
        <f t="shared" si="10"/>
        <v>0</v>
      </c>
      <c r="F48" s="1611">
        <f t="shared" si="10"/>
        <v>15</v>
      </c>
      <c r="G48" s="1611">
        <f t="shared" si="10"/>
        <v>11</v>
      </c>
      <c r="H48" s="1611">
        <f t="shared" si="10"/>
        <v>27</v>
      </c>
      <c r="I48" s="1611">
        <f t="shared" si="10"/>
        <v>6</v>
      </c>
      <c r="J48" s="1612">
        <f t="shared" si="10"/>
        <v>0</v>
      </c>
      <c r="K48" s="1612">
        <f t="shared" si="10"/>
        <v>0</v>
      </c>
      <c r="L48" s="1613">
        <f>SUM(L45:L47)</f>
        <v>59</v>
      </c>
      <c r="P48" s="1578"/>
    </row>
    <row r="49" spans="2:16" ht="7.5" customHeight="1" thickTop="1" thickBot="1" x14ac:dyDescent="0.3">
      <c r="B49" s="1518"/>
      <c r="C49" s="1614"/>
      <c r="D49" s="1615"/>
      <c r="E49" s="1616"/>
      <c r="F49" s="1615"/>
      <c r="G49" s="1615"/>
      <c r="H49" s="1615"/>
      <c r="I49" s="1615"/>
      <c r="J49" s="1617"/>
      <c r="K49" s="1617"/>
      <c r="L49" s="1618"/>
      <c r="P49" s="1578"/>
    </row>
    <row r="50" spans="2:16" ht="25.5" x14ac:dyDescent="0.25">
      <c r="B50" s="1518"/>
      <c r="C50" s="1619" t="s">
        <v>43</v>
      </c>
      <c r="D50" s="1620">
        <f>SUMIF('8A'!$E13:$E30,D34,'8A'!$F13:$F30)</f>
        <v>0</v>
      </c>
      <c r="E50" s="1621">
        <f>SUMIF('8A'!$E13:$E30,E34,'8A'!$F13:$F30)</f>
        <v>0</v>
      </c>
      <c r="F50" s="1621">
        <f>SUMIF('8A'!$E13:$E30,F34,'8A'!$F13:$F30)</f>
        <v>1</v>
      </c>
      <c r="G50" s="1621">
        <f>SUMIF('8A'!$E13:$E30,G34,'8A'!$F13:$F30)</f>
        <v>1</v>
      </c>
      <c r="H50" s="1621">
        <f>SUMIF('8A'!$E13:$E30,H34,'8A'!$F13:$F30)</f>
        <v>1</v>
      </c>
      <c r="I50" s="1621">
        <f>SUMIF('8A'!$E13:$E30,I34,'8A'!$F13:$F30)</f>
        <v>0</v>
      </c>
      <c r="J50" s="1621">
        <f>SUMIF('8A'!$E13:$E30,J34,'8A'!$F13:$F30)</f>
        <v>0</v>
      </c>
      <c r="K50" s="1622">
        <f>SUMIF('8A'!$E13:$E30,K34,'8A'!$F13:$F30)</f>
        <v>0</v>
      </c>
      <c r="L50" s="1623">
        <f>SUM(D50:K50)</f>
        <v>3</v>
      </c>
      <c r="P50" s="1578"/>
    </row>
    <row r="51" spans="2:16" ht="15.75" thickBot="1" x14ac:dyDescent="0.3">
      <c r="B51" s="1518"/>
      <c r="C51" s="1624" t="s">
        <v>498</v>
      </c>
      <c r="D51" s="1625">
        <f>IFERROR(AVERAGEIF('8A'!$E13:$E30,D34,'8A'!$G13:$G30),0)</f>
        <v>0</v>
      </c>
      <c r="E51" s="1626">
        <f>IFERROR(AVERAGEIF('8A'!$E13:$E30,E34,'8A'!$G13:$G30),0)</f>
        <v>0</v>
      </c>
      <c r="F51" s="1626">
        <f>IFERROR(AVERAGEIF('8A'!$E13:$E30,F34,'8A'!$G13:$G30),0)</f>
        <v>420</v>
      </c>
      <c r="G51" s="1626">
        <f>IFERROR(AVERAGEIF('8A'!$E13:$E30,G34,'8A'!$G13:$G30),0)</f>
        <v>550</v>
      </c>
      <c r="H51" s="1626">
        <f>IFERROR(AVERAGEIF('8A'!$E13:$E30,H34,'8A'!$G13:$G30),0)</f>
        <v>825</v>
      </c>
      <c r="I51" s="1626">
        <f>IFERROR(AVERAGEIF('8A'!$E13:$E30,I34,'8A'!$G13:$G30),0)</f>
        <v>1025</v>
      </c>
      <c r="J51" s="1626">
        <f>IFERROR(AVERAGEIF('8A'!$E13:$E30,J34,'8A'!$G13:$G30),0)</f>
        <v>0</v>
      </c>
      <c r="K51" s="1627">
        <f>IFERROR(AVERAGEIF('8A'!$E13:$E30,K34,'8A'!$G13:$G30),0)</f>
        <v>0</v>
      </c>
      <c r="L51" s="1628"/>
      <c r="P51" s="1578"/>
    </row>
    <row r="52" spans="2:16" ht="7.5" customHeight="1" thickBot="1" x14ac:dyDescent="0.3">
      <c r="B52" s="1518"/>
      <c r="C52" s="1563"/>
      <c r="D52" s="1563"/>
      <c r="E52" s="1563"/>
      <c r="F52" s="1563"/>
      <c r="G52" s="1563"/>
      <c r="H52" s="1563"/>
      <c r="I52" s="1563"/>
      <c r="J52" s="1563"/>
      <c r="K52" s="1563"/>
      <c r="L52" s="1563"/>
      <c r="M52" s="1563"/>
      <c r="N52" s="1563"/>
      <c r="O52" s="1967"/>
      <c r="P52" s="1578"/>
    </row>
    <row r="53" spans="2:16" x14ac:dyDescent="0.25">
      <c r="B53" s="1968"/>
      <c r="C53" s="1968"/>
      <c r="D53" s="1968"/>
      <c r="E53" s="1968"/>
      <c r="F53" s="1968"/>
      <c r="G53" s="1968"/>
      <c r="H53" s="1968"/>
      <c r="I53" s="1968"/>
      <c r="J53" s="1968"/>
      <c r="K53" s="1968"/>
      <c r="L53" s="1968"/>
      <c r="M53" s="1968"/>
      <c r="N53" s="1968"/>
      <c r="O53" s="1968"/>
      <c r="P53" s="1968"/>
    </row>
    <row r="54" spans="2:16" x14ac:dyDescent="0.25">
      <c r="B54" s="1940"/>
      <c r="C54" s="1940"/>
      <c r="D54" s="1940"/>
      <c r="E54" s="1940"/>
      <c r="F54" s="1940"/>
      <c r="G54" s="1940"/>
      <c r="H54" s="1940"/>
      <c r="I54" s="1940"/>
      <c r="J54" s="1940"/>
      <c r="K54" s="1940"/>
      <c r="L54" s="1940"/>
      <c r="M54" s="1940"/>
      <c r="N54" s="1940"/>
      <c r="O54" s="1940"/>
      <c r="P54" s="1940"/>
    </row>
  </sheetData>
  <sheetProtection password="D666" sheet="1" objects="1" scenarios="1" formatCells="0" formatColumns="0" formatRows="0" insertRows="0"/>
  <mergeCells count="2">
    <mergeCell ref="C9:O9"/>
    <mergeCell ref="C11:N11"/>
  </mergeCells>
  <conditionalFormatting sqref="H28:O29">
    <cfRule type="expression" dxfId="19" priority="2">
      <formula>$C28="CAUs / Managers"</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headerFooter>
    <oddFooter>&amp;LForm 8A
Proposed Rents and AMIs Served&amp;CCFA Forms&amp;REdition: 2016
Version: 1.0</oddFooter>
  </headerFooter>
  <rowBreaks count="1" manualBreakCount="1">
    <brk id="31" min="1" max="15" man="1"/>
  </rowBreaks>
  <drawing r:id="rId1"/>
  <extLst>
    <ext xmlns:x14="http://schemas.microsoft.com/office/spreadsheetml/2009/9/main" uri="{78C0D931-6437-407d-A8EE-F0AAD7539E65}">
      <x14:conditionalFormattings>
        <x14:conditionalFormatting xmlns:xm="http://schemas.microsoft.com/office/excel/2006/main">
          <x14:cfRule type="expression" priority="4" id="{1581DC51-1810-4ADE-8BDC-C3545D7711A6}">
            <xm:f>$N$30&lt;&gt;'8B'!$F$21</xm:f>
            <x14:dxf>
              <font>
                <color rgb="FF990000"/>
              </font>
              <fill>
                <patternFill>
                  <bgColor theme="5" tint="0.79998168889431442"/>
                </patternFill>
              </fill>
            </x14:dxf>
          </x14:cfRule>
          <xm:sqref>N30</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topLeftCell="A6" zoomScale="125" zoomScaleNormal="125" zoomScalePageLayoutView="125" workbookViewId="0">
      <selection activeCell="U35" sqref="U35"/>
    </sheetView>
  </sheetViews>
  <sheetFormatPr defaultColWidth="8.85546875" defaultRowHeight="15" x14ac:dyDescent="0.25"/>
  <cols>
    <col min="1" max="2" width="1.7109375" style="395" customWidth="1"/>
    <col min="3" max="3" width="52" style="395" customWidth="1"/>
    <col min="4" max="6" width="17.140625" style="395" customWidth="1"/>
    <col min="7" max="7" width="20" style="395" customWidth="1"/>
    <col min="8" max="8" width="1.7109375" style="395" customWidth="1"/>
    <col min="9" max="16384" width="8.85546875" style="395"/>
  </cols>
  <sheetData>
    <row r="9" spans="2:8" ht="9" customHeight="1" thickBot="1" x14ac:dyDescent="0.3"/>
    <row r="10" spans="2:8" ht="9" customHeight="1" x14ac:dyDescent="0.3">
      <c r="B10" s="591"/>
      <c r="C10" s="592"/>
      <c r="D10" s="592"/>
      <c r="E10" s="592"/>
      <c r="F10" s="592"/>
      <c r="G10" s="592"/>
      <c r="H10" s="593"/>
    </row>
    <row r="11" spans="2:8" ht="18.75" x14ac:dyDescent="0.3">
      <c r="B11" s="594"/>
      <c r="C11" s="2402" t="s">
        <v>543</v>
      </c>
      <c r="D11" s="2402"/>
      <c r="E11" s="2402"/>
      <c r="F11" s="2402"/>
      <c r="G11" s="2402"/>
      <c r="H11" s="560"/>
    </row>
    <row r="12" spans="2:8" ht="18.75" x14ac:dyDescent="0.3">
      <c r="B12" s="594"/>
      <c r="C12" s="1403"/>
      <c r="D12" s="1403"/>
      <c r="E12" s="1403"/>
      <c r="F12" s="1403"/>
      <c r="G12" s="1403"/>
      <c r="H12" s="560"/>
    </row>
    <row r="13" spans="2:8" ht="15.75" thickBot="1" x14ac:dyDescent="0.3">
      <c r="B13" s="195"/>
      <c r="C13" s="2498" t="str">
        <f>IF('1'!G5="","Enter Project Name on Form 1",(CONCATENATE("Project Name: ",'1'!G5)))</f>
        <v>Project Name: Compass Broadview</v>
      </c>
      <c r="D13" s="2498"/>
      <c r="E13" s="2498"/>
      <c r="F13" s="2498"/>
      <c r="G13" s="422"/>
      <c r="H13" s="194"/>
    </row>
    <row r="14" spans="2:8" x14ac:dyDescent="0.25">
      <c r="B14" s="195"/>
      <c r="C14" s="374"/>
      <c r="D14" s="422"/>
      <c r="E14" s="422"/>
      <c r="F14" s="422"/>
      <c r="G14" s="422"/>
      <c r="H14" s="194"/>
    </row>
    <row r="15" spans="2:8" ht="15.75" thickBot="1" x14ac:dyDescent="0.3">
      <c r="B15" s="195"/>
      <c r="C15" s="595" t="s">
        <v>1700</v>
      </c>
      <c r="D15" s="422"/>
      <c r="E15" s="422"/>
      <c r="F15" s="422"/>
      <c r="G15" s="422"/>
      <c r="H15" s="194"/>
    </row>
    <row r="16" spans="2:8" ht="27" thickBot="1" x14ac:dyDescent="0.3">
      <c r="B16" s="195"/>
      <c r="C16" s="1643" t="s">
        <v>298</v>
      </c>
      <c r="D16" s="1114" t="s">
        <v>340</v>
      </c>
      <c r="E16" s="1114" t="s">
        <v>341</v>
      </c>
      <c r="F16" s="1114" t="s">
        <v>342</v>
      </c>
      <c r="G16" s="1644" t="s">
        <v>343</v>
      </c>
      <c r="H16" s="194"/>
    </row>
    <row r="17" spans="2:8" x14ac:dyDescent="0.25">
      <c r="B17" s="195"/>
      <c r="C17" s="1113"/>
      <c r="D17" s="1136"/>
      <c r="E17" s="1136">
        <v>0</v>
      </c>
      <c r="F17" s="1645">
        <f>SUM(D17:E17)</f>
        <v>0</v>
      </c>
      <c r="G17" s="1929"/>
      <c r="H17" s="194"/>
    </row>
    <row r="18" spans="2:8" x14ac:dyDescent="0.25">
      <c r="B18" s="195"/>
      <c r="C18" s="1068"/>
      <c r="D18" s="1137">
        <v>0</v>
      </c>
      <c r="E18" s="1137">
        <v>0</v>
      </c>
      <c r="F18" s="1646">
        <f>SUM(D18:E18)</f>
        <v>0</v>
      </c>
      <c r="G18" s="1930"/>
      <c r="H18" s="194"/>
    </row>
    <row r="19" spans="2:8" x14ac:dyDescent="0.25">
      <c r="B19" s="195"/>
      <c r="C19" s="1068"/>
      <c r="D19" s="1137">
        <v>0</v>
      </c>
      <c r="E19" s="1137">
        <v>0</v>
      </c>
      <c r="F19" s="1646">
        <f>SUM(D19:E19)</f>
        <v>0</v>
      </c>
      <c r="G19" s="1930"/>
      <c r="H19" s="194"/>
    </row>
    <row r="20" spans="2:8" ht="15.75" thickBot="1" x14ac:dyDescent="0.3">
      <c r="B20" s="195"/>
      <c r="C20" s="1068"/>
      <c r="D20" s="1137">
        <v>0</v>
      </c>
      <c r="E20" s="1137">
        <v>0</v>
      </c>
      <c r="F20" s="1646">
        <f t="shared" ref="F20" si="0">SUM(D20:E20)</f>
        <v>0</v>
      </c>
      <c r="G20" s="1930"/>
      <c r="H20" s="194"/>
    </row>
    <row r="21" spans="2:8" ht="16.5" thickTop="1" thickBot="1" x14ac:dyDescent="0.3">
      <c r="B21" s="195"/>
      <c r="C21" s="1070" t="s">
        <v>1706</v>
      </c>
      <c r="D21" s="1142">
        <f>SUM(D17:D20)</f>
        <v>0</v>
      </c>
      <c r="E21" s="1142">
        <f>SUM(E17:E20)</f>
        <v>0</v>
      </c>
      <c r="F21" s="1143">
        <f>SUM(D21:E21)</f>
        <v>0</v>
      </c>
      <c r="G21" s="1071"/>
      <c r="H21" s="194"/>
    </row>
    <row r="22" spans="2:8" x14ac:dyDescent="0.25">
      <c r="B22" s="195"/>
      <c r="C22" s="374"/>
      <c r="D22" s="422"/>
      <c r="E22" s="422"/>
      <c r="F22" s="196" t="s">
        <v>34</v>
      </c>
      <c r="G22" s="422"/>
      <c r="H22" s="194"/>
    </row>
    <row r="23" spans="2:8" ht="15.75" thickBot="1" x14ac:dyDescent="0.3">
      <c r="B23" s="195"/>
      <c r="C23" s="595" t="s">
        <v>344</v>
      </c>
      <c r="D23" s="422"/>
      <c r="E23" s="422"/>
      <c r="F23" s="422"/>
      <c r="G23" s="422"/>
      <c r="H23" s="194"/>
    </row>
    <row r="24" spans="2:8" ht="15" customHeight="1" x14ac:dyDescent="0.25">
      <c r="B24" s="195"/>
      <c r="C24" s="2501" t="s">
        <v>298</v>
      </c>
      <c r="D24" s="2499" t="s">
        <v>340</v>
      </c>
      <c r="E24" s="2499" t="s">
        <v>341</v>
      </c>
      <c r="F24" s="2499" t="s">
        <v>342</v>
      </c>
      <c r="G24" s="2499" t="s">
        <v>343</v>
      </c>
      <c r="H24" s="194"/>
    </row>
    <row r="25" spans="2:8" ht="15.75" thickBot="1" x14ac:dyDescent="0.3">
      <c r="B25" s="195"/>
      <c r="C25" s="2502"/>
      <c r="D25" s="2500"/>
      <c r="E25" s="2500"/>
      <c r="F25" s="2500"/>
      <c r="G25" s="2500"/>
      <c r="H25" s="194"/>
    </row>
    <row r="26" spans="2:8" x14ac:dyDescent="0.25">
      <c r="B26" s="195"/>
      <c r="C26" s="1115"/>
      <c r="D26" s="1138">
        <v>0</v>
      </c>
      <c r="E26" s="1138">
        <v>0</v>
      </c>
      <c r="F26" s="1647">
        <f t="shared" ref="F26:F29" si="1">SUM(D26+E26)</f>
        <v>0</v>
      </c>
      <c r="G26" s="1931"/>
      <c r="H26" s="194"/>
    </row>
    <row r="27" spans="2:8" x14ac:dyDescent="0.25">
      <c r="B27" s="195"/>
      <c r="C27" s="1116"/>
      <c r="D27" s="1137">
        <v>0</v>
      </c>
      <c r="E27" s="1137">
        <v>0</v>
      </c>
      <c r="F27" s="1646">
        <f t="shared" si="1"/>
        <v>0</v>
      </c>
      <c r="G27" s="1932"/>
      <c r="H27" s="194"/>
    </row>
    <row r="28" spans="2:8" x14ac:dyDescent="0.25">
      <c r="B28" s="195"/>
      <c r="C28" s="1117"/>
      <c r="D28" s="1139">
        <v>0</v>
      </c>
      <c r="E28" s="1139">
        <v>0</v>
      </c>
      <c r="F28" s="1646">
        <f t="shared" si="1"/>
        <v>0</v>
      </c>
      <c r="G28" s="1933"/>
      <c r="H28" s="194"/>
    </row>
    <row r="29" spans="2:8" ht="15.75" thickBot="1" x14ac:dyDescent="0.3">
      <c r="B29" s="195"/>
      <c r="C29" s="1117"/>
      <c r="D29" s="1139">
        <v>0</v>
      </c>
      <c r="E29" s="1139">
        <v>0</v>
      </c>
      <c r="F29" s="1648">
        <f t="shared" si="1"/>
        <v>0</v>
      </c>
      <c r="G29" s="1933"/>
      <c r="H29" s="194"/>
    </row>
    <row r="30" spans="2:8" ht="16.5" thickTop="1" thickBot="1" x14ac:dyDescent="0.3">
      <c r="B30" s="195"/>
      <c r="C30" s="720" t="s">
        <v>1704</v>
      </c>
      <c r="D30" s="1140">
        <f>SUM(D26:D29)</f>
        <v>0</v>
      </c>
      <c r="E30" s="1140">
        <f>SUM(E26:E29)</f>
        <v>0</v>
      </c>
      <c r="F30" s="1141">
        <f>SUM(D30:E30)</f>
        <v>0</v>
      </c>
      <c r="G30" s="1649"/>
      <c r="H30" s="194"/>
    </row>
    <row r="31" spans="2:8" x14ac:dyDescent="0.25">
      <c r="B31" s="195"/>
      <c r="C31" s="374"/>
      <c r="D31" s="422"/>
      <c r="E31" s="422"/>
      <c r="F31" s="196"/>
      <c r="G31" s="422"/>
      <c r="H31" s="194"/>
    </row>
    <row r="32" spans="2:8" ht="15.75" thickBot="1" x14ac:dyDescent="0.3">
      <c r="B32" s="195"/>
      <c r="C32" s="595" t="s">
        <v>345</v>
      </c>
      <c r="D32" s="422"/>
      <c r="E32" s="422"/>
      <c r="F32" s="422"/>
      <c r="G32" s="422"/>
      <c r="H32" s="194"/>
    </row>
    <row r="33" spans="2:8" ht="15" customHeight="1" x14ac:dyDescent="0.25">
      <c r="B33" s="195"/>
      <c r="C33" s="2501" t="s">
        <v>298</v>
      </c>
      <c r="D33" s="2499" t="s">
        <v>340</v>
      </c>
      <c r="E33" s="2499" t="s">
        <v>341</v>
      </c>
      <c r="F33" s="2499" t="s">
        <v>342</v>
      </c>
      <c r="G33" s="2499" t="s">
        <v>343</v>
      </c>
      <c r="H33" s="194"/>
    </row>
    <row r="34" spans="2:8" ht="15.75" thickBot="1" x14ac:dyDescent="0.3">
      <c r="B34" s="195"/>
      <c r="C34" s="2504"/>
      <c r="D34" s="2503"/>
      <c r="E34" s="2503"/>
      <c r="F34" s="2500"/>
      <c r="G34" s="2503"/>
      <c r="H34" s="194"/>
    </row>
    <row r="35" spans="2:8" x14ac:dyDescent="0.25">
      <c r="B35" s="195"/>
      <c r="C35" s="1113"/>
      <c r="D35" s="1136">
        <v>0</v>
      </c>
      <c r="E35" s="1136">
        <v>0</v>
      </c>
      <c r="F35" s="1645">
        <f t="shared" ref="F35:F38" si="2">SUM(D35:E35)</f>
        <v>0</v>
      </c>
      <c r="G35" s="1929"/>
      <c r="H35" s="194"/>
    </row>
    <row r="36" spans="2:8" x14ac:dyDescent="0.25">
      <c r="B36" s="195"/>
      <c r="C36" s="1925"/>
      <c r="D36" s="1138">
        <v>0</v>
      </c>
      <c r="E36" s="1138">
        <v>0</v>
      </c>
      <c r="F36" s="1646">
        <f t="shared" si="2"/>
        <v>0</v>
      </c>
      <c r="G36" s="1934"/>
      <c r="H36" s="194"/>
    </row>
    <row r="37" spans="2:8" x14ac:dyDescent="0.25">
      <c r="B37" s="195"/>
      <c r="C37" s="1068"/>
      <c r="D37" s="1137">
        <v>0</v>
      </c>
      <c r="E37" s="1137">
        <v>0</v>
      </c>
      <c r="F37" s="1646">
        <f t="shared" si="2"/>
        <v>0</v>
      </c>
      <c r="G37" s="1930"/>
      <c r="H37" s="194"/>
    </row>
    <row r="38" spans="2:8" ht="15.75" thickBot="1" x14ac:dyDescent="0.3">
      <c r="B38" s="1650"/>
      <c r="C38" s="1069"/>
      <c r="D38" s="1139">
        <v>0</v>
      </c>
      <c r="E38" s="1139">
        <v>0</v>
      </c>
      <c r="F38" s="1648">
        <f t="shared" si="2"/>
        <v>0</v>
      </c>
      <c r="G38" s="1935"/>
      <c r="H38" s="1651"/>
    </row>
    <row r="39" spans="2:8" ht="16.5" thickTop="1" thickBot="1" x14ac:dyDescent="0.3">
      <c r="B39" s="1650"/>
      <c r="C39" s="720" t="s">
        <v>1705</v>
      </c>
      <c r="D39" s="1140">
        <f>SUM(D35:D38)</f>
        <v>0</v>
      </c>
      <c r="E39" s="1140">
        <f>SUM(E35:E38)</f>
        <v>0</v>
      </c>
      <c r="F39" s="1143">
        <f>SUM(D39:E39)</f>
        <v>0</v>
      </c>
      <c r="G39" s="1652"/>
      <c r="H39" s="1651"/>
    </row>
    <row r="40" spans="2:8" ht="15.75" thickBot="1" x14ac:dyDescent="0.3">
      <c r="B40" s="197"/>
      <c r="C40" s="198"/>
      <c r="D40" s="199"/>
      <c r="E40" s="199"/>
      <c r="F40" s="199"/>
      <c r="G40" s="199"/>
      <c r="H40" s="200"/>
    </row>
  </sheetData>
  <sheetProtection password="D666" sheet="1" objects="1" scenarios="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headerFooter>
    <oddFooter>&amp;LForm 8B
Operating, Service and Rent Subsidy Sources&amp;CCFA Forms&amp;REdition: 2016
Version: 1.0</oddFooter>
  </headerFooter>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T62"/>
  <sheetViews>
    <sheetView showGridLines="0" topLeftCell="A38" zoomScale="125" zoomScaleNormal="125" zoomScalePageLayoutView="125" workbookViewId="0">
      <selection activeCell="C57" sqref="C57:P61"/>
    </sheetView>
  </sheetViews>
  <sheetFormatPr defaultColWidth="8.85546875" defaultRowHeight="15" x14ac:dyDescent="0.25"/>
  <cols>
    <col min="1" max="2" width="1.7109375" style="395" customWidth="1"/>
    <col min="3" max="3" width="20" style="395" customWidth="1"/>
    <col min="4" max="4" width="11.42578125" style="395" bestFit="1" customWidth="1"/>
    <col min="5" max="5" width="14.28515625" style="395" customWidth="1"/>
    <col min="6" max="8" width="8.85546875" style="395"/>
    <col min="9" max="9" width="7.28515625" style="395" bestFit="1" customWidth="1"/>
    <col min="10" max="10" width="6.85546875" style="395" bestFit="1" customWidth="1"/>
    <col min="11" max="11" width="12.140625" style="395" customWidth="1"/>
    <col min="12" max="12" width="13" style="395" customWidth="1"/>
    <col min="13" max="13" width="2.85546875" style="395" customWidth="1"/>
    <col min="14" max="14" width="11.42578125" style="395" customWidth="1"/>
    <col min="15" max="18" width="10" style="395" bestFit="1" customWidth="1"/>
    <col min="19" max="19" width="1.7109375" style="395" customWidth="1"/>
    <col min="20" max="20" width="19.85546875" style="2172" bestFit="1" customWidth="1"/>
    <col min="21" max="16384" width="8.85546875" style="395"/>
  </cols>
  <sheetData>
    <row r="8" spans="2:19" ht="9" customHeight="1" thickBot="1" x14ac:dyDescent="0.3"/>
    <row r="9" spans="2:19" ht="9" customHeight="1" x14ac:dyDescent="0.25">
      <c r="B9" s="201"/>
      <c r="C9" s="202"/>
      <c r="D9" s="202"/>
      <c r="E9" s="203"/>
      <c r="F9" s="203"/>
      <c r="G9" s="204"/>
      <c r="H9" s="205"/>
      <c r="I9" s="205"/>
      <c r="J9" s="205"/>
      <c r="K9" s="206"/>
      <c r="L9" s="204"/>
      <c r="M9" s="204"/>
      <c r="N9" s="207"/>
      <c r="O9" s="203"/>
      <c r="P9" s="204"/>
      <c r="Q9" s="204"/>
      <c r="R9" s="204"/>
      <c r="S9" s="208"/>
    </row>
    <row r="10" spans="2:19" ht="18.75" x14ac:dyDescent="0.3">
      <c r="B10" s="209"/>
      <c r="C10" s="2283" t="s">
        <v>1161</v>
      </c>
      <c r="D10" s="2283"/>
      <c r="E10" s="2283"/>
      <c r="F10" s="2283"/>
      <c r="G10" s="2283"/>
      <c r="H10" s="2283"/>
      <c r="I10" s="2283"/>
      <c r="J10" s="2283"/>
      <c r="K10" s="2283"/>
      <c r="L10" s="2283"/>
      <c r="M10" s="2283"/>
      <c r="N10" s="2283"/>
      <c r="O10" s="2283"/>
      <c r="P10" s="2283"/>
      <c r="Q10" s="2283"/>
      <c r="R10" s="2283"/>
      <c r="S10" s="194"/>
    </row>
    <row r="11" spans="2:19" x14ac:dyDescent="0.25">
      <c r="B11" s="209"/>
      <c r="C11" s="422"/>
      <c r="D11" s="422"/>
      <c r="E11" s="210"/>
      <c r="F11" s="210"/>
      <c r="G11" s="211"/>
      <c r="H11" s="212"/>
      <c r="I11" s="212"/>
      <c r="J11" s="212"/>
      <c r="K11" s="213"/>
      <c r="L11" s="211"/>
      <c r="M11" s="211"/>
      <c r="N11" s="214"/>
      <c r="O11" s="210"/>
      <c r="P11" s="211"/>
      <c r="Q11" s="211"/>
      <c r="R11" s="568"/>
      <c r="S11" s="194"/>
    </row>
    <row r="12" spans="2:19" ht="15.75" thickBot="1" x14ac:dyDescent="0.3">
      <c r="B12" s="209"/>
      <c r="C12" s="2508" t="str">
        <f>IF('1'!G5="","Enter Project Name on Form 1",(CONCATENATE("Project Name: ",'1'!G5)))</f>
        <v>Project Name: Compass Broadview</v>
      </c>
      <c r="D12" s="2508"/>
      <c r="E12" s="2508"/>
      <c r="F12" s="2508"/>
      <c r="G12" s="2508"/>
      <c r="H12" s="2508"/>
      <c r="I12" s="2508"/>
      <c r="J12" s="2509"/>
      <c r="K12" s="2508"/>
      <c r="L12" s="2508"/>
      <c r="M12" s="367"/>
      <c r="N12" s="367"/>
      <c r="O12" s="422"/>
      <c r="P12" s="422"/>
      <c r="Q12" s="422"/>
      <c r="R12" s="568"/>
      <c r="S12" s="230"/>
    </row>
    <row r="13" spans="2:19" ht="15.75" thickBot="1" x14ac:dyDescent="0.3">
      <c r="B13" s="209"/>
      <c r="C13" s="373"/>
      <c r="D13" s="373"/>
      <c r="E13" s="373"/>
      <c r="F13" s="373"/>
      <c r="G13" s="373"/>
      <c r="H13" s="373"/>
      <c r="I13" s="373"/>
      <c r="J13" s="373"/>
      <c r="K13" s="373"/>
      <c r="L13" s="373"/>
      <c r="M13" s="215"/>
      <c r="N13" s="373"/>
      <c r="O13" s="373"/>
      <c r="P13" s="373"/>
      <c r="Q13" s="373"/>
      <c r="R13" s="373"/>
      <c r="S13" s="194"/>
    </row>
    <row r="14" spans="2:19" ht="16.5" thickBot="1" x14ac:dyDescent="0.3">
      <c r="B14" s="209"/>
      <c r="C14" s="2510" t="s">
        <v>633</v>
      </c>
      <c r="D14" s="2511"/>
      <c r="E14" s="2512"/>
      <c r="F14" s="2512"/>
      <c r="G14" s="2512"/>
      <c r="H14" s="2512"/>
      <c r="I14" s="2512"/>
      <c r="J14" s="2511"/>
      <c r="K14" s="2512"/>
      <c r="L14" s="2513"/>
      <c r="M14" s="215"/>
      <c r="N14" s="2514" t="s">
        <v>634</v>
      </c>
      <c r="O14" s="2515"/>
      <c r="P14" s="2515"/>
      <c r="Q14" s="2516"/>
      <c r="R14" s="2517"/>
      <c r="S14" s="194"/>
    </row>
    <row r="15" spans="2:19" ht="78" thickBot="1" x14ac:dyDescent="0.3">
      <c r="B15" s="216"/>
      <c r="C15" s="721" t="s">
        <v>632</v>
      </c>
      <c r="D15" s="596" t="s">
        <v>638</v>
      </c>
      <c r="E15" s="596" t="s">
        <v>346</v>
      </c>
      <c r="F15" s="597" t="s">
        <v>347</v>
      </c>
      <c r="G15" s="598" t="s">
        <v>348</v>
      </c>
      <c r="H15" s="597" t="s">
        <v>349</v>
      </c>
      <c r="I15" s="1961" t="s">
        <v>1712</v>
      </c>
      <c r="J15" s="597" t="s">
        <v>1711</v>
      </c>
      <c r="K15" s="598" t="s">
        <v>350</v>
      </c>
      <c r="L15" s="599" t="s">
        <v>354</v>
      </c>
      <c r="M15" s="215"/>
      <c r="N15" s="693" t="s">
        <v>356</v>
      </c>
      <c r="O15" s="1072" t="str">
        <f>IF('8B'!C26="","Enter Source Name on Form 8B",'8B'!C26)</f>
        <v>Enter Source Name on Form 8B</v>
      </c>
      <c r="P15" s="1073" t="str">
        <f>IF('8B'!C27="","Enter Source Name on Form 8B",'8B'!C27)</f>
        <v>Enter Source Name on Form 8B</v>
      </c>
      <c r="Q15" s="1073" t="str">
        <f>IF('8B'!C28="","Enter Source Name on Form 8B",'8B'!C28)</f>
        <v>Enter Source Name on Form 8B</v>
      </c>
      <c r="R15" s="1074" t="str">
        <f>IF('8B'!C29="","Enter Source Name on Form 8B",'8B'!C29)</f>
        <v>Enter Source Name on Form 8B</v>
      </c>
      <c r="S15" s="194"/>
    </row>
    <row r="16" spans="2:19" x14ac:dyDescent="0.25">
      <c r="B16" s="216"/>
      <c r="C16" s="949"/>
      <c r="D16" s="1027"/>
      <c r="E16" s="790"/>
      <c r="F16" s="1144"/>
      <c r="G16" s="791"/>
      <c r="H16" s="1653">
        <f>F16*G16</f>
        <v>0</v>
      </c>
      <c r="I16" s="791"/>
      <c r="J16" s="791"/>
      <c r="K16" s="1962">
        <f>H16*J16</f>
        <v>0</v>
      </c>
      <c r="L16" s="1654">
        <f>IF(I16="Percent",(H16*K16),K16)</f>
        <v>0</v>
      </c>
      <c r="M16" s="217"/>
      <c r="N16" s="1149">
        <v>0</v>
      </c>
      <c r="O16" s="1150">
        <v>0</v>
      </c>
      <c r="P16" s="1150">
        <v>0</v>
      </c>
      <c r="Q16" s="1919">
        <v>0</v>
      </c>
      <c r="R16" s="1151">
        <v>0</v>
      </c>
      <c r="S16" s="218"/>
    </row>
    <row r="17" spans="2:20" ht="26.25" x14ac:dyDescent="0.25">
      <c r="B17" s="209"/>
      <c r="C17" s="950" t="s">
        <v>1898</v>
      </c>
      <c r="D17" s="1028" t="s">
        <v>635</v>
      </c>
      <c r="E17" s="967" t="s">
        <v>1807</v>
      </c>
      <c r="F17" s="1145">
        <v>50000</v>
      </c>
      <c r="G17" s="793">
        <v>1</v>
      </c>
      <c r="H17" s="1655">
        <f t="shared" ref="H17:H24" si="0">F17*G17</f>
        <v>50000</v>
      </c>
      <c r="I17" s="793" t="s">
        <v>1715</v>
      </c>
      <c r="J17" s="1965">
        <v>0.35</v>
      </c>
      <c r="K17" s="1963">
        <f t="shared" ref="K17:K24" si="1">H17*J17</f>
        <v>17500</v>
      </c>
      <c r="L17" s="1656">
        <f t="shared" ref="L17:L24" si="2">H17+K17</f>
        <v>67500</v>
      </c>
      <c r="M17" s="217"/>
      <c r="N17" s="1152">
        <f>L17</f>
        <v>67500</v>
      </c>
      <c r="O17" s="1146">
        <v>0</v>
      </c>
      <c r="P17" s="1146">
        <v>0</v>
      </c>
      <c r="Q17" s="1920">
        <v>0</v>
      </c>
      <c r="R17" s="1153">
        <v>0</v>
      </c>
      <c r="S17" s="219"/>
    </row>
    <row r="18" spans="2:20" ht="26.25" x14ac:dyDescent="0.25">
      <c r="B18" s="209"/>
      <c r="C18" s="950" t="s">
        <v>1927</v>
      </c>
      <c r="D18" s="1028" t="s">
        <v>635</v>
      </c>
      <c r="E18" s="967" t="s">
        <v>1807</v>
      </c>
      <c r="F18" s="1145">
        <f>50000</f>
        <v>50000</v>
      </c>
      <c r="G18" s="793">
        <v>1</v>
      </c>
      <c r="H18" s="1655">
        <f t="shared" si="0"/>
        <v>50000</v>
      </c>
      <c r="I18" s="793" t="s">
        <v>1715</v>
      </c>
      <c r="J18" s="793">
        <v>0.35</v>
      </c>
      <c r="K18" s="1988">
        <f t="shared" si="1"/>
        <v>17500</v>
      </c>
      <c r="L18" s="1656">
        <f t="shared" si="2"/>
        <v>67500</v>
      </c>
      <c r="M18" s="217"/>
      <c r="N18" s="1152">
        <f>L18</f>
        <v>67500</v>
      </c>
      <c r="O18" s="1146">
        <v>0</v>
      </c>
      <c r="P18" s="1146">
        <v>0</v>
      </c>
      <c r="Q18" s="1920">
        <v>0</v>
      </c>
      <c r="R18" s="1153">
        <v>0</v>
      </c>
      <c r="S18" s="194"/>
    </row>
    <row r="19" spans="2:20" ht="26.25" hidden="1" x14ac:dyDescent="0.25">
      <c r="B19" s="209"/>
      <c r="C19" s="1881" t="s">
        <v>2046</v>
      </c>
      <c r="D19" s="1028" t="s">
        <v>635</v>
      </c>
      <c r="E19" s="967" t="s">
        <v>1807</v>
      </c>
      <c r="F19" s="1145">
        <f>18*8*5*52</f>
        <v>37440</v>
      </c>
      <c r="G19" s="793">
        <v>0</v>
      </c>
      <c r="H19" s="1655">
        <f t="shared" si="0"/>
        <v>0</v>
      </c>
      <c r="I19" s="793" t="s">
        <v>1715</v>
      </c>
      <c r="J19" s="793">
        <v>0.35</v>
      </c>
      <c r="K19" s="1963">
        <f t="shared" si="1"/>
        <v>0</v>
      </c>
      <c r="L19" s="1656">
        <f t="shared" si="2"/>
        <v>0</v>
      </c>
      <c r="M19" s="217"/>
      <c r="N19" s="1152">
        <f>L19</f>
        <v>0</v>
      </c>
      <c r="O19" s="1146">
        <v>0</v>
      </c>
      <c r="P19" s="1146">
        <v>0</v>
      </c>
      <c r="Q19" s="1920">
        <v>0</v>
      </c>
      <c r="R19" s="1153">
        <v>0</v>
      </c>
      <c r="S19" s="194"/>
      <c r="T19" s="2172" t="s">
        <v>2047</v>
      </c>
    </row>
    <row r="20" spans="2:20" x14ac:dyDescent="0.25">
      <c r="B20" s="209"/>
      <c r="C20" s="950"/>
      <c r="D20" s="1028"/>
      <c r="E20" s="967"/>
      <c r="F20" s="1145">
        <v>0</v>
      </c>
      <c r="G20" s="793">
        <v>0</v>
      </c>
      <c r="H20" s="1655">
        <f t="shared" si="0"/>
        <v>0</v>
      </c>
      <c r="I20" s="793"/>
      <c r="J20" s="793">
        <v>0</v>
      </c>
      <c r="K20" s="1963">
        <f t="shared" si="1"/>
        <v>0</v>
      </c>
      <c r="L20" s="1656">
        <f t="shared" si="2"/>
        <v>0</v>
      </c>
      <c r="M20" s="217"/>
      <c r="N20" s="1152">
        <v>0</v>
      </c>
      <c r="O20" s="1146">
        <v>0</v>
      </c>
      <c r="P20" s="1146">
        <v>0</v>
      </c>
      <c r="Q20" s="1920">
        <v>0</v>
      </c>
      <c r="R20" s="1153">
        <v>0</v>
      </c>
      <c r="S20" s="194"/>
    </row>
    <row r="21" spans="2:20" x14ac:dyDescent="0.25">
      <c r="B21" s="209"/>
      <c r="C21" s="950"/>
      <c r="D21" s="1028"/>
      <c r="E21" s="967"/>
      <c r="F21" s="1146">
        <v>0</v>
      </c>
      <c r="G21" s="793">
        <v>0</v>
      </c>
      <c r="H21" s="1655">
        <f t="shared" si="0"/>
        <v>0</v>
      </c>
      <c r="I21" s="793"/>
      <c r="J21" s="793">
        <v>0</v>
      </c>
      <c r="K21" s="1963">
        <f t="shared" si="1"/>
        <v>0</v>
      </c>
      <c r="L21" s="1656">
        <f t="shared" si="2"/>
        <v>0</v>
      </c>
      <c r="M21" s="217"/>
      <c r="N21" s="1152">
        <v>0</v>
      </c>
      <c r="O21" s="1146">
        <v>0</v>
      </c>
      <c r="P21" s="1146">
        <v>0</v>
      </c>
      <c r="Q21" s="1920">
        <v>0</v>
      </c>
      <c r="R21" s="1153">
        <v>0</v>
      </c>
      <c r="S21" s="194"/>
    </row>
    <row r="22" spans="2:20" x14ac:dyDescent="0.25">
      <c r="B22" s="209"/>
      <c r="C22" s="950"/>
      <c r="D22" s="1028"/>
      <c r="E22" s="967"/>
      <c r="F22" s="1146">
        <v>0</v>
      </c>
      <c r="G22" s="793">
        <v>0</v>
      </c>
      <c r="H22" s="1655">
        <f t="shared" si="0"/>
        <v>0</v>
      </c>
      <c r="I22" s="793"/>
      <c r="J22" s="793">
        <v>0</v>
      </c>
      <c r="K22" s="1963">
        <f t="shared" si="1"/>
        <v>0</v>
      </c>
      <c r="L22" s="1656">
        <f t="shared" si="2"/>
        <v>0</v>
      </c>
      <c r="M22" s="217"/>
      <c r="N22" s="1152">
        <v>0</v>
      </c>
      <c r="O22" s="1146">
        <v>0</v>
      </c>
      <c r="P22" s="1146">
        <v>0</v>
      </c>
      <c r="Q22" s="1920">
        <v>0</v>
      </c>
      <c r="R22" s="1153">
        <v>0</v>
      </c>
      <c r="S22" s="194"/>
    </row>
    <row r="23" spans="2:20" x14ac:dyDescent="0.25">
      <c r="B23" s="209"/>
      <c r="C23" s="950"/>
      <c r="D23" s="1028"/>
      <c r="E23" s="967"/>
      <c r="F23" s="1146">
        <v>0</v>
      </c>
      <c r="G23" s="793">
        <v>0</v>
      </c>
      <c r="H23" s="1655">
        <f t="shared" si="0"/>
        <v>0</v>
      </c>
      <c r="I23" s="793"/>
      <c r="J23" s="793">
        <v>0</v>
      </c>
      <c r="K23" s="1963">
        <f t="shared" si="1"/>
        <v>0</v>
      </c>
      <c r="L23" s="1656">
        <f t="shared" si="2"/>
        <v>0</v>
      </c>
      <c r="M23" s="217"/>
      <c r="N23" s="1152">
        <v>0</v>
      </c>
      <c r="O23" s="1146">
        <v>0</v>
      </c>
      <c r="P23" s="1146">
        <v>0</v>
      </c>
      <c r="Q23" s="1920">
        <v>0</v>
      </c>
      <c r="R23" s="1153">
        <v>0</v>
      </c>
      <c r="S23" s="194"/>
    </row>
    <row r="24" spans="2:20" x14ac:dyDescent="0.25">
      <c r="B24" s="209"/>
      <c r="C24" s="1032"/>
      <c r="D24" s="1034"/>
      <c r="E24" s="1015"/>
      <c r="F24" s="1147">
        <v>0</v>
      </c>
      <c r="G24" s="1033">
        <v>0</v>
      </c>
      <c r="H24" s="1657">
        <f t="shared" si="0"/>
        <v>0</v>
      </c>
      <c r="I24" s="1372"/>
      <c r="J24" s="1372">
        <v>0</v>
      </c>
      <c r="K24" s="1964">
        <f t="shared" si="1"/>
        <v>0</v>
      </c>
      <c r="L24" s="1659">
        <f t="shared" si="2"/>
        <v>0</v>
      </c>
      <c r="M24" s="217"/>
      <c r="N24" s="1154">
        <v>0</v>
      </c>
      <c r="O24" s="1147">
        <v>0</v>
      </c>
      <c r="P24" s="1147">
        <v>0</v>
      </c>
      <c r="Q24" s="1921">
        <v>0</v>
      </c>
      <c r="R24" s="1155">
        <v>0</v>
      </c>
      <c r="S24" s="194"/>
    </row>
    <row r="25" spans="2:20" x14ac:dyDescent="0.25">
      <c r="B25" s="209"/>
      <c r="C25" s="1660"/>
      <c r="D25" s="1661"/>
      <c r="E25" s="1662"/>
      <c r="F25" s="1663"/>
      <c r="G25" s="1664"/>
      <c r="H25" s="1369"/>
      <c r="I25" s="2520" t="s">
        <v>1153</v>
      </c>
      <c r="J25" s="2520"/>
      <c r="K25" s="2521"/>
      <c r="L25" s="1665">
        <f>SUMIF(D16:D24,"On Site",L16:L24)</f>
        <v>135000</v>
      </c>
      <c r="M25" s="217"/>
      <c r="N25" s="1666"/>
      <c r="O25" s="1667"/>
      <c r="P25" s="1667"/>
      <c r="Q25" s="1922"/>
      <c r="R25" s="1668"/>
      <c r="S25" s="194"/>
    </row>
    <row r="26" spans="2:20" ht="15.75" thickBot="1" x14ac:dyDescent="0.3">
      <c r="B26" s="209"/>
      <c r="C26" s="1660"/>
      <c r="D26" s="1661"/>
      <c r="E26" s="1662"/>
      <c r="F26" s="1663"/>
      <c r="G26" s="1664"/>
      <c r="H26" s="1369"/>
      <c r="I26" s="2520" t="s">
        <v>1154</v>
      </c>
      <c r="J26" s="2520"/>
      <c r="K26" s="2521"/>
      <c r="L26" s="1669">
        <f>SUMIF(D16:D24,"Off Site",L16:L24)</f>
        <v>0</v>
      </c>
      <c r="M26" s="217"/>
      <c r="N26" s="1666"/>
      <c r="O26" s="1667"/>
      <c r="P26" s="1667"/>
      <c r="Q26" s="1922"/>
      <c r="R26" s="1668"/>
      <c r="S26" s="194"/>
    </row>
    <row r="27" spans="2:20" ht="17.25" thickTop="1" thickBot="1" x14ac:dyDescent="0.3">
      <c r="B27" s="220"/>
      <c r="C27" s="2518" t="s">
        <v>351</v>
      </c>
      <c r="D27" s="2519"/>
      <c r="E27" s="2519"/>
      <c r="F27" s="2519"/>
      <c r="G27" s="2519"/>
      <c r="H27" s="1370"/>
      <c r="I27" s="1370"/>
      <c r="J27" s="1370"/>
      <c r="K27" s="1371"/>
      <c r="L27" s="1148">
        <f>SUM(L16:L24)</f>
        <v>135000</v>
      </c>
      <c r="M27" s="222"/>
      <c r="N27" s="1156">
        <f>SUM(N16:N24)</f>
        <v>135000</v>
      </c>
      <c r="O27" s="1157">
        <f>SUM(O16:O24)</f>
        <v>0</v>
      </c>
      <c r="P27" s="1157">
        <f>SUM(P16:P24)</f>
        <v>0</v>
      </c>
      <c r="Q27" s="1157">
        <f>SUM(Q16:Q24)</f>
        <v>0</v>
      </c>
      <c r="R27" s="1158">
        <f>SUM(R16:R24)</f>
        <v>0</v>
      </c>
      <c r="S27" s="194"/>
    </row>
    <row r="28" spans="2:20" ht="15" customHeight="1" x14ac:dyDescent="0.25">
      <c r="B28" s="220"/>
      <c r="C28" s="225"/>
      <c r="D28" s="225"/>
      <c r="E28" s="225"/>
      <c r="F28" s="225"/>
      <c r="G28" s="225"/>
      <c r="H28" s="228"/>
      <c r="I28" s="228"/>
      <c r="J28" s="228"/>
      <c r="K28" s="223"/>
      <c r="L28" s="1135" t="str">
        <f>IF(L27&gt;(SUM(N27:R27)),"WARNING - Costs Exceed Listed Funding","")</f>
        <v/>
      </c>
      <c r="M28" s="223"/>
      <c r="N28" s="2525" t="str">
        <f>IF(SUM(O27:R27)&lt;&gt;'8B'!F30,"WARNING - Total for non-Cash Flow sources does not match Total for Operating Subsidy on 8B","")</f>
        <v/>
      </c>
      <c r="O28" s="2525"/>
      <c r="P28" s="2525"/>
      <c r="Q28" s="2525"/>
      <c r="R28" s="2525"/>
      <c r="S28" s="194"/>
    </row>
    <row r="29" spans="2:20" ht="15" customHeight="1" thickBot="1" x14ac:dyDescent="0.3">
      <c r="B29" s="220"/>
      <c r="C29" s="225"/>
      <c r="D29" s="225"/>
      <c r="E29" s="225"/>
      <c r="F29" s="225"/>
      <c r="G29" s="225"/>
      <c r="H29" s="228"/>
      <c r="I29" s="228"/>
      <c r="J29" s="228"/>
      <c r="K29" s="223"/>
      <c r="L29" s="223"/>
      <c r="M29" s="223"/>
      <c r="N29" s="2526"/>
      <c r="O29" s="2526"/>
      <c r="P29" s="2526"/>
      <c r="Q29" s="2526"/>
      <c r="R29" s="2526"/>
      <c r="S29" s="194"/>
    </row>
    <row r="30" spans="2:20" ht="16.5" thickBot="1" x14ac:dyDescent="0.3">
      <c r="B30" s="209"/>
      <c r="C30" s="2510" t="s">
        <v>352</v>
      </c>
      <c r="D30" s="2511"/>
      <c r="E30" s="2511"/>
      <c r="F30" s="2511"/>
      <c r="G30" s="2511"/>
      <c r="H30" s="2511"/>
      <c r="I30" s="2511"/>
      <c r="J30" s="2511"/>
      <c r="K30" s="2511"/>
      <c r="L30" s="2524"/>
      <c r="M30" s="373"/>
      <c r="N30" s="2514" t="s">
        <v>355</v>
      </c>
      <c r="O30" s="2515"/>
      <c r="P30" s="2515"/>
      <c r="Q30" s="2516"/>
      <c r="R30" s="2517"/>
      <c r="S30" s="194"/>
    </row>
    <row r="31" spans="2:20" ht="78" thickBot="1" x14ac:dyDescent="0.3">
      <c r="B31" s="220"/>
      <c r="C31" s="2528" t="s">
        <v>353</v>
      </c>
      <c r="D31" s="2529"/>
      <c r="E31" s="1392" t="s">
        <v>346</v>
      </c>
      <c r="F31" s="1393" t="s">
        <v>347</v>
      </c>
      <c r="G31" s="1394" t="s">
        <v>348</v>
      </c>
      <c r="H31" s="1393" t="s">
        <v>349</v>
      </c>
      <c r="I31" s="1961" t="s">
        <v>1712</v>
      </c>
      <c r="J31" s="597" t="s">
        <v>1711</v>
      </c>
      <c r="K31" s="1394" t="s">
        <v>350</v>
      </c>
      <c r="L31" s="1395" t="s">
        <v>354</v>
      </c>
      <c r="M31" s="215"/>
      <c r="N31" s="693" t="s">
        <v>356</v>
      </c>
      <c r="O31" s="601" t="str">
        <f>IF('8B'!C35="","Enter Source Name on Form 8B",'8B'!C35)</f>
        <v>Enter Source Name on Form 8B</v>
      </c>
      <c r="P31" s="601" t="str">
        <f>IF('8B'!C36="","Enter Source Name on Form 8B",'8B'!C36)</f>
        <v>Enter Source Name on Form 8B</v>
      </c>
      <c r="Q31" s="1923" t="str">
        <f>IF('8B'!C37="","Enter Source Name on Form 8B",'8B'!C37)</f>
        <v>Enter Source Name on Form 8B</v>
      </c>
      <c r="R31" s="602" t="str">
        <f>IF('8B'!C38="","Enter Source Name on Form 8B",'8B'!C38)</f>
        <v>Enter Source Name on Form 8B</v>
      </c>
      <c r="S31" s="194"/>
    </row>
    <row r="32" spans="2:20" ht="15" customHeight="1" x14ac:dyDescent="0.25">
      <c r="B32" s="220"/>
      <c r="C32" s="2530" t="s">
        <v>1820</v>
      </c>
      <c r="D32" s="2531"/>
      <c r="E32" s="790" t="s">
        <v>1807</v>
      </c>
      <c r="F32" s="1144">
        <v>60450</v>
      </c>
      <c r="G32" s="791">
        <v>1</v>
      </c>
      <c r="H32" s="1653">
        <f t="shared" ref="H32:H40" si="3">F32*G32</f>
        <v>60450</v>
      </c>
      <c r="I32" s="791" t="s">
        <v>1715</v>
      </c>
      <c r="J32" s="791">
        <v>0.35</v>
      </c>
      <c r="K32" s="1962">
        <f>H32*J32</f>
        <v>21157.5</v>
      </c>
      <c r="L32" s="1654">
        <f>H32+K32</f>
        <v>81607.5</v>
      </c>
      <c r="M32" s="217"/>
      <c r="N32" s="1149">
        <f>L32</f>
        <v>81607.5</v>
      </c>
      <c r="O32" s="1150">
        <v>0</v>
      </c>
      <c r="P32" s="1150">
        <v>0</v>
      </c>
      <c r="Q32" s="1919">
        <v>0</v>
      </c>
      <c r="R32" s="1151">
        <v>0</v>
      </c>
      <c r="S32" s="194"/>
    </row>
    <row r="33" spans="2:19" ht="15" customHeight="1" x14ac:dyDescent="0.25">
      <c r="B33" s="220"/>
      <c r="C33" s="2532" t="s">
        <v>1899</v>
      </c>
      <c r="D33" s="2533"/>
      <c r="E33" s="792" t="s">
        <v>1807</v>
      </c>
      <c r="F33" s="1145">
        <v>38500</v>
      </c>
      <c r="G33" s="793">
        <v>1.5</v>
      </c>
      <c r="H33" s="1655">
        <f t="shared" si="3"/>
        <v>57750</v>
      </c>
      <c r="I33" s="793" t="s">
        <v>1715</v>
      </c>
      <c r="J33" s="1965">
        <v>0.35</v>
      </c>
      <c r="K33" s="1963">
        <f t="shared" ref="K33:K40" si="4">H33*J33</f>
        <v>20212.5</v>
      </c>
      <c r="L33" s="1656">
        <f t="shared" ref="L33:L40" si="5">H33+K33</f>
        <v>77962.5</v>
      </c>
      <c r="M33" s="217"/>
      <c r="N33" s="1152">
        <f>L33</f>
        <v>77962.5</v>
      </c>
      <c r="O33" s="1146">
        <v>0</v>
      </c>
      <c r="P33" s="1146">
        <v>0</v>
      </c>
      <c r="Q33" s="1920">
        <v>0</v>
      </c>
      <c r="R33" s="1153">
        <v>0</v>
      </c>
      <c r="S33" s="194"/>
    </row>
    <row r="34" spans="2:19" ht="15" customHeight="1" x14ac:dyDescent="0.25">
      <c r="B34" s="220"/>
      <c r="C34" s="2532" t="s">
        <v>1928</v>
      </c>
      <c r="D34" s="2533"/>
      <c r="E34" s="792" t="s">
        <v>1807</v>
      </c>
      <c r="F34" s="1145">
        <v>38500</v>
      </c>
      <c r="G34" s="793">
        <v>1</v>
      </c>
      <c r="H34" s="1655">
        <f t="shared" si="3"/>
        <v>38500</v>
      </c>
      <c r="I34" s="793" t="s">
        <v>1715</v>
      </c>
      <c r="J34" s="793">
        <v>0.35</v>
      </c>
      <c r="K34" s="2230">
        <f t="shared" si="4"/>
        <v>13475</v>
      </c>
      <c r="L34" s="1656">
        <f t="shared" si="5"/>
        <v>51975</v>
      </c>
      <c r="M34" s="217"/>
      <c r="N34" s="1152">
        <f>L34</f>
        <v>51975</v>
      </c>
      <c r="O34" s="1146">
        <v>0</v>
      </c>
      <c r="P34" s="1146">
        <v>0</v>
      </c>
      <c r="Q34" s="1920">
        <v>0</v>
      </c>
      <c r="R34" s="1153">
        <v>0</v>
      </c>
      <c r="S34" s="194"/>
    </row>
    <row r="35" spans="2:19" ht="15" customHeight="1" x14ac:dyDescent="0.25">
      <c r="B35" s="220"/>
      <c r="C35" s="2532"/>
      <c r="D35" s="2533"/>
      <c r="E35" s="792"/>
      <c r="F35" s="1145"/>
      <c r="G35" s="793"/>
      <c r="H35" s="1655">
        <f t="shared" si="3"/>
        <v>0</v>
      </c>
      <c r="I35" s="793"/>
      <c r="J35" s="793"/>
      <c r="K35" s="1963">
        <f t="shared" si="4"/>
        <v>0</v>
      </c>
      <c r="L35" s="1656">
        <f t="shared" si="5"/>
        <v>0</v>
      </c>
      <c r="M35" s="217"/>
      <c r="N35" s="1152">
        <f>L35</f>
        <v>0</v>
      </c>
      <c r="O35" s="1146">
        <v>0</v>
      </c>
      <c r="P35" s="1146">
        <v>0</v>
      </c>
      <c r="Q35" s="1920">
        <v>0</v>
      </c>
      <c r="R35" s="1153">
        <v>0</v>
      </c>
      <c r="S35" s="194"/>
    </row>
    <row r="36" spans="2:19" ht="15" customHeight="1" x14ac:dyDescent="0.25">
      <c r="B36" s="220"/>
      <c r="C36" s="2532"/>
      <c r="D36" s="2533"/>
      <c r="E36" s="792"/>
      <c r="F36" s="1145">
        <v>0</v>
      </c>
      <c r="G36" s="793">
        <v>0</v>
      </c>
      <c r="H36" s="1655">
        <f t="shared" si="3"/>
        <v>0</v>
      </c>
      <c r="I36" s="793">
        <v>0</v>
      </c>
      <c r="J36" s="793"/>
      <c r="K36" s="1963">
        <f t="shared" si="4"/>
        <v>0</v>
      </c>
      <c r="L36" s="1656">
        <f t="shared" si="5"/>
        <v>0</v>
      </c>
      <c r="M36" s="217"/>
      <c r="N36" s="1152">
        <v>0</v>
      </c>
      <c r="O36" s="1146">
        <v>0</v>
      </c>
      <c r="P36" s="1146">
        <v>0</v>
      </c>
      <c r="Q36" s="1920">
        <v>0</v>
      </c>
      <c r="R36" s="1153">
        <v>0</v>
      </c>
      <c r="S36" s="194"/>
    </row>
    <row r="37" spans="2:19" ht="15" customHeight="1" x14ac:dyDescent="0.25">
      <c r="B37" s="220"/>
      <c r="C37" s="2532"/>
      <c r="D37" s="2533"/>
      <c r="E37" s="792"/>
      <c r="F37" s="1146">
        <v>0</v>
      </c>
      <c r="G37" s="793">
        <v>0</v>
      </c>
      <c r="H37" s="1655">
        <f t="shared" si="3"/>
        <v>0</v>
      </c>
      <c r="I37" s="793">
        <v>0</v>
      </c>
      <c r="J37" s="793"/>
      <c r="K37" s="1963">
        <f t="shared" si="4"/>
        <v>0</v>
      </c>
      <c r="L37" s="1656">
        <f t="shared" si="5"/>
        <v>0</v>
      </c>
      <c r="M37" s="217"/>
      <c r="N37" s="1152">
        <v>0</v>
      </c>
      <c r="O37" s="1146">
        <v>0</v>
      </c>
      <c r="P37" s="1146">
        <v>0</v>
      </c>
      <c r="Q37" s="1920">
        <v>0</v>
      </c>
      <c r="R37" s="1153">
        <v>0</v>
      </c>
      <c r="S37" s="194"/>
    </row>
    <row r="38" spans="2:19" ht="15" customHeight="1" x14ac:dyDescent="0.25">
      <c r="B38" s="220"/>
      <c r="C38" s="2532"/>
      <c r="D38" s="2533"/>
      <c r="E38" s="792"/>
      <c r="F38" s="1146">
        <v>0</v>
      </c>
      <c r="G38" s="793">
        <v>0</v>
      </c>
      <c r="H38" s="1655">
        <f t="shared" si="3"/>
        <v>0</v>
      </c>
      <c r="I38" s="793">
        <v>0</v>
      </c>
      <c r="J38" s="793"/>
      <c r="K38" s="1963">
        <f t="shared" si="4"/>
        <v>0</v>
      </c>
      <c r="L38" s="1656">
        <f t="shared" si="5"/>
        <v>0</v>
      </c>
      <c r="M38" s="217"/>
      <c r="N38" s="1152">
        <v>0</v>
      </c>
      <c r="O38" s="1146">
        <v>0</v>
      </c>
      <c r="P38" s="1146">
        <v>0</v>
      </c>
      <c r="Q38" s="1920">
        <v>0</v>
      </c>
      <c r="R38" s="1153">
        <v>0</v>
      </c>
      <c r="S38" s="194"/>
    </row>
    <row r="39" spans="2:19" ht="15" customHeight="1" x14ac:dyDescent="0.25">
      <c r="B39" s="220"/>
      <c r="C39" s="2532"/>
      <c r="D39" s="2533"/>
      <c r="E39" s="792"/>
      <c r="F39" s="1146">
        <v>0</v>
      </c>
      <c r="G39" s="793">
        <v>0</v>
      </c>
      <c r="H39" s="1655">
        <f t="shared" si="3"/>
        <v>0</v>
      </c>
      <c r="I39" s="793">
        <v>0</v>
      </c>
      <c r="J39" s="793"/>
      <c r="K39" s="1963">
        <f t="shared" si="4"/>
        <v>0</v>
      </c>
      <c r="L39" s="1656">
        <f t="shared" si="5"/>
        <v>0</v>
      </c>
      <c r="M39" s="217"/>
      <c r="N39" s="1152">
        <v>0</v>
      </c>
      <c r="O39" s="1146">
        <v>0</v>
      </c>
      <c r="P39" s="1146">
        <v>0</v>
      </c>
      <c r="Q39" s="1920">
        <v>0</v>
      </c>
      <c r="R39" s="1153">
        <v>0</v>
      </c>
      <c r="S39" s="194"/>
    </row>
    <row r="40" spans="2:19" ht="15" customHeight="1" thickBot="1" x14ac:dyDescent="0.3">
      <c r="B40" s="220"/>
      <c r="C40" s="2560"/>
      <c r="D40" s="2561"/>
      <c r="E40" s="1917"/>
      <c r="F40" s="1164">
        <v>0</v>
      </c>
      <c r="G40" s="1372">
        <v>0</v>
      </c>
      <c r="H40" s="1658">
        <f t="shared" si="3"/>
        <v>0</v>
      </c>
      <c r="I40" s="1372">
        <v>0</v>
      </c>
      <c r="J40" s="1372"/>
      <c r="K40" s="1964">
        <f t="shared" si="4"/>
        <v>0</v>
      </c>
      <c r="L40" s="1659">
        <f t="shared" si="5"/>
        <v>0</v>
      </c>
      <c r="M40" s="217"/>
      <c r="N40" s="1154">
        <v>0</v>
      </c>
      <c r="O40" s="1147">
        <v>0</v>
      </c>
      <c r="P40" s="1147">
        <v>0</v>
      </c>
      <c r="Q40" s="1921">
        <v>0</v>
      </c>
      <c r="R40" s="1155">
        <v>0</v>
      </c>
      <c r="S40" s="194"/>
    </row>
    <row r="41" spans="2:19" ht="15" customHeight="1" thickTop="1" thickBot="1" x14ac:dyDescent="0.3">
      <c r="B41" s="220"/>
      <c r="C41" s="2522" t="s">
        <v>357</v>
      </c>
      <c r="D41" s="2523"/>
      <c r="E41" s="2523"/>
      <c r="F41" s="2523"/>
      <c r="G41" s="221"/>
      <c r="H41" s="221"/>
      <c r="I41" s="1370"/>
      <c r="J41" s="1370"/>
      <c r="K41" s="1371"/>
      <c r="L41" s="1148">
        <f>SUM(L32:L40)</f>
        <v>211545</v>
      </c>
      <c r="M41" s="222"/>
      <c r="N41" s="1926">
        <f>SUM(N32:N40)</f>
        <v>211545</v>
      </c>
      <c r="O41" s="1927">
        <f>SUM(O32:O40)</f>
        <v>0</v>
      </c>
      <c r="P41" s="1927">
        <f>SUM(P32:P40)</f>
        <v>0</v>
      </c>
      <c r="Q41" s="1927">
        <f>SUM(Q32:Q40)</f>
        <v>0</v>
      </c>
      <c r="R41" s="1928">
        <f>SUM(R32:R40)</f>
        <v>0</v>
      </c>
      <c r="S41" s="194"/>
    </row>
    <row r="42" spans="2:19" ht="15" customHeight="1" thickBot="1" x14ac:dyDescent="0.3">
      <c r="B42" s="220"/>
      <c r="C42" s="225"/>
      <c r="D42" s="225"/>
      <c r="E42" s="225"/>
      <c r="F42" s="225"/>
      <c r="G42" s="225"/>
      <c r="H42" s="228"/>
      <c r="I42" s="228"/>
      <c r="J42" s="228"/>
      <c r="K42" s="223"/>
      <c r="L42" s="223"/>
      <c r="M42" s="223"/>
      <c r="N42" s="2527"/>
      <c r="O42" s="2527"/>
      <c r="P42" s="2527"/>
      <c r="Q42" s="2527"/>
      <c r="R42" s="2527"/>
      <c r="S42" s="194"/>
    </row>
    <row r="43" spans="2:19" ht="37.5" thickBot="1" x14ac:dyDescent="0.3">
      <c r="B43" s="220"/>
      <c r="C43" s="2505" t="s">
        <v>1701</v>
      </c>
      <c r="D43" s="2506"/>
      <c r="E43" s="2506"/>
      <c r="F43" s="2506"/>
      <c r="G43" s="2506"/>
      <c r="H43" s="2506"/>
      <c r="I43" s="2506"/>
      <c r="J43" s="2506"/>
      <c r="K43" s="2506"/>
      <c r="L43" s="2507"/>
      <c r="M43" s="223"/>
      <c r="N43" s="694" t="s">
        <v>356</v>
      </c>
      <c r="O43" s="355" t="str">
        <f>O31</f>
        <v>Enter Source Name on Form 8B</v>
      </c>
      <c r="P43" s="355" t="str">
        <f>P31</f>
        <v>Enter Source Name on Form 8B</v>
      </c>
      <c r="Q43" s="355" t="str">
        <f>Q31</f>
        <v>Enter Source Name on Form 8B</v>
      </c>
      <c r="R43" s="356" t="str">
        <f>R31</f>
        <v>Enter Source Name on Form 8B</v>
      </c>
      <c r="S43" s="194"/>
    </row>
    <row r="44" spans="2:19" x14ac:dyDescent="0.25">
      <c r="B44" s="220"/>
      <c r="C44" s="373"/>
      <c r="D44" s="373"/>
      <c r="E44" s="373"/>
      <c r="F44" s="2536" t="s">
        <v>1158</v>
      </c>
      <c r="G44" s="2536"/>
      <c r="H44" s="2536"/>
      <c r="I44" s="1396"/>
      <c r="J44" s="1396"/>
      <c r="K44" s="1397"/>
      <c r="L44" s="2269">
        <f>30*250</f>
        <v>7500</v>
      </c>
      <c r="M44" s="226"/>
      <c r="N44" s="1159">
        <v>7500</v>
      </c>
      <c r="O44" s="1150">
        <v>0</v>
      </c>
      <c r="P44" s="1150">
        <v>0</v>
      </c>
      <c r="Q44" s="1919">
        <v>0</v>
      </c>
      <c r="R44" s="1160">
        <v>0</v>
      </c>
      <c r="S44" s="194"/>
    </row>
    <row r="45" spans="2:19" x14ac:dyDescent="0.25">
      <c r="B45" s="220"/>
      <c r="C45" s="373"/>
      <c r="D45" s="373"/>
      <c r="E45" s="373"/>
      <c r="F45" s="1398" t="s">
        <v>358</v>
      </c>
      <c r="G45" s="1399"/>
      <c r="H45" s="1399"/>
      <c r="I45" s="1399"/>
      <c r="J45" s="1399"/>
      <c r="K45" s="1400"/>
      <c r="L45" s="2270">
        <v>0</v>
      </c>
      <c r="M45" s="226"/>
      <c r="N45" s="1161">
        <v>0</v>
      </c>
      <c r="O45" s="1146">
        <v>0</v>
      </c>
      <c r="P45" s="1146">
        <v>0</v>
      </c>
      <c r="Q45" s="1920">
        <v>0</v>
      </c>
      <c r="R45" s="1162">
        <v>0</v>
      </c>
      <c r="S45" s="194"/>
    </row>
    <row r="46" spans="2:19" ht="15.75" customHeight="1" x14ac:dyDescent="0.25">
      <c r="B46" s="220"/>
      <c r="C46" s="373"/>
      <c r="D46" s="373"/>
      <c r="E46" s="373"/>
      <c r="F46" s="2534" t="s">
        <v>1159</v>
      </c>
      <c r="G46" s="2534"/>
      <c r="H46" s="1399"/>
      <c r="I46" s="1399"/>
      <c r="J46" s="1399"/>
      <c r="K46" s="1400"/>
      <c r="L46" s="2270">
        <v>0</v>
      </c>
      <c r="M46" s="226"/>
      <c r="N46" s="1161">
        <v>0</v>
      </c>
      <c r="O46" s="1146">
        <v>0</v>
      </c>
      <c r="P46" s="1146">
        <v>0</v>
      </c>
      <c r="Q46" s="1920">
        <v>0</v>
      </c>
      <c r="R46" s="1162">
        <v>0</v>
      </c>
      <c r="S46" s="194"/>
    </row>
    <row r="47" spans="2:19" x14ac:dyDescent="0.25">
      <c r="B47" s="220"/>
      <c r="C47" s="373"/>
      <c r="D47" s="373"/>
      <c r="E47" s="373"/>
      <c r="F47" s="1398" t="s">
        <v>359</v>
      </c>
      <c r="G47" s="1399"/>
      <c r="H47" s="1399"/>
      <c r="I47" s="1399"/>
      <c r="J47" s="1399"/>
      <c r="K47" s="1400"/>
      <c r="L47" s="2270">
        <v>4268</v>
      </c>
      <c r="M47" s="226"/>
      <c r="N47" s="1161">
        <v>4268</v>
      </c>
      <c r="O47" s="1146">
        <v>0</v>
      </c>
      <c r="P47" s="1146">
        <v>0</v>
      </c>
      <c r="Q47" s="1920">
        <v>0</v>
      </c>
      <c r="R47" s="1162">
        <v>0</v>
      </c>
      <c r="S47" s="194"/>
    </row>
    <row r="48" spans="2:19" x14ac:dyDescent="0.25">
      <c r="B48" s="220"/>
      <c r="C48" s="373"/>
      <c r="D48" s="373"/>
      <c r="E48" s="373"/>
      <c r="F48" s="1398" t="s">
        <v>360</v>
      </c>
      <c r="G48" s="1399"/>
      <c r="H48" s="1399"/>
      <c r="I48" s="1399"/>
      <c r="J48" s="1399"/>
      <c r="K48" s="1400"/>
      <c r="L48" s="2270">
        <v>0</v>
      </c>
      <c r="M48" s="226"/>
      <c r="N48" s="1161">
        <v>0</v>
      </c>
      <c r="O48" s="1146">
        <v>0</v>
      </c>
      <c r="P48" s="1146">
        <v>0</v>
      </c>
      <c r="Q48" s="1920">
        <v>0</v>
      </c>
      <c r="R48" s="1162">
        <v>0</v>
      </c>
      <c r="S48" s="194"/>
    </row>
    <row r="49" spans="2:19" x14ac:dyDescent="0.25">
      <c r="B49" s="220"/>
      <c r="C49" s="373"/>
      <c r="D49" s="373"/>
      <c r="E49" s="373"/>
      <c r="F49" s="1414" t="s">
        <v>361</v>
      </c>
      <c r="G49" s="373"/>
      <c r="H49" s="373"/>
      <c r="I49" s="373"/>
      <c r="J49" s="373"/>
      <c r="K49" s="373"/>
      <c r="L49" s="2270">
        <v>0</v>
      </c>
      <c r="M49" s="226"/>
      <c r="N49" s="1161">
        <v>0</v>
      </c>
      <c r="O49" s="1146">
        <v>0</v>
      </c>
      <c r="P49" s="1146">
        <v>0</v>
      </c>
      <c r="Q49" s="1920">
        <v>0</v>
      </c>
      <c r="R49" s="1162">
        <v>0</v>
      </c>
      <c r="S49" s="194"/>
    </row>
    <row r="50" spans="2:19" x14ac:dyDescent="0.25">
      <c r="B50" s="220"/>
      <c r="C50" s="373"/>
      <c r="D50" s="373"/>
      <c r="E50" s="373"/>
      <c r="F50" s="1414" t="s">
        <v>426</v>
      </c>
      <c r="G50" s="2549"/>
      <c r="H50" s="2550"/>
      <c r="I50" s="2550"/>
      <c r="J50" s="2550"/>
      <c r="K50" s="2551"/>
      <c r="L50" s="2270">
        <v>0</v>
      </c>
      <c r="M50" s="226"/>
      <c r="N50" s="1161">
        <v>0</v>
      </c>
      <c r="O50" s="1146">
        <v>0</v>
      </c>
      <c r="P50" s="1146">
        <v>0</v>
      </c>
      <c r="Q50" s="1920">
        <v>0</v>
      </c>
      <c r="R50" s="1162">
        <v>0</v>
      </c>
      <c r="S50" s="194"/>
    </row>
    <row r="51" spans="2:19" x14ac:dyDescent="0.25">
      <c r="B51" s="220"/>
      <c r="C51" s="373"/>
      <c r="D51" s="373"/>
      <c r="E51" s="373"/>
      <c r="F51" s="1414" t="s">
        <v>426</v>
      </c>
      <c r="G51" s="2552"/>
      <c r="H51" s="2553"/>
      <c r="I51" s="2553"/>
      <c r="J51" s="2553"/>
      <c r="K51" s="2554"/>
      <c r="L51" s="2270">
        <v>0</v>
      </c>
      <c r="M51" s="226"/>
      <c r="N51" s="1161">
        <v>0</v>
      </c>
      <c r="O51" s="1146">
        <v>0</v>
      </c>
      <c r="P51" s="1146">
        <v>0</v>
      </c>
      <c r="Q51" s="1920">
        <v>0</v>
      </c>
      <c r="R51" s="1162">
        <v>0</v>
      </c>
      <c r="S51" s="194"/>
    </row>
    <row r="52" spans="2:19" x14ac:dyDescent="0.25">
      <c r="B52" s="220"/>
      <c r="C52" s="373"/>
      <c r="D52" s="373"/>
      <c r="E52" s="373"/>
      <c r="F52" s="1414" t="s">
        <v>426</v>
      </c>
      <c r="G52" s="2537"/>
      <c r="H52" s="2538"/>
      <c r="I52" s="2538"/>
      <c r="J52" s="2538"/>
      <c r="K52" s="2539"/>
      <c r="L52" s="2270">
        <v>0</v>
      </c>
      <c r="M52" s="226"/>
      <c r="N52" s="1161">
        <v>0</v>
      </c>
      <c r="O52" s="1146">
        <v>0</v>
      </c>
      <c r="P52" s="1146">
        <v>0</v>
      </c>
      <c r="Q52" s="1920">
        <v>0</v>
      </c>
      <c r="R52" s="1162">
        <v>0</v>
      </c>
      <c r="S52" s="194"/>
    </row>
    <row r="53" spans="2:19" ht="15.75" thickBot="1" x14ac:dyDescent="0.3">
      <c r="B53" s="220"/>
      <c r="C53" s="373"/>
      <c r="D53" s="373"/>
      <c r="E53" s="373"/>
      <c r="F53" s="2535" t="s">
        <v>1160</v>
      </c>
      <c r="G53" s="2535"/>
      <c r="H53" s="2535"/>
      <c r="I53" s="373"/>
      <c r="J53" s="373"/>
      <c r="K53" s="373"/>
      <c r="L53" s="2271">
        <v>0</v>
      </c>
      <c r="M53" s="226"/>
      <c r="N53" s="1163">
        <v>0</v>
      </c>
      <c r="O53" s="1164">
        <v>0</v>
      </c>
      <c r="P53" s="1164">
        <v>0</v>
      </c>
      <c r="Q53" s="1924">
        <v>0</v>
      </c>
      <c r="R53" s="1165">
        <v>0</v>
      </c>
      <c r="S53" s="194"/>
    </row>
    <row r="54" spans="2:19" ht="17.25" thickTop="1" thickBot="1" x14ac:dyDescent="0.3">
      <c r="B54" s="220"/>
      <c r="C54" s="224"/>
      <c r="D54" s="224"/>
      <c r="E54" s="225"/>
      <c r="F54" s="2557" t="s">
        <v>1702</v>
      </c>
      <c r="G54" s="2558"/>
      <c r="H54" s="2558"/>
      <c r="I54" s="2558"/>
      <c r="J54" s="2558"/>
      <c r="K54" s="2559"/>
      <c r="L54" s="1166">
        <f>(SUM(L44:L53))</f>
        <v>11768</v>
      </c>
      <c r="M54" s="228"/>
      <c r="N54" s="1167">
        <f>(SUM(N44:N53))</f>
        <v>11768</v>
      </c>
      <c r="O54" s="1168">
        <f>(SUM(O44:O53))</f>
        <v>0</v>
      </c>
      <c r="P54" s="1168">
        <f t="shared" ref="P54:R54" si="6">(SUM(P44:P53))</f>
        <v>0</v>
      </c>
      <c r="Q54" s="1168">
        <f t="shared" si="6"/>
        <v>0</v>
      </c>
      <c r="R54" s="1169">
        <f t="shared" si="6"/>
        <v>0</v>
      </c>
      <c r="S54" s="194"/>
    </row>
    <row r="55" spans="2:19" ht="15.75" x14ac:dyDescent="0.25">
      <c r="B55" s="220"/>
      <c r="C55" s="224"/>
      <c r="D55" s="224"/>
      <c r="E55" s="225"/>
      <c r="F55" s="225"/>
      <c r="G55" s="349"/>
      <c r="H55" s="422"/>
      <c r="I55" s="422"/>
      <c r="J55" s="422"/>
      <c r="K55" s="229"/>
      <c r="L55" s="1135" t="str">
        <f>IF((ROUND(L54,0))&gt;(ROUND((SUM(N54:R54)),0)),"WARNING - Non-Personnel Costs Exceed Listed Funding","")</f>
        <v/>
      </c>
      <c r="M55" s="1031"/>
      <c r="N55" s="2555" t="str">
        <f>IF((ROUND(SUM(O54:R54),0))+(ROUND(SUM(O41:R41),0))&lt;&gt;(ROUND('8B'!F39,0)),"WARNING - Total for non-Cash Flow sources does not match Total for Services Subsidy on 8B","")</f>
        <v/>
      </c>
      <c r="O55" s="2555"/>
      <c r="P55" s="2555"/>
      <c r="Q55" s="2555"/>
      <c r="R55" s="2555"/>
      <c r="S55" s="194"/>
    </row>
    <row r="56" spans="2:19" ht="16.5" thickBot="1" x14ac:dyDescent="0.3">
      <c r="B56" s="209"/>
      <c r="C56" s="1029" t="s">
        <v>510</v>
      </c>
      <c r="D56" s="1029"/>
      <c r="E56" s="1029"/>
      <c r="F56" s="1029"/>
      <c r="G56" s="1029"/>
      <c r="H56" s="1029"/>
      <c r="I56" s="1029"/>
      <c r="J56" s="1960"/>
      <c r="K56" s="1029"/>
      <c r="L56" s="1030"/>
      <c r="M56" s="1029"/>
      <c r="N56" s="2556"/>
      <c r="O56" s="2556"/>
      <c r="P56" s="2556"/>
      <c r="Q56" s="2556"/>
      <c r="R56" s="2556"/>
      <c r="S56" s="194"/>
    </row>
    <row r="57" spans="2:19" x14ac:dyDescent="0.25">
      <c r="B57" s="209"/>
      <c r="C57" s="2540"/>
      <c r="D57" s="2541"/>
      <c r="E57" s="2541"/>
      <c r="F57" s="2541"/>
      <c r="G57" s="2541"/>
      <c r="H57" s="2541"/>
      <c r="I57" s="2541"/>
      <c r="J57" s="2541"/>
      <c r="K57" s="2541"/>
      <c r="L57" s="2541"/>
      <c r="M57" s="2541"/>
      <c r="N57" s="2541"/>
      <c r="O57" s="2541"/>
      <c r="P57" s="2542"/>
      <c r="Q57" s="1912"/>
      <c r="R57" s="568"/>
      <c r="S57" s="194"/>
    </row>
    <row r="58" spans="2:19" x14ac:dyDescent="0.25">
      <c r="B58" s="209"/>
      <c r="C58" s="2543"/>
      <c r="D58" s="2290"/>
      <c r="E58" s="2290"/>
      <c r="F58" s="2290"/>
      <c r="G58" s="2290"/>
      <c r="H58" s="2290"/>
      <c r="I58" s="2290"/>
      <c r="J58" s="2290"/>
      <c r="K58" s="2290"/>
      <c r="L58" s="2290"/>
      <c r="M58" s="2290"/>
      <c r="N58" s="2290"/>
      <c r="O58" s="2290"/>
      <c r="P58" s="2544"/>
      <c r="Q58" s="1912"/>
      <c r="R58" s="568"/>
      <c r="S58" s="194"/>
    </row>
    <row r="59" spans="2:19" x14ac:dyDescent="0.25">
      <c r="B59" s="209"/>
      <c r="C59" s="2543"/>
      <c r="D59" s="2290"/>
      <c r="E59" s="2290"/>
      <c r="F59" s="2290"/>
      <c r="G59" s="2290"/>
      <c r="H59" s="2290"/>
      <c r="I59" s="2290"/>
      <c r="J59" s="2290"/>
      <c r="K59" s="2290"/>
      <c r="L59" s="2290"/>
      <c r="M59" s="2290"/>
      <c r="N59" s="2290"/>
      <c r="O59" s="2290"/>
      <c r="P59" s="2544"/>
      <c r="Q59" s="1912"/>
      <c r="R59" s="568"/>
      <c r="S59" s="194"/>
    </row>
    <row r="60" spans="2:19" x14ac:dyDescent="0.25">
      <c r="B60" s="209"/>
      <c r="C60" s="2543"/>
      <c r="D60" s="2290"/>
      <c r="E60" s="2290"/>
      <c r="F60" s="2290"/>
      <c r="G60" s="2290"/>
      <c r="H60" s="2290"/>
      <c r="I60" s="2290"/>
      <c r="J60" s="2290"/>
      <c r="K60" s="2290"/>
      <c r="L60" s="2290"/>
      <c r="M60" s="2290"/>
      <c r="N60" s="2290"/>
      <c r="O60" s="2290"/>
      <c r="P60" s="2544"/>
      <c r="Q60" s="1912"/>
      <c r="R60" s="568"/>
      <c r="S60" s="194"/>
    </row>
    <row r="61" spans="2:19" ht="15.75" thickBot="1" x14ac:dyDescent="0.3">
      <c r="B61" s="209"/>
      <c r="C61" s="2545"/>
      <c r="D61" s="2546"/>
      <c r="E61" s="2546"/>
      <c r="F61" s="2546"/>
      <c r="G61" s="2546"/>
      <c r="H61" s="2546"/>
      <c r="I61" s="2546"/>
      <c r="J61" s="2547"/>
      <c r="K61" s="2546"/>
      <c r="L61" s="2546"/>
      <c r="M61" s="2546"/>
      <c r="N61" s="2546"/>
      <c r="O61" s="2546"/>
      <c r="P61" s="2548"/>
      <c r="Q61" s="1912"/>
      <c r="R61" s="568"/>
      <c r="S61" s="194"/>
    </row>
    <row r="62" spans="2:19" ht="9" customHeight="1" thickBot="1" x14ac:dyDescent="0.3">
      <c r="B62" s="600"/>
      <c r="C62" s="199"/>
      <c r="D62" s="199"/>
      <c r="E62" s="603"/>
      <c r="F62" s="603"/>
      <c r="G62" s="604"/>
      <c r="H62" s="605"/>
      <c r="I62" s="605"/>
      <c r="J62" s="605"/>
      <c r="K62" s="606"/>
      <c r="L62" s="604"/>
      <c r="M62" s="604"/>
      <c r="N62" s="607"/>
      <c r="O62" s="603"/>
      <c r="P62" s="604"/>
      <c r="Q62" s="604"/>
      <c r="R62" s="199"/>
      <c r="S62" s="200"/>
    </row>
  </sheetData>
  <sheetProtection password="D666" sheet="1" objects="1" scenarios="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17" priority="5">
      <formula>$I16="Actual"</formula>
    </cfRule>
    <cfRule type="expression" dxfId="16" priority="9">
      <formula>$I16&lt;&gt;"Actual"</formula>
    </cfRule>
  </conditionalFormatting>
  <conditionalFormatting sqref="J16:J24">
    <cfRule type="expression" dxfId="15" priority="6">
      <formula>$I16="Actual"</formula>
    </cfRule>
    <cfRule type="expression" dxfId="14" priority="7">
      <formula>$I16&lt;&gt;"Percent"</formula>
    </cfRule>
  </conditionalFormatting>
  <conditionalFormatting sqref="K32:K40">
    <cfRule type="expression" dxfId="13" priority="1">
      <formula>$I32="Actual"</formula>
    </cfRule>
    <cfRule type="expression" dxfId="12" priority="4">
      <formula>$I32&lt;&gt;"Actual"</formula>
    </cfRule>
  </conditionalFormatting>
  <conditionalFormatting sqref="J32:J40">
    <cfRule type="expression" dxfId="11" priority="2">
      <formula>$I32="Actual"</formula>
    </cfRule>
    <cfRule type="expression" dxfId="10" priority="3">
      <formula>$I32&lt;&gt;"Percent"</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2" orientation="portrait"/>
  <headerFooter>
    <oddFooter>&amp;LForm 8C
Personnel (Services and Operating) and Non-Personnel Expenses&amp;CCFA Forms&amp;REdition: 2016
Version: 1.0</oddFooter>
  </headerFooter>
  <drawing r:id="rId1"/>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3"/>
  <sheetViews>
    <sheetView showGridLines="0" topLeftCell="A72" zoomScale="110" zoomScaleNormal="110" zoomScalePageLayoutView="110" workbookViewId="0">
      <selection activeCell="J98" sqref="J98"/>
    </sheetView>
  </sheetViews>
  <sheetFormatPr defaultColWidth="8.85546875" defaultRowHeight="15" x14ac:dyDescent="0.25"/>
  <cols>
    <col min="1" max="2" width="1.7109375" style="395" customWidth="1"/>
    <col min="3" max="3" width="14.28515625" style="395" customWidth="1"/>
    <col min="4" max="4" width="9.140625" style="395" customWidth="1"/>
    <col min="5" max="5" width="1.42578125" style="395" customWidth="1"/>
    <col min="6" max="7" width="8.85546875" style="395"/>
    <col min="8" max="8" width="12.5703125" style="395" bestFit="1" customWidth="1"/>
    <col min="9" max="22" width="12.42578125" style="395" bestFit="1" customWidth="1"/>
    <col min="23" max="23" width="1.42578125" style="395" customWidth="1"/>
    <col min="24" max="16384" width="8.85546875" style="395"/>
  </cols>
  <sheetData>
    <row r="12" spans="2:23" ht="15.75" thickBot="1" x14ac:dyDescent="0.3"/>
    <row r="13" spans="2:23" ht="9" customHeight="1" x14ac:dyDescent="0.25">
      <c r="B13" s="244"/>
      <c r="C13" s="725"/>
      <c r="D13" s="725"/>
      <c r="E13" s="725"/>
      <c r="F13" s="725"/>
      <c r="G13" s="725"/>
      <c r="H13" s="725"/>
      <c r="I13" s="725"/>
      <c r="J13" s="725"/>
      <c r="K13" s="725"/>
      <c r="L13" s="725"/>
      <c r="M13" s="725"/>
      <c r="N13" s="725"/>
      <c r="O13" s="725"/>
      <c r="P13" s="725"/>
      <c r="Q13" s="725"/>
      <c r="R13" s="725"/>
      <c r="S13" s="725"/>
      <c r="T13" s="725"/>
      <c r="U13" s="725"/>
      <c r="V13" s="725"/>
      <c r="W13" s="245"/>
    </row>
    <row r="14" spans="2:23" ht="18.75" x14ac:dyDescent="0.3">
      <c r="B14" s="246"/>
      <c r="C14" s="2402" t="s">
        <v>1708</v>
      </c>
      <c r="D14" s="2402"/>
      <c r="E14" s="2402"/>
      <c r="F14" s="2402"/>
      <c r="G14" s="2402"/>
      <c r="H14" s="2402"/>
      <c r="I14" s="2402"/>
      <c r="J14" s="2402"/>
      <c r="K14" s="2402"/>
      <c r="L14" s="2402"/>
      <c r="M14" s="2402"/>
      <c r="N14" s="2402"/>
      <c r="O14" s="2402"/>
      <c r="P14" s="2402"/>
      <c r="Q14" s="2402"/>
      <c r="R14" s="2402"/>
      <c r="S14" s="2402"/>
      <c r="T14" s="2402"/>
      <c r="U14" s="2402"/>
      <c r="V14" s="2402"/>
      <c r="W14" s="248"/>
    </row>
    <row r="15" spans="2:23" ht="7.5" customHeight="1" x14ac:dyDescent="0.25">
      <c r="B15" s="246"/>
      <c r="C15" s="247"/>
      <c r="D15" s="247"/>
      <c r="E15" s="247"/>
      <c r="F15" s="247"/>
      <c r="G15" s="247"/>
      <c r="H15" s="247"/>
      <c r="I15" s="247"/>
      <c r="J15" s="247"/>
      <c r="K15" s="247"/>
      <c r="L15" s="247"/>
      <c r="M15" s="247"/>
      <c r="N15" s="247"/>
      <c r="O15" s="247"/>
      <c r="P15" s="247"/>
      <c r="Q15" s="247"/>
      <c r="R15" s="247"/>
      <c r="S15" s="247"/>
      <c r="T15" s="247"/>
      <c r="U15" s="247"/>
      <c r="V15" s="247"/>
      <c r="W15" s="248"/>
    </row>
    <row r="16" spans="2:23" ht="15.75" thickBot="1" x14ac:dyDescent="0.3">
      <c r="B16" s="246"/>
      <c r="C16" s="2391" t="str">
        <f>IF('1'!G5="","Enter Project Name on Form 1",(CONCATENATE("Project Name: ",'1'!G5)))</f>
        <v>Project Name: Compass Broadview</v>
      </c>
      <c r="D16" s="2391"/>
      <c r="E16" s="2391"/>
      <c r="F16" s="2391"/>
      <c r="G16" s="2391"/>
      <c r="H16" s="2391"/>
      <c r="I16" s="2391"/>
      <c r="J16" s="2391"/>
      <c r="K16" s="2391"/>
      <c r="L16" s="2391"/>
      <c r="M16" s="2391"/>
      <c r="N16" s="494"/>
      <c r="O16" s="494"/>
      <c r="P16" s="494"/>
      <c r="Q16" s="494"/>
      <c r="R16" s="494"/>
      <c r="S16" s="494"/>
      <c r="T16" s="494"/>
      <c r="U16" s="494"/>
      <c r="V16" s="494"/>
      <c r="W16" s="248"/>
    </row>
    <row r="17" spans="2:23" ht="3.75" customHeight="1" x14ac:dyDescent="0.25">
      <c r="B17" s="246"/>
      <c r="C17" s="494"/>
      <c r="D17" s="494"/>
      <c r="E17" s="494"/>
      <c r="F17" s="494"/>
      <c r="G17" s="494"/>
      <c r="H17" s="422"/>
      <c r="I17" s="422"/>
      <c r="J17" s="422"/>
      <c r="K17" s="422"/>
      <c r="L17" s="494"/>
      <c r="M17" s="494"/>
      <c r="N17" s="494"/>
      <c r="O17" s="494"/>
      <c r="P17" s="494"/>
      <c r="Q17" s="494"/>
      <c r="R17" s="494"/>
      <c r="S17" s="494"/>
      <c r="T17" s="494"/>
      <c r="U17" s="494"/>
      <c r="V17" s="494"/>
      <c r="W17" s="248"/>
    </row>
    <row r="18" spans="2:23" x14ac:dyDescent="0.25">
      <c r="B18" s="249"/>
      <c r="C18" s="494" t="s">
        <v>362</v>
      </c>
      <c r="D18" s="726">
        <v>42626</v>
      </c>
      <c r="E18" s="247"/>
      <c r="F18" s="247"/>
      <c r="G18" s="247"/>
      <c r="H18" s="250"/>
      <c r="I18" s="250"/>
      <c r="J18" s="250"/>
      <c r="K18" s="250"/>
      <c r="L18" s="250"/>
      <c r="M18" s="251"/>
      <c r="N18" s="250"/>
      <c r="O18" s="250"/>
      <c r="P18" s="250"/>
      <c r="Q18" s="250"/>
      <c r="R18" s="250"/>
      <c r="S18" s="250"/>
      <c r="T18" s="250"/>
      <c r="U18" s="250"/>
      <c r="V18" s="250"/>
      <c r="W18" s="252"/>
    </row>
    <row r="19" spans="2:23" ht="7.5" customHeight="1" x14ac:dyDescent="0.25">
      <c r="B19" s="249"/>
      <c r="C19" s="253"/>
      <c r="D19" s="250"/>
      <c r="E19" s="247"/>
      <c r="F19" s="247"/>
      <c r="G19" s="247"/>
      <c r="H19" s="250"/>
      <c r="I19" s="250"/>
      <c r="J19" s="250"/>
      <c r="K19" s="250"/>
      <c r="L19" s="250"/>
      <c r="M19" s="251"/>
      <c r="N19" s="250"/>
      <c r="O19" s="250"/>
      <c r="P19" s="250"/>
      <c r="Q19" s="250"/>
      <c r="R19" s="250"/>
      <c r="S19" s="250"/>
      <c r="T19" s="250"/>
      <c r="U19" s="250"/>
      <c r="V19" s="250"/>
      <c r="W19" s="252"/>
    </row>
    <row r="20" spans="2:23" ht="15.75" thickBot="1" x14ac:dyDescent="0.3">
      <c r="B20" s="249"/>
      <c r="C20" s="282" t="s">
        <v>363</v>
      </c>
      <c r="D20" s="232"/>
      <c r="E20" s="231"/>
      <c r="F20" s="231"/>
      <c r="G20" s="231"/>
      <c r="H20" s="232"/>
      <c r="I20" s="232"/>
      <c r="J20" s="232"/>
      <c r="K20" s="232"/>
      <c r="L20" s="232"/>
      <c r="M20" s="233"/>
      <c r="N20" s="232"/>
      <c r="O20" s="232"/>
      <c r="P20" s="232"/>
      <c r="Q20" s="232"/>
      <c r="R20" s="232"/>
      <c r="S20" s="232"/>
      <c r="T20" s="232"/>
      <c r="U20" s="232"/>
      <c r="V20" s="232"/>
      <c r="W20" s="252"/>
    </row>
    <row r="21" spans="2:23" ht="15.75" thickBot="1" x14ac:dyDescent="0.3">
      <c r="B21" s="727"/>
      <c r="C21" s="422"/>
      <c r="D21" s="247"/>
      <c r="E21" s="422"/>
      <c r="F21" s="422"/>
      <c r="G21" s="422"/>
      <c r="H21" s="234" t="s">
        <v>364</v>
      </c>
      <c r="I21" s="728" t="s">
        <v>365</v>
      </c>
      <c r="J21" s="728" t="s">
        <v>366</v>
      </c>
      <c r="K21" s="728" t="s">
        <v>367</v>
      </c>
      <c r="L21" s="728" t="s">
        <v>368</v>
      </c>
      <c r="M21" s="728" t="s">
        <v>369</v>
      </c>
      <c r="N21" s="728" t="s">
        <v>370</v>
      </c>
      <c r="O21" s="728" t="s">
        <v>418</v>
      </c>
      <c r="P21" s="728" t="s">
        <v>419</v>
      </c>
      <c r="Q21" s="728" t="s">
        <v>420</v>
      </c>
      <c r="R21" s="728" t="s">
        <v>421</v>
      </c>
      <c r="S21" s="728" t="s">
        <v>422</v>
      </c>
      <c r="T21" s="728" t="s">
        <v>423</v>
      </c>
      <c r="U21" s="728" t="s">
        <v>424</v>
      </c>
      <c r="V21" s="729" t="s">
        <v>425</v>
      </c>
      <c r="W21" s="1671"/>
    </row>
    <row r="22" spans="2:23" ht="15.75" thickBot="1" x14ac:dyDescent="0.3">
      <c r="B22" s="727"/>
      <c r="C22" s="254" t="s">
        <v>371</v>
      </c>
      <c r="D22" s="422"/>
      <c r="E22" s="422"/>
      <c r="F22" s="373"/>
      <c r="G22" s="730" t="s">
        <v>372</v>
      </c>
      <c r="H22" s="731"/>
      <c r="I22" s="235"/>
      <c r="J22" s="235"/>
      <c r="K22" s="235"/>
      <c r="L22" s="235"/>
      <c r="M22" s="235"/>
      <c r="N22" s="235"/>
      <c r="O22" s="235"/>
      <c r="P22" s="235"/>
      <c r="Q22" s="235"/>
      <c r="R22" s="235"/>
      <c r="S22" s="235"/>
      <c r="T22" s="235"/>
      <c r="U22" s="235"/>
      <c r="V22" s="732"/>
      <c r="W22" s="1671"/>
    </row>
    <row r="23" spans="2:23" x14ac:dyDescent="0.25">
      <c r="B23" s="727"/>
      <c r="C23" s="255" t="s">
        <v>1697</v>
      </c>
      <c r="D23" s="608"/>
      <c r="E23" s="609"/>
      <c r="F23" s="1886"/>
      <c r="G23" s="785">
        <v>2.5000000000000001E-2</v>
      </c>
      <c r="H23" s="1989">
        <f>'8A'!M30</f>
        <v>367536</v>
      </c>
      <c r="I23" s="1991">
        <f t="shared" ref="I23:V24" si="0">H23+(H23*$G23)</f>
        <v>376724.4</v>
      </c>
      <c r="J23" s="1991">
        <f t="shared" si="0"/>
        <v>386142.51</v>
      </c>
      <c r="K23" s="1991">
        <f t="shared" si="0"/>
        <v>395796.07274999999</v>
      </c>
      <c r="L23" s="1991">
        <f t="shared" si="0"/>
        <v>405690.97456875001</v>
      </c>
      <c r="M23" s="1991">
        <f t="shared" si="0"/>
        <v>415833.24893296877</v>
      </c>
      <c r="N23" s="1991">
        <f t="shared" si="0"/>
        <v>426229.080156293</v>
      </c>
      <c r="O23" s="1991">
        <f t="shared" si="0"/>
        <v>436884.80716020032</v>
      </c>
      <c r="P23" s="1991">
        <f t="shared" si="0"/>
        <v>447806.92733920534</v>
      </c>
      <c r="Q23" s="1991">
        <f t="shared" si="0"/>
        <v>459002.1005226855</v>
      </c>
      <c r="R23" s="1991">
        <f t="shared" si="0"/>
        <v>470477.15303575265</v>
      </c>
      <c r="S23" s="1991">
        <f t="shared" si="0"/>
        <v>482239.0818616465</v>
      </c>
      <c r="T23" s="1991">
        <f t="shared" si="0"/>
        <v>494295.05890818767</v>
      </c>
      <c r="U23" s="1991">
        <f t="shared" si="0"/>
        <v>506652.43538089236</v>
      </c>
      <c r="V23" s="1992">
        <f t="shared" si="0"/>
        <v>519318.74626541469</v>
      </c>
      <c r="W23" s="1671"/>
    </row>
    <row r="24" spans="2:23" x14ac:dyDescent="0.25">
      <c r="B24" s="727"/>
      <c r="C24" s="2593" t="s">
        <v>1698</v>
      </c>
      <c r="D24" s="2593"/>
      <c r="E24" s="2593"/>
      <c r="F24" s="2594"/>
      <c r="G24" s="1936">
        <v>2.5000000000000001E-2</v>
      </c>
      <c r="H24" s="1990">
        <f>'8A'!N30</f>
        <v>335004</v>
      </c>
      <c r="I24" s="1991">
        <f>H24+(H24*$G24)</f>
        <v>343379.1</v>
      </c>
      <c r="J24" s="1991">
        <f t="shared" si="0"/>
        <v>351963.57749999996</v>
      </c>
      <c r="K24" s="1991">
        <f t="shared" si="0"/>
        <v>360762.66693749995</v>
      </c>
      <c r="L24" s="1991">
        <f t="shared" si="0"/>
        <v>369781.73361093743</v>
      </c>
      <c r="M24" s="1991">
        <f t="shared" si="0"/>
        <v>379026.27695121086</v>
      </c>
      <c r="N24" s="1991">
        <f t="shared" si="0"/>
        <v>388501.93387499114</v>
      </c>
      <c r="O24" s="1991">
        <f t="shared" si="0"/>
        <v>398214.48222186591</v>
      </c>
      <c r="P24" s="1991">
        <f t="shared" si="0"/>
        <v>408169.84427741257</v>
      </c>
      <c r="Q24" s="1991">
        <f t="shared" si="0"/>
        <v>418374.09038434789</v>
      </c>
      <c r="R24" s="1991">
        <f t="shared" si="0"/>
        <v>428833.44264395657</v>
      </c>
      <c r="S24" s="1991">
        <f t="shared" si="0"/>
        <v>439554.27871005551</v>
      </c>
      <c r="T24" s="1991">
        <f t="shared" si="0"/>
        <v>450543.13567780692</v>
      </c>
      <c r="U24" s="1991">
        <f t="shared" si="0"/>
        <v>461806.71406975208</v>
      </c>
      <c r="V24" s="1992">
        <f t="shared" si="0"/>
        <v>473351.88192149589</v>
      </c>
      <c r="W24" s="1671"/>
    </row>
    <row r="25" spans="2:23" ht="15.75" thickBot="1" x14ac:dyDescent="0.3">
      <c r="B25" s="727"/>
      <c r="C25" s="2595" t="s">
        <v>1699</v>
      </c>
      <c r="D25" s="2595"/>
      <c r="E25" s="2595"/>
      <c r="F25" s="2596"/>
      <c r="G25" s="788">
        <v>2.5000000000000001E-2</v>
      </c>
      <c r="H25" s="1990">
        <f>'8B'!F21</f>
        <v>0</v>
      </c>
      <c r="I25" s="1993">
        <f>H25+(H25*$G25)</f>
        <v>0</v>
      </c>
      <c r="J25" s="1993">
        <f t="shared" ref="J25:V25" si="1">I25+(I25*$G25)</f>
        <v>0</v>
      </c>
      <c r="K25" s="1993">
        <f t="shared" si="1"/>
        <v>0</v>
      </c>
      <c r="L25" s="1993">
        <f t="shared" si="1"/>
        <v>0</v>
      </c>
      <c r="M25" s="1993">
        <f t="shared" si="1"/>
        <v>0</v>
      </c>
      <c r="N25" s="1993">
        <f t="shared" si="1"/>
        <v>0</v>
      </c>
      <c r="O25" s="1993">
        <f t="shared" si="1"/>
        <v>0</v>
      </c>
      <c r="P25" s="1993">
        <f t="shared" si="1"/>
        <v>0</v>
      </c>
      <c r="Q25" s="1993">
        <f t="shared" si="1"/>
        <v>0</v>
      </c>
      <c r="R25" s="1993">
        <f t="shared" si="1"/>
        <v>0</v>
      </c>
      <c r="S25" s="1993">
        <f t="shared" si="1"/>
        <v>0</v>
      </c>
      <c r="T25" s="1993">
        <f t="shared" si="1"/>
        <v>0</v>
      </c>
      <c r="U25" s="1993">
        <f t="shared" si="1"/>
        <v>0</v>
      </c>
      <c r="V25" s="1994">
        <f t="shared" si="1"/>
        <v>0</v>
      </c>
      <c r="W25" s="1671"/>
    </row>
    <row r="26" spans="2:23" x14ac:dyDescent="0.25">
      <c r="B26" s="727"/>
      <c r="C26" s="1937" t="s">
        <v>1703</v>
      </c>
      <c r="D26" s="1938"/>
      <c r="E26" s="778"/>
      <c r="F26" s="951"/>
      <c r="G26" s="1672"/>
      <c r="H26" s="1995">
        <f>'8B'!F30</f>
        <v>0</v>
      </c>
      <c r="I26" s="1996">
        <v>0</v>
      </c>
      <c r="J26" s="1996">
        <v>0</v>
      </c>
      <c r="K26" s="1996">
        <v>0</v>
      </c>
      <c r="L26" s="1996">
        <v>0</v>
      </c>
      <c r="M26" s="1996">
        <v>0</v>
      </c>
      <c r="N26" s="1996">
        <v>0</v>
      </c>
      <c r="O26" s="1996">
        <v>0</v>
      </c>
      <c r="P26" s="1996">
        <v>0</v>
      </c>
      <c r="Q26" s="1996">
        <v>0</v>
      </c>
      <c r="R26" s="1996">
        <v>0</v>
      </c>
      <c r="S26" s="1996">
        <v>0</v>
      </c>
      <c r="T26" s="1996">
        <v>0</v>
      </c>
      <c r="U26" s="1996">
        <v>0</v>
      </c>
      <c r="V26" s="1997">
        <v>0</v>
      </c>
      <c r="W26" s="1671"/>
    </row>
    <row r="27" spans="2:23" ht="15.75" thickBot="1" x14ac:dyDescent="0.3">
      <c r="B27" s="727"/>
      <c r="C27" s="256" t="s">
        <v>601</v>
      </c>
      <c r="D27" s="256"/>
      <c r="E27" s="422"/>
      <c r="F27" s="777"/>
      <c r="G27" s="1673"/>
      <c r="H27" s="784"/>
      <c r="I27" s="1674"/>
      <c r="J27" s="1674"/>
      <c r="K27" s="1674"/>
      <c r="L27" s="1674"/>
      <c r="M27" s="1674"/>
      <c r="N27" s="1674"/>
      <c r="O27" s="1674"/>
      <c r="P27" s="1674"/>
      <c r="Q27" s="1674"/>
      <c r="R27" s="1674"/>
      <c r="S27" s="1674"/>
      <c r="T27" s="1674"/>
      <c r="U27" s="1674"/>
      <c r="V27" s="1675"/>
      <c r="W27" s="1671"/>
    </row>
    <row r="28" spans="2:23" x14ac:dyDescent="0.25">
      <c r="B28" s="727"/>
      <c r="C28" s="2589" t="s">
        <v>1822</v>
      </c>
      <c r="D28" s="2589"/>
      <c r="E28" s="2589"/>
      <c r="F28" s="2590"/>
      <c r="G28" s="785">
        <v>2.5000000000000001E-2</v>
      </c>
      <c r="H28" s="1998">
        <v>4425</v>
      </c>
      <c r="I28" s="1999">
        <f t="shared" ref="I28:V28" si="2">H28+(H28*$G28)</f>
        <v>4535.625</v>
      </c>
      <c r="J28" s="1999">
        <f t="shared" si="2"/>
        <v>4649.015625</v>
      </c>
      <c r="K28" s="1999">
        <f t="shared" si="2"/>
        <v>4765.2410156249998</v>
      </c>
      <c r="L28" s="1999">
        <f t="shared" si="2"/>
        <v>4884.3720410156247</v>
      </c>
      <c r="M28" s="1999">
        <f>L28+(L28*$G28)</f>
        <v>5006.4813420410155</v>
      </c>
      <c r="N28" s="1999">
        <f t="shared" si="2"/>
        <v>5131.6433755920407</v>
      </c>
      <c r="O28" s="1999">
        <f t="shared" si="2"/>
        <v>5259.9344599818414</v>
      </c>
      <c r="P28" s="1999">
        <f t="shared" si="2"/>
        <v>5391.4328214813877</v>
      </c>
      <c r="Q28" s="1999">
        <f t="shared" si="2"/>
        <v>5526.2186420184225</v>
      </c>
      <c r="R28" s="1999">
        <f t="shared" si="2"/>
        <v>5664.3741080688833</v>
      </c>
      <c r="S28" s="1999">
        <f t="shared" si="2"/>
        <v>5805.9834607706052</v>
      </c>
      <c r="T28" s="1999">
        <f t="shared" si="2"/>
        <v>5951.1330472898708</v>
      </c>
      <c r="U28" s="1999">
        <f t="shared" si="2"/>
        <v>6099.9113734721177</v>
      </c>
      <c r="V28" s="2000">
        <f t="shared" si="2"/>
        <v>6252.409157808921</v>
      </c>
      <c r="W28" s="1671"/>
    </row>
    <row r="29" spans="2:23" ht="15.75" thickBot="1" x14ac:dyDescent="0.3">
      <c r="B29" s="727"/>
      <c r="C29" s="2591" t="s">
        <v>1821</v>
      </c>
      <c r="D29" s="2591"/>
      <c r="E29" s="2591"/>
      <c r="F29" s="2592"/>
      <c r="G29" s="788">
        <v>2.5000000000000001E-2</v>
      </c>
      <c r="H29" s="2001">
        <v>5900</v>
      </c>
      <c r="I29" s="2002">
        <f t="shared" ref="I29:V29" si="3">H29+(H29*$G29)</f>
        <v>6047.5</v>
      </c>
      <c r="J29" s="2002">
        <f t="shared" si="3"/>
        <v>6198.6875</v>
      </c>
      <c r="K29" s="2002">
        <f t="shared" si="3"/>
        <v>6353.6546875000004</v>
      </c>
      <c r="L29" s="2002">
        <f t="shared" si="3"/>
        <v>6512.4960546875</v>
      </c>
      <c r="M29" s="2002">
        <f t="shared" si="3"/>
        <v>6675.3084560546877</v>
      </c>
      <c r="N29" s="2002">
        <f t="shared" si="3"/>
        <v>6842.1911674560552</v>
      </c>
      <c r="O29" s="2002">
        <f t="shared" si="3"/>
        <v>7013.2459466424561</v>
      </c>
      <c r="P29" s="2002">
        <f t="shared" si="3"/>
        <v>7188.5770953085175</v>
      </c>
      <c r="Q29" s="2002">
        <f t="shared" si="3"/>
        <v>7368.2915226912301</v>
      </c>
      <c r="R29" s="2002">
        <f t="shared" si="3"/>
        <v>7552.4988107585104</v>
      </c>
      <c r="S29" s="2002">
        <f t="shared" si="3"/>
        <v>7741.3112810274733</v>
      </c>
      <c r="T29" s="2002">
        <f t="shared" si="3"/>
        <v>7934.8440630531604</v>
      </c>
      <c r="U29" s="2002">
        <f t="shared" si="3"/>
        <v>8133.2151646294897</v>
      </c>
      <c r="V29" s="2003">
        <f t="shared" si="3"/>
        <v>8336.5455437452274</v>
      </c>
      <c r="W29" s="1671"/>
    </row>
    <row r="30" spans="2:23" x14ac:dyDescent="0.25">
      <c r="B30" s="727"/>
      <c r="C30" s="256" t="s">
        <v>373</v>
      </c>
      <c r="D30" s="422"/>
      <c r="E30" s="422"/>
      <c r="F30" s="422"/>
      <c r="G30" s="257" t="s">
        <v>374</v>
      </c>
      <c r="H30" s="2004">
        <f>SUM(H23:H29)</f>
        <v>712865</v>
      </c>
      <c r="I30" s="2005">
        <f t="shared" ref="I30:N30" si="4">SUM(I23:I29)</f>
        <v>730686.625</v>
      </c>
      <c r="J30" s="2005">
        <f t="shared" si="4"/>
        <v>748953.79062499991</v>
      </c>
      <c r="K30" s="2005">
        <f t="shared" si="4"/>
        <v>767677.63539062487</v>
      </c>
      <c r="L30" s="2005">
        <f t="shared" si="4"/>
        <v>786869.57627539057</v>
      </c>
      <c r="M30" s="2005">
        <f t="shared" si="4"/>
        <v>806541.31568227534</v>
      </c>
      <c r="N30" s="2005">
        <f t="shared" si="4"/>
        <v>826704.84857433231</v>
      </c>
      <c r="O30" s="2005">
        <f t="shared" ref="O30:V30" si="5">SUM(O23:O29)</f>
        <v>847372.46978869056</v>
      </c>
      <c r="P30" s="2005">
        <f t="shared" si="5"/>
        <v>868556.78153340786</v>
      </c>
      <c r="Q30" s="2005">
        <f t="shared" si="5"/>
        <v>890270.70107174304</v>
      </c>
      <c r="R30" s="2005">
        <f t="shared" si="5"/>
        <v>912527.46859853656</v>
      </c>
      <c r="S30" s="2005">
        <f t="shared" si="5"/>
        <v>935340.65531350009</v>
      </c>
      <c r="T30" s="2005">
        <f t="shared" si="5"/>
        <v>958724.17169633764</v>
      </c>
      <c r="U30" s="2005">
        <f t="shared" si="5"/>
        <v>982692.27598874597</v>
      </c>
      <c r="V30" s="2006">
        <f t="shared" si="5"/>
        <v>1007259.5828884648</v>
      </c>
      <c r="W30" s="1671"/>
    </row>
    <row r="31" spans="2:23" x14ac:dyDescent="0.25">
      <c r="B31" s="727"/>
      <c r="C31" s="256"/>
      <c r="D31" s="257"/>
      <c r="E31" s="422"/>
      <c r="F31" s="422"/>
      <c r="G31" s="422"/>
      <c r="H31" s="236"/>
      <c r="I31" s="237"/>
      <c r="J31" s="237"/>
      <c r="K31" s="237"/>
      <c r="L31" s="237"/>
      <c r="M31" s="237"/>
      <c r="N31" s="237"/>
      <c r="O31" s="237"/>
      <c r="P31" s="237"/>
      <c r="Q31" s="237"/>
      <c r="R31" s="237"/>
      <c r="S31" s="237"/>
      <c r="T31" s="237"/>
      <c r="U31" s="237"/>
      <c r="V31" s="243"/>
      <c r="W31" s="1671"/>
    </row>
    <row r="32" spans="2:23" x14ac:dyDescent="0.25">
      <c r="B32" s="727"/>
      <c r="C32" s="256" t="s">
        <v>375</v>
      </c>
      <c r="D32" s="258"/>
      <c r="E32" s="422"/>
      <c r="F32" s="610"/>
      <c r="G32" s="422"/>
      <c r="H32" s="2007">
        <f>'8B'!F39</f>
        <v>0</v>
      </c>
      <c r="I32" s="2008">
        <v>0</v>
      </c>
      <c r="J32" s="2008">
        <v>0</v>
      </c>
      <c r="K32" s="2008">
        <v>0</v>
      </c>
      <c r="L32" s="2008">
        <v>0</v>
      </c>
      <c r="M32" s="2008">
        <v>0</v>
      </c>
      <c r="N32" s="2008">
        <v>0</v>
      </c>
      <c r="O32" s="2008">
        <v>0</v>
      </c>
      <c r="P32" s="2008">
        <v>0</v>
      </c>
      <c r="Q32" s="2008">
        <v>0</v>
      </c>
      <c r="R32" s="2008">
        <v>0</v>
      </c>
      <c r="S32" s="2008">
        <v>0</v>
      </c>
      <c r="T32" s="2008">
        <v>0</v>
      </c>
      <c r="U32" s="2008">
        <v>0</v>
      </c>
      <c r="V32" s="2009">
        <v>0</v>
      </c>
      <c r="W32" s="1671"/>
    </row>
    <row r="33" spans="2:23" x14ac:dyDescent="0.25">
      <c r="B33" s="727"/>
      <c r="C33" s="256"/>
      <c r="D33" s="258"/>
      <c r="E33" s="422"/>
      <c r="F33" s="422"/>
      <c r="G33" s="422"/>
      <c r="H33" s="2010"/>
      <c r="I33" s="2011"/>
      <c r="J33" s="2011"/>
      <c r="K33" s="2011"/>
      <c r="L33" s="2011"/>
      <c r="M33" s="2011"/>
      <c r="N33" s="2011"/>
      <c r="O33" s="2011"/>
      <c r="P33" s="2011"/>
      <c r="Q33" s="2011"/>
      <c r="R33" s="2011"/>
      <c r="S33" s="2011"/>
      <c r="T33" s="2011"/>
      <c r="U33" s="2011"/>
      <c r="V33" s="2012"/>
      <c r="W33" s="1671"/>
    </row>
    <row r="34" spans="2:23" ht="15.75" thickBot="1" x14ac:dyDescent="0.3">
      <c r="B34" s="727"/>
      <c r="C34" s="259" t="s">
        <v>376</v>
      </c>
      <c r="D34" s="260"/>
      <c r="E34" s="611"/>
      <c r="F34" s="612"/>
      <c r="G34" s="613"/>
      <c r="H34" s="2013">
        <v>0</v>
      </c>
      <c r="I34" s="2014">
        <v>0</v>
      </c>
      <c r="J34" s="2014">
        <v>0</v>
      </c>
      <c r="K34" s="2014">
        <v>0</v>
      </c>
      <c r="L34" s="2014">
        <v>0</v>
      </c>
      <c r="M34" s="2014">
        <v>0</v>
      </c>
      <c r="N34" s="2014">
        <v>0</v>
      </c>
      <c r="O34" s="2014">
        <v>0</v>
      </c>
      <c r="P34" s="2014">
        <v>0</v>
      </c>
      <c r="Q34" s="2014">
        <v>0</v>
      </c>
      <c r="R34" s="2014">
        <v>0</v>
      </c>
      <c r="S34" s="2014">
        <v>0</v>
      </c>
      <c r="T34" s="2014">
        <v>0</v>
      </c>
      <c r="U34" s="2014">
        <v>0</v>
      </c>
      <c r="V34" s="2015">
        <v>0</v>
      </c>
      <c r="W34" s="1671"/>
    </row>
    <row r="35" spans="2:23" ht="15.75" thickTop="1" x14ac:dyDescent="0.25">
      <c r="B35" s="727"/>
      <c r="C35" s="254" t="s">
        <v>377</v>
      </c>
      <c r="D35" s="422"/>
      <c r="E35" s="422"/>
      <c r="F35" s="422"/>
      <c r="G35" s="258" t="s">
        <v>374</v>
      </c>
      <c r="H35" s="2016">
        <f>H30+H32+H34</f>
        <v>712865</v>
      </c>
      <c r="I35" s="2017">
        <f t="shared" ref="I35:V35" si="6">I30+I32+I34</f>
        <v>730686.625</v>
      </c>
      <c r="J35" s="2017">
        <f t="shared" si="6"/>
        <v>748953.79062499991</v>
      </c>
      <c r="K35" s="2017">
        <f t="shared" si="6"/>
        <v>767677.63539062487</v>
      </c>
      <c r="L35" s="2017">
        <f t="shared" si="6"/>
        <v>786869.57627539057</v>
      </c>
      <c r="M35" s="2017">
        <f t="shared" si="6"/>
        <v>806541.31568227534</v>
      </c>
      <c r="N35" s="2017">
        <f t="shared" si="6"/>
        <v>826704.84857433231</v>
      </c>
      <c r="O35" s="2017">
        <f t="shared" si="6"/>
        <v>847372.46978869056</v>
      </c>
      <c r="P35" s="2017">
        <f t="shared" si="6"/>
        <v>868556.78153340786</v>
      </c>
      <c r="Q35" s="2017">
        <f t="shared" si="6"/>
        <v>890270.70107174304</v>
      </c>
      <c r="R35" s="2017">
        <f t="shared" si="6"/>
        <v>912527.46859853656</v>
      </c>
      <c r="S35" s="2017">
        <f t="shared" si="6"/>
        <v>935340.65531350009</v>
      </c>
      <c r="T35" s="2017">
        <f t="shared" si="6"/>
        <v>958724.17169633764</v>
      </c>
      <c r="U35" s="2017">
        <f t="shared" si="6"/>
        <v>982692.27598874597</v>
      </c>
      <c r="V35" s="2018">
        <f t="shared" si="6"/>
        <v>1007259.5828884648</v>
      </c>
      <c r="W35" s="1671"/>
    </row>
    <row r="36" spans="2:23" ht="15.75" thickBot="1" x14ac:dyDescent="0.3">
      <c r="B36" s="727"/>
      <c r="C36" s="254"/>
      <c r="D36" s="422"/>
      <c r="E36" s="422"/>
      <c r="F36" s="373"/>
      <c r="G36" s="261" t="s">
        <v>378</v>
      </c>
      <c r="H36" s="2010"/>
      <c r="I36" s="2011"/>
      <c r="J36" s="2011"/>
      <c r="K36" s="2011"/>
      <c r="L36" s="2011"/>
      <c r="M36" s="2011"/>
      <c r="N36" s="2011"/>
      <c r="O36" s="2011"/>
      <c r="P36" s="2011"/>
      <c r="Q36" s="2011"/>
      <c r="R36" s="2011"/>
      <c r="S36" s="2011"/>
      <c r="T36" s="2011"/>
      <c r="U36" s="2011"/>
      <c r="V36" s="2012"/>
      <c r="W36" s="1671"/>
    </row>
    <row r="37" spans="2:23" x14ac:dyDescent="0.25">
      <c r="B37" s="727"/>
      <c r="C37" s="262" t="s">
        <v>379</v>
      </c>
      <c r="D37" s="608"/>
      <c r="E37" s="608"/>
      <c r="F37" s="1676"/>
      <c r="G37" s="785">
        <v>0.05</v>
      </c>
      <c r="H37" s="2019">
        <f t="shared" ref="H37:V37" si="7">-H30*$G37</f>
        <v>-35643.25</v>
      </c>
      <c r="I37" s="2020">
        <f t="shared" si="7"/>
        <v>-36534.331250000003</v>
      </c>
      <c r="J37" s="2020">
        <f t="shared" si="7"/>
        <v>-37447.689531249998</v>
      </c>
      <c r="K37" s="2020">
        <f t="shared" si="7"/>
        <v>-38383.881769531246</v>
      </c>
      <c r="L37" s="2020">
        <f t="shared" si="7"/>
        <v>-39343.478813769529</v>
      </c>
      <c r="M37" s="2020">
        <f t="shared" si="7"/>
        <v>-40327.065784113773</v>
      </c>
      <c r="N37" s="2020">
        <f t="shared" si="7"/>
        <v>-41335.242428716621</v>
      </c>
      <c r="O37" s="2020">
        <f t="shared" si="7"/>
        <v>-42368.623489434533</v>
      </c>
      <c r="P37" s="2020">
        <f t="shared" si="7"/>
        <v>-43427.839076670396</v>
      </c>
      <c r="Q37" s="2020">
        <f t="shared" si="7"/>
        <v>-44513.535053587155</v>
      </c>
      <c r="R37" s="2020">
        <f t="shared" si="7"/>
        <v>-45626.373429926833</v>
      </c>
      <c r="S37" s="2020">
        <f t="shared" si="7"/>
        <v>-46767.032765675009</v>
      </c>
      <c r="T37" s="2020">
        <f t="shared" si="7"/>
        <v>-47936.208584816886</v>
      </c>
      <c r="U37" s="2020">
        <f t="shared" si="7"/>
        <v>-49134.613799437298</v>
      </c>
      <c r="V37" s="2021">
        <f t="shared" si="7"/>
        <v>-50362.97914442324</v>
      </c>
      <c r="W37" s="1671"/>
    </row>
    <row r="38" spans="2:23" ht="15.75" thickBot="1" x14ac:dyDescent="0.3">
      <c r="B38" s="727"/>
      <c r="C38" s="263" t="s">
        <v>380</v>
      </c>
      <c r="D38" s="611"/>
      <c r="E38" s="611"/>
      <c r="F38" s="1677"/>
      <c r="G38" s="789">
        <v>0.1</v>
      </c>
      <c r="H38" s="2022">
        <f t="shared" ref="H38:V38" si="8">-H34*$G38</f>
        <v>0</v>
      </c>
      <c r="I38" s="2023">
        <f t="shared" si="8"/>
        <v>0</v>
      </c>
      <c r="J38" s="2023">
        <f t="shared" si="8"/>
        <v>0</v>
      </c>
      <c r="K38" s="2023">
        <f t="shared" si="8"/>
        <v>0</v>
      </c>
      <c r="L38" s="2023">
        <f t="shared" si="8"/>
        <v>0</v>
      </c>
      <c r="M38" s="2023">
        <f t="shared" si="8"/>
        <v>0</v>
      </c>
      <c r="N38" s="2023">
        <f t="shared" si="8"/>
        <v>0</v>
      </c>
      <c r="O38" s="2023">
        <f t="shared" si="8"/>
        <v>0</v>
      </c>
      <c r="P38" s="2023">
        <f t="shared" si="8"/>
        <v>0</v>
      </c>
      <c r="Q38" s="2023">
        <f t="shared" si="8"/>
        <v>0</v>
      </c>
      <c r="R38" s="2023">
        <f t="shared" si="8"/>
        <v>0</v>
      </c>
      <c r="S38" s="2023">
        <f t="shared" si="8"/>
        <v>0</v>
      </c>
      <c r="T38" s="2023">
        <f t="shared" si="8"/>
        <v>0</v>
      </c>
      <c r="U38" s="2023">
        <f t="shared" si="8"/>
        <v>0</v>
      </c>
      <c r="V38" s="2024">
        <f t="shared" si="8"/>
        <v>0</v>
      </c>
      <c r="W38" s="1671"/>
    </row>
    <row r="39" spans="2:23" ht="16.5" thickTop="1" thickBot="1" x14ac:dyDescent="0.3">
      <c r="B39" s="727"/>
      <c r="C39" s="264" t="s">
        <v>381</v>
      </c>
      <c r="D39" s="422"/>
      <c r="E39" s="422"/>
      <c r="F39" s="422"/>
      <c r="G39" s="257" t="s">
        <v>374</v>
      </c>
      <c r="H39" s="2025">
        <f>H35+H37+H38</f>
        <v>677221.75</v>
      </c>
      <c r="I39" s="2026">
        <f t="shared" ref="I39:N39" si="9">I35+I37+I38</f>
        <v>694152.29374999995</v>
      </c>
      <c r="J39" s="2026">
        <f t="shared" si="9"/>
        <v>711506.10109374986</v>
      </c>
      <c r="K39" s="2026">
        <f t="shared" si="9"/>
        <v>729293.75362109358</v>
      </c>
      <c r="L39" s="2026">
        <f t="shared" si="9"/>
        <v>747526.09746162104</v>
      </c>
      <c r="M39" s="2026">
        <f t="shared" si="9"/>
        <v>766214.24989816151</v>
      </c>
      <c r="N39" s="2026">
        <f t="shared" si="9"/>
        <v>785369.60614561569</v>
      </c>
      <c r="O39" s="2026">
        <f t="shared" ref="O39:V39" si="10">O35+O37+O38</f>
        <v>805003.84629925608</v>
      </c>
      <c r="P39" s="2026">
        <f t="shared" si="10"/>
        <v>825128.94245673751</v>
      </c>
      <c r="Q39" s="2026">
        <f t="shared" si="10"/>
        <v>845757.16601815587</v>
      </c>
      <c r="R39" s="2026">
        <f t="shared" si="10"/>
        <v>866901.09516860975</v>
      </c>
      <c r="S39" s="2026">
        <f t="shared" si="10"/>
        <v>888573.6225478251</v>
      </c>
      <c r="T39" s="2026">
        <f t="shared" si="10"/>
        <v>910787.96311152074</v>
      </c>
      <c r="U39" s="2026">
        <f t="shared" si="10"/>
        <v>933557.66218930867</v>
      </c>
      <c r="V39" s="2027">
        <f t="shared" si="10"/>
        <v>956896.60374404152</v>
      </c>
      <c r="W39" s="1671"/>
    </row>
    <row r="40" spans="2:23" ht="7.5" customHeight="1" x14ac:dyDescent="0.25">
      <c r="B40" s="727"/>
      <c r="C40" s="422"/>
      <c r="D40" s="422"/>
      <c r="E40" s="422"/>
      <c r="F40" s="422"/>
      <c r="G40" s="422"/>
      <c r="H40" s="2028"/>
      <c r="I40" s="2028"/>
      <c r="J40" s="2028"/>
      <c r="K40" s="2028"/>
      <c r="L40" s="2028"/>
      <c r="M40" s="2028"/>
      <c r="N40" s="2028"/>
      <c r="O40" s="2028"/>
      <c r="P40" s="2028"/>
      <c r="Q40" s="2028"/>
      <c r="R40" s="2028"/>
      <c r="S40" s="2028"/>
      <c r="T40" s="2028"/>
      <c r="U40" s="2028"/>
      <c r="V40" s="2028"/>
      <c r="W40" s="1671"/>
    </row>
    <row r="41" spans="2:23" ht="15.75" thickBot="1" x14ac:dyDescent="0.3">
      <c r="B41" s="249"/>
      <c r="C41" s="779" t="s">
        <v>549</v>
      </c>
      <c r="D41" s="238"/>
      <c r="E41" s="238"/>
      <c r="F41" s="238"/>
      <c r="G41" s="238"/>
      <c r="H41" s="2029"/>
      <c r="I41" s="2029"/>
      <c r="J41" s="2029"/>
      <c r="K41" s="2030"/>
      <c r="L41" s="2029"/>
      <c r="M41" s="2029"/>
      <c r="N41" s="2029"/>
      <c r="O41" s="2029"/>
      <c r="P41" s="2029"/>
      <c r="Q41" s="2029"/>
      <c r="R41" s="2029"/>
      <c r="S41" s="2029"/>
      <c r="T41" s="2029"/>
      <c r="U41" s="2029"/>
      <c r="V41" s="2029"/>
      <c r="W41" s="1671"/>
    </row>
    <row r="42" spans="2:23" ht="15.75" thickBot="1" x14ac:dyDescent="0.3">
      <c r="B42" s="249"/>
      <c r="C42" s="373"/>
      <c r="D42" s="256"/>
      <c r="E42" s="256"/>
      <c r="F42" s="1415" t="s">
        <v>411</v>
      </c>
      <c r="G42" s="257" t="s">
        <v>374</v>
      </c>
      <c r="H42" s="2031">
        <f>H103</f>
        <v>14652.010000000009</v>
      </c>
      <c r="I42" s="2032">
        <f t="shared" ref="I42:V42" si="11">I103</f>
        <v>11742.307849999983</v>
      </c>
      <c r="J42" s="2032">
        <f t="shared" si="11"/>
        <v>29030.329587249784</v>
      </c>
      <c r="K42" s="2032">
        <f t="shared" si="11"/>
        <v>26110.32466486597</v>
      </c>
      <c r="L42" s="2032">
        <f t="shared" si="11"/>
        <v>22973.822935985518</v>
      </c>
      <c r="M42" s="2032">
        <f t="shared" si="11"/>
        <v>19610.071697069914</v>
      </c>
      <c r="N42" s="2032">
        <f t="shared" si="11"/>
        <v>16007.856159085874</v>
      </c>
      <c r="O42" s="2032">
        <f t="shared" si="11"/>
        <v>12155.48100382986</v>
      </c>
      <c r="P42" s="2032">
        <f t="shared" si="11"/>
        <v>41436.376235416043</v>
      </c>
      <c r="Q42" s="2032">
        <f t="shared" si="11"/>
        <v>37714.489800721873</v>
      </c>
      <c r="R42" s="2032">
        <f t="shared" si="11"/>
        <v>33717.637701631873</v>
      </c>
      <c r="S42" s="2032">
        <f t="shared" si="11"/>
        <v>29432.270735930419</v>
      </c>
      <c r="T42" s="2032">
        <f t="shared" si="11"/>
        <v>24844.261185965734</v>
      </c>
      <c r="U42" s="2032">
        <f t="shared" si="11"/>
        <v>19938.879840110312</v>
      </c>
      <c r="V42" s="2033">
        <f t="shared" si="11"/>
        <v>14700.77213924739</v>
      </c>
      <c r="W42" s="1671"/>
    </row>
    <row r="43" spans="2:23" x14ac:dyDescent="0.25">
      <c r="B43" s="249"/>
      <c r="C43" s="264"/>
      <c r="D43" s="256"/>
      <c r="E43" s="256"/>
      <c r="F43" s="256"/>
      <c r="G43" s="257"/>
      <c r="H43" s="278"/>
      <c r="I43" s="278"/>
      <c r="J43" s="278"/>
      <c r="K43" s="278"/>
      <c r="L43" s="278"/>
      <c r="M43" s="278"/>
      <c r="N43" s="278"/>
      <c r="O43" s="422"/>
      <c r="P43" s="422"/>
      <c r="Q43" s="422"/>
      <c r="R43" s="422"/>
      <c r="S43" s="422"/>
      <c r="T43" s="422"/>
      <c r="U43" s="422"/>
      <c r="V43" s="422"/>
      <c r="W43" s="1671"/>
    </row>
    <row r="44" spans="2:23" ht="15.75" thickBot="1" x14ac:dyDescent="0.3">
      <c r="B44" s="727"/>
      <c r="C44" s="2601" t="s">
        <v>412</v>
      </c>
      <c r="D44" s="2601"/>
      <c r="E44" s="241"/>
      <c r="F44" s="241"/>
      <c r="G44" s="241"/>
      <c r="H44" s="241"/>
      <c r="I44" s="241"/>
      <c r="J44" s="241"/>
      <c r="K44" s="241"/>
      <c r="L44" s="241"/>
      <c r="M44" s="241"/>
      <c r="N44" s="241"/>
      <c r="O44" s="241"/>
      <c r="P44" s="241"/>
      <c r="Q44" s="241"/>
      <c r="R44" s="241"/>
      <c r="S44" s="241"/>
      <c r="T44" s="241"/>
      <c r="U44" s="241"/>
      <c r="V44" s="241"/>
      <c r="W44" s="1671"/>
    </row>
    <row r="45" spans="2:23" ht="15.75" thickBot="1" x14ac:dyDescent="0.3">
      <c r="B45" s="727"/>
      <c r="C45" s="339" t="s">
        <v>413</v>
      </c>
      <c r="D45" s="422"/>
      <c r="E45" s="422"/>
      <c r="F45" s="2597" t="s">
        <v>414</v>
      </c>
      <c r="G45" s="2598"/>
      <c r="H45" s="234" t="s">
        <v>364</v>
      </c>
      <c r="I45" s="728" t="s">
        <v>365</v>
      </c>
      <c r="J45" s="728" t="s">
        <v>366</v>
      </c>
      <c r="K45" s="728" t="s">
        <v>367</v>
      </c>
      <c r="L45" s="728" t="s">
        <v>368</v>
      </c>
      <c r="M45" s="728" t="s">
        <v>369</v>
      </c>
      <c r="N45" s="728" t="s">
        <v>370</v>
      </c>
      <c r="O45" s="728" t="s">
        <v>418</v>
      </c>
      <c r="P45" s="728" t="s">
        <v>419</v>
      </c>
      <c r="Q45" s="728" t="s">
        <v>420</v>
      </c>
      <c r="R45" s="728" t="s">
        <v>421</v>
      </c>
      <c r="S45" s="728" t="s">
        <v>422</v>
      </c>
      <c r="T45" s="728" t="s">
        <v>423</v>
      </c>
      <c r="U45" s="728" t="s">
        <v>424</v>
      </c>
      <c r="V45" s="733" t="s">
        <v>425</v>
      </c>
      <c r="W45" s="1671"/>
    </row>
    <row r="46" spans="2:23" x14ac:dyDescent="0.25">
      <c r="B46" s="727"/>
      <c r="C46" s="2577" t="s">
        <v>1883</v>
      </c>
      <c r="D46" s="2578"/>
      <c r="E46" s="2579"/>
      <c r="F46" s="2571">
        <v>0</v>
      </c>
      <c r="G46" s="2572"/>
      <c r="H46" s="2034">
        <v>0</v>
      </c>
      <c r="I46" s="2035">
        <v>0</v>
      </c>
      <c r="J46" s="2035">
        <v>0</v>
      </c>
      <c r="K46" s="2035">
        <v>0</v>
      </c>
      <c r="L46" s="2035">
        <v>0</v>
      </c>
      <c r="M46" s="2035">
        <v>0</v>
      </c>
      <c r="N46" s="2035">
        <v>0</v>
      </c>
      <c r="O46" s="2035">
        <v>0</v>
      </c>
      <c r="P46" s="2035">
        <v>0</v>
      </c>
      <c r="Q46" s="2035">
        <v>0</v>
      </c>
      <c r="R46" s="2035">
        <v>0</v>
      </c>
      <c r="S46" s="2035">
        <v>0</v>
      </c>
      <c r="T46" s="2035">
        <v>0</v>
      </c>
      <c r="U46" s="2035">
        <v>0</v>
      </c>
      <c r="V46" s="2036">
        <v>0</v>
      </c>
      <c r="W46" s="1671"/>
    </row>
    <row r="47" spans="2:23" x14ac:dyDescent="0.25">
      <c r="B47" s="727"/>
      <c r="C47" s="2586" t="s">
        <v>1884</v>
      </c>
      <c r="D47" s="2587"/>
      <c r="E47" s="2588"/>
      <c r="F47" s="2573">
        <v>0</v>
      </c>
      <c r="G47" s="2574"/>
      <c r="H47" s="2037">
        <v>0</v>
      </c>
      <c r="I47" s="2038">
        <v>0</v>
      </c>
      <c r="J47" s="2038">
        <v>0</v>
      </c>
      <c r="K47" s="2038">
        <v>0</v>
      </c>
      <c r="L47" s="2038">
        <v>0</v>
      </c>
      <c r="M47" s="2038">
        <v>0</v>
      </c>
      <c r="N47" s="2038">
        <v>0</v>
      </c>
      <c r="O47" s="2038">
        <v>0</v>
      </c>
      <c r="P47" s="2038">
        <v>0</v>
      </c>
      <c r="Q47" s="2038">
        <v>0</v>
      </c>
      <c r="R47" s="2038">
        <v>0</v>
      </c>
      <c r="S47" s="2038">
        <v>0</v>
      </c>
      <c r="T47" s="2038">
        <v>0</v>
      </c>
      <c r="U47" s="2038">
        <v>0</v>
      </c>
      <c r="V47" s="2039">
        <v>0</v>
      </c>
      <c r="W47" s="1671"/>
    </row>
    <row r="48" spans="2:23" ht="15.75" thickBot="1" x14ac:dyDescent="0.3">
      <c r="B48" s="727"/>
      <c r="C48" s="2583"/>
      <c r="D48" s="2584"/>
      <c r="E48" s="2585"/>
      <c r="F48" s="2575">
        <v>0</v>
      </c>
      <c r="G48" s="2576"/>
      <c r="H48" s="2040">
        <v>0</v>
      </c>
      <c r="I48" s="2041">
        <v>0</v>
      </c>
      <c r="J48" s="2041">
        <v>0</v>
      </c>
      <c r="K48" s="2041">
        <v>0</v>
      </c>
      <c r="L48" s="2041">
        <v>0</v>
      </c>
      <c r="M48" s="2041">
        <v>0</v>
      </c>
      <c r="N48" s="2041">
        <v>0</v>
      </c>
      <c r="O48" s="2041">
        <v>0</v>
      </c>
      <c r="P48" s="2041">
        <v>0</v>
      </c>
      <c r="Q48" s="2041">
        <v>0</v>
      </c>
      <c r="R48" s="2041">
        <v>0</v>
      </c>
      <c r="S48" s="2041">
        <v>0</v>
      </c>
      <c r="T48" s="2041">
        <v>0</v>
      </c>
      <c r="U48" s="2041">
        <v>0</v>
      </c>
      <c r="V48" s="2042">
        <v>0</v>
      </c>
      <c r="W48" s="1671"/>
    </row>
    <row r="49" spans="2:23" ht="15.75" thickTop="1" x14ac:dyDescent="0.25">
      <c r="B49" s="727"/>
      <c r="C49" s="615"/>
      <c r="D49" s="615"/>
      <c r="E49" s="615"/>
      <c r="F49" s="616"/>
      <c r="G49" s="617" t="s">
        <v>415</v>
      </c>
      <c r="H49" s="2043">
        <f>SUM(H46:H48)</f>
        <v>0</v>
      </c>
      <c r="I49" s="2044">
        <f t="shared" ref="I49:N49" si="12">SUM(I46:I48)</f>
        <v>0</v>
      </c>
      <c r="J49" s="2044">
        <f t="shared" si="12"/>
        <v>0</v>
      </c>
      <c r="K49" s="2044">
        <f t="shared" si="12"/>
        <v>0</v>
      </c>
      <c r="L49" s="2044">
        <f t="shared" si="12"/>
        <v>0</v>
      </c>
      <c r="M49" s="2044">
        <f t="shared" si="12"/>
        <v>0</v>
      </c>
      <c r="N49" s="2044">
        <f t="shared" si="12"/>
        <v>0</v>
      </c>
      <c r="O49" s="2044">
        <f>SUM(O46:O48)</f>
        <v>0</v>
      </c>
      <c r="P49" s="2044">
        <f t="shared" ref="P49:V49" si="13">SUM(P46:P48)</f>
        <v>0</v>
      </c>
      <c r="Q49" s="2044">
        <f t="shared" si="13"/>
        <v>0</v>
      </c>
      <c r="R49" s="2044">
        <f t="shared" si="13"/>
        <v>0</v>
      </c>
      <c r="S49" s="2044">
        <f t="shared" si="13"/>
        <v>0</v>
      </c>
      <c r="T49" s="2044">
        <f t="shared" si="13"/>
        <v>0</v>
      </c>
      <c r="U49" s="2044">
        <f t="shared" si="13"/>
        <v>0</v>
      </c>
      <c r="V49" s="2045">
        <f t="shared" si="13"/>
        <v>0</v>
      </c>
      <c r="W49" s="1671"/>
    </row>
    <row r="50" spans="2:23" x14ac:dyDescent="0.25">
      <c r="B50" s="727"/>
      <c r="C50" s="615"/>
      <c r="D50" s="615"/>
      <c r="E50" s="1118"/>
      <c r="F50" s="1415"/>
      <c r="G50" s="1415" t="s">
        <v>416</v>
      </c>
      <c r="H50" s="2046" t="str">
        <f>IFERROR(H42/H49,"0 ")</f>
        <v xml:space="preserve">0 </v>
      </c>
      <c r="I50" s="2047" t="str">
        <f>IFERROR(I42/I49,"0 ")</f>
        <v xml:space="preserve">0 </v>
      </c>
      <c r="J50" s="2047" t="str">
        <f t="shared" ref="J50:V50" si="14">IFERROR(J42/J49,"0 ")</f>
        <v xml:space="preserve">0 </v>
      </c>
      <c r="K50" s="2047" t="str">
        <f t="shared" si="14"/>
        <v xml:space="preserve">0 </v>
      </c>
      <c r="L50" s="2047" t="str">
        <f t="shared" si="14"/>
        <v xml:space="preserve">0 </v>
      </c>
      <c r="M50" s="2047" t="str">
        <f t="shared" si="14"/>
        <v xml:space="preserve">0 </v>
      </c>
      <c r="N50" s="2047" t="str">
        <f t="shared" si="14"/>
        <v xml:space="preserve">0 </v>
      </c>
      <c r="O50" s="2047" t="str">
        <f t="shared" si="14"/>
        <v xml:space="preserve">0 </v>
      </c>
      <c r="P50" s="2047" t="str">
        <f t="shared" si="14"/>
        <v xml:space="preserve">0 </v>
      </c>
      <c r="Q50" s="2047" t="str">
        <f t="shared" si="14"/>
        <v xml:space="preserve">0 </v>
      </c>
      <c r="R50" s="2047" t="str">
        <f t="shared" si="14"/>
        <v xml:space="preserve">0 </v>
      </c>
      <c r="S50" s="2047" t="str">
        <f t="shared" si="14"/>
        <v xml:space="preserve">0 </v>
      </c>
      <c r="T50" s="2047" t="str">
        <f t="shared" si="14"/>
        <v xml:space="preserve">0 </v>
      </c>
      <c r="U50" s="2047" t="str">
        <f t="shared" si="14"/>
        <v xml:space="preserve">0 </v>
      </c>
      <c r="V50" s="2048" t="str">
        <f t="shared" si="14"/>
        <v xml:space="preserve">0 </v>
      </c>
      <c r="W50" s="1671"/>
    </row>
    <row r="51" spans="2:23" ht="15.75" thickBot="1" x14ac:dyDescent="0.3">
      <c r="B51" s="727"/>
      <c r="C51" s="615"/>
      <c r="D51" s="615"/>
      <c r="E51" s="2599" t="s">
        <v>674</v>
      </c>
      <c r="F51" s="2599"/>
      <c r="G51" s="2600"/>
      <c r="H51" s="2049">
        <f>H42-H49</f>
        <v>14652.010000000009</v>
      </c>
      <c r="I51" s="2050">
        <f t="shared" ref="I51:N51" si="15">I42-I49</f>
        <v>11742.307849999983</v>
      </c>
      <c r="J51" s="2050">
        <f t="shared" si="15"/>
        <v>29030.329587249784</v>
      </c>
      <c r="K51" s="2050">
        <f>K42-K49</f>
        <v>26110.32466486597</v>
      </c>
      <c r="L51" s="2050">
        <f t="shared" si="15"/>
        <v>22973.822935985518</v>
      </c>
      <c r="M51" s="2050">
        <f t="shared" si="15"/>
        <v>19610.071697069914</v>
      </c>
      <c r="N51" s="2050">
        <f t="shared" si="15"/>
        <v>16007.856159085874</v>
      </c>
      <c r="O51" s="2050">
        <f>O42-O49</f>
        <v>12155.48100382986</v>
      </c>
      <c r="P51" s="2050">
        <f t="shared" ref="P51:V51" si="16">P42-P49</f>
        <v>41436.376235416043</v>
      </c>
      <c r="Q51" s="2050">
        <f t="shared" si="16"/>
        <v>37714.489800721873</v>
      </c>
      <c r="R51" s="2050">
        <f t="shared" si="16"/>
        <v>33717.637701631873</v>
      </c>
      <c r="S51" s="2050">
        <f t="shared" si="16"/>
        <v>29432.270735930419</v>
      </c>
      <c r="T51" s="2050">
        <f t="shared" si="16"/>
        <v>24844.261185965734</v>
      </c>
      <c r="U51" s="2050">
        <f t="shared" si="16"/>
        <v>19938.879840110312</v>
      </c>
      <c r="V51" s="2051">
        <f t="shared" si="16"/>
        <v>14700.77213924739</v>
      </c>
      <c r="W51" s="1671"/>
    </row>
    <row r="52" spans="2:23" ht="15" customHeight="1" thickBot="1" x14ac:dyDescent="0.3">
      <c r="B52" s="727"/>
      <c r="C52" s="615"/>
      <c r="D52" s="615"/>
      <c r="E52" s="615"/>
      <c r="F52" s="616"/>
      <c r="G52" s="616"/>
      <c r="H52" s="618"/>
      <c r="I52" s="618"/>
      <c r="J52" s="618"/>
      <c r="K52" s="618"/>
      <c r="L52" s="618"/>
      <c r="M52" s="618"/>
      <c r="N52" s="618"/>
      <c r="O52" s="422"/>
      <c r="P52" s="422"/>
      <c r="Q52" s="422"/>
      <c r="R52" s="422"/>
      <c r="S52" s="422"/>
      <c r="T52" s="422"/>
      <c r="U52" s="422"/>
      <c r="V52" s="422"/>
      <c r="W52" s="1671"/>
    </row>
    <row r="53" spans="2:23" ht="15.75" thickBot="1" x14ac:dyDescent="0.3">
      <c r="B53" s="727"/>
      <c r="C53" s="339" t="s">
        <v>417</v>
      </c>
      <c r="D53" s="422"/>
      <c r="E53" s="422"/>
      <c r="F53" s="2597" t="s">
        <v>414</v>
      </c>
      <c r="G53" s="2598"/>
      <c r="H53" s="234" t="s">
        <v>364</v>
      </c>
      <c r="I53" s="728" t="s">
        <v>365</v>
      </c>
      <c r="J53" s="728" t="s">
        <v>366</v>
      </c>
      <c r="K53" s="728" t="s">
        <v>367</v>
      </c>
      <c r="L53" s="728" t="s">
        <v>368</v>
      </c>
      <c r="M53" s="728" t="s">
        <v>369</v>
      </c>
      <c r="N53" s="728" t="s">
        <v>370</v>
      </c>
      <c r="O53" s="728" t="s">
        <v>418</v>
      </c>
      <c r="P53" s="728" t="s">
        <v>419</v>
      </c>
      <c r="Q53" s="728" t="s">
        <v>420</v>
      </c>
      <c r="R53" s="728" t="s">
        <v>421</v>
      </c>
      <c r="S53" s="728" t="s">
        <v>422</v>
      </c>
      <c r="T53" s="728" t="s">
        <v>423</v>
      </c>
      <c r="U53" s="728" t="s">
        <v>424</v>
      </c>
      <c r="V53" s="733" t="s">
        <v>425</v>
      </c>
      <c r="W53" s="1671"/>
    </row>
    <row r="54" spans="2:23" x14ac:dyDescent="0.25">
      <c r="B54" s="727"/>
      <c r="C54" s="2577" t="s">
        <v>1962</v>
      </c>
      <c r="D54" s="2578"/>
      <c r="E54" s="2579"/>
      <c r="F54" s="2571">
        <f>'7A'!E28</f>
        <v>0</v>
      </c>
      <c r="G54" s="2572"/>
      <c r="H54" s="2034">
        <f t="shared" ref="H54:V54" si="17">H51</f>
        <v>14652.010000000009</v>
      </c>
      <c r="I54" s="2035">
        <f t="shared" si="17"/>
        <v>11742.307849999983</v>
      </c>
      <c r="J54" s="2035">
        <f t="shared" si="17"/>
        <v>29030.329587249784</v>
      </c>
      <c r="K54" s="2035">
        <f t="shared" si="17"/>
        <v>26110.32466486597</v>
      </c>
      <c r="L54" s="2035">
        <f t="shared" si="17"/>
        <v>22973.822935985518</v>
      </c>
      <c r="M54" s="2035">
        <f t="shared" si="17"/>
        <v>19610.071697069914</v>
      </c>
      <c r="N54" s="2035">
        <f t="shared" si="17"/>
        <v>16007.856159085874</v>
      </c>
      <c r="O54" s="2035">
        <f t="shared" si="17"/>
        <v>12155.48100382986</v>
      </c>
      <c r="P54" s="2035">
        <f t="shared" si="17"/>
        <v>41436.376235416043</v>
      </c>
      <c r="Q54" s="2035">
        <f t="shared" si="17"/>
        <v>37714.489800721873</v>
      </c>
      <c r="R54" s="2035">
        <f t="shared" si="17"/>
        <v>33717.637701631873</v>
      </c>
      <c r="S54" s="2035">
        <f t="shared" si="17"/>
        <v>29432.270735930419</v>
      </c>
      <c r="T54" s="2035">
        <f t="shared" si="17"/>
        <v>24844.261185965734</v>
      </c>
      <c r="U54" s="2035">
        <f t="shared" si="17"/>
        <v>19938.879840110312</v>
      </c>
      <c r="V54" s="2266">
        <f t="shared" si="17"/>
        <v>14700.77213924739</v>
      </c>
      <c r="W54" s="1671"/>
    </row>
    <row r="55" spans="2:23" x14ac:dyDescent="0.25">
      <c r="B55" s="727"/>
      <c r="C55" s="2580"/>
      <c r="D55" s="2581"/>
      <c r="E55" s="2582"/>
      <c r="F55" s="2573">
        <v>0</v>
      </c>
      <c r="G55" s="2574"/>
      <c r="H55" s="2037">
        <v>0</v>
      </c>
      <c r="I55" s="2038">
        <v>0</v>
      </c>
      <c r="J55" s="2038">
        <v>0</v>
      </c>
      <c r="K55" s="2038">
        <v>0</v>
      </c>
      <c r="L55" s="2038">
        <v>0</v>
      </c>
      <c r="M55" s="2038">
        <v>0</v>
      </c>
      <c r="N55" s="2038">
        <v>0</v>
      </c>
      <c r="O55" s="2038">
        <v>0</v>
      </c>
      <c r="P55" s="2038">
        <v>0</v>
      </c>
      <c r="Q55" s="2038">
        <v>0</v>
      </c>
      <c r="R55" s="2038">
        <v>0</v>
      </c>
      <c r="S55" s="2038">
        <v>0</v>
      </c>
      <c r="T55" s="2038">
        <v>0</v>
      </c>
      <c r="U55" s="2038">
        <v>0</v>
      </c>
      <c r="V55" s="2052">
        <v>0</v>
      </c>
      <c r="W55" s="1671"/>
    </row>
    <row r="56" spans="2:23" x14ac:dyDescent="0.25">
      <c r="B56" s="727"/>
      <c r="C56" s="2580"/>
      <c r="D56" s="2581"/>
      <c r="E56" s="2582"/>
      <c r="F56" s="2573">
        <v>0</v>
      </c>
      <c r="G56" s="2574"/>
      <c r="H56" s="2037">
        <v>0</v>
      </c>
      <c r="I56" s="2038">
        <v>0</v>
      </c>
      <c r="J56" s="2038">
        <v>0</v>
      </c>
      <c r="K56" s="2038">
        <v>0</v>
      </c>
      <c r="L56" s="2038">
        <v>0</v>
      </c>
      <c r="M56" s="2038">
        <v>0</v>
      </c>
      <c r="N56" s="2038">
        <v>0</v>
      </c>
      <c r="O56" s="2038">
        <v>0</v>
      </c>
      <c r="P56" s="2038">
        <v>0</v>
      </c>
      <c r="Q56" s="2038">
        <v>0</v>
      </c>
      <c r="R56" s="2038">
        <v>0</v>
      </c>
      <c r="S56" s="2038">
        <v>0</v>
      </c>
      <c r="T56" s="2038">
        <v>0</v>
      </c>
      <c r="U56" s="2038">
        <v>0</v>
      </c>
      <c r="V56" s="2052">
        <v>0</v>
      </c>
      <c r="W56" s="1671"/>
    </row>
    <row r="57" spans="2:23" ht="15.75" thickBot="1" x14ac:dyDescent="0.3">
      <c r="B57" s="727"/>
      <c r="C57" s="2583"/>
      <c r="D57" s="2584"/>
      <c r="E57" s="2585"/>
      <c r="F57" s="2575">
        <v>0</v>
      </c>
      <c r="G57" s="2576"/>
      <c r="H57" s="2053">
        <v>0</v>
      </c>
      <c r="I57" s="2054">
        <v>0</v>
      </c>
      <c r="J57" s="2054">
        <v>0</v>
      </c>
      <c r="K57" s="2054">
        <v>0</v>
      </c>
      <c r="L57" s="2054">
        <v>0</v>
      </c>
      <c r="M57" s="2054">
        <v>0</v>
      </c>
      <c r="N57" s="2054">
        <v>0</v>
      </c>
      <c r="O57" s="2054">
        <v>0</v>
      </c>
      <c r="P57" s="2054">
        <v>0</v>
      </c>
      <c r="Q57" s="2054">
        <v>0</v>
      </c>
      <c r="R57" s="2054">
        <v>0</v>
      </c>
      <c r="S57" s="2054">
        <v>0</v>
      </c>
      <c r="T57" s="2054">
        <v>0</v>
      </c>
      <c r="U57" s="2054">
        <v>0</v>
      </c>
      <c r="V57" s="2055">
        <v>0</v>
      </c>
      <c r="W57" s="1671"/>
    </row>
    <row r="58" spans="2:23" ht="16.5" thickTop="1" thickBot="1" x14ac:dyDescent="0.3">
      <c r="B58" s="727"/>
      <c r="C58" s="422"/>
      <c r="D58" s="422"/>
      <c r="E58" s="1120"/>
      <c r="F58" s="1120"/>
      <c r="G58" s="1119" t="s">
        <v>671</v>
      </c>
      <c r="H58" s="2056">
        <f>SUM(H54:H57)</f>
        <v>14652.010000000009</v>
      </c>
      <c r="I58" s="2057">
        <f t="shared" ref="I58:N58" si="18">SUM(I54:I57)</f>
        <v>11742.307849999983</v>
      </c>
      <c r="J58" s="2057">
        <f t="shared" si="18"/>
        <v>29030.329587249784</v>
      </c>
      <c r="K58" s="2057">
        <f t="shared" si="18"/>
        <v>26110.32466486597</v>
      </c>
      <c r="L58" s="2057">
        <f t="shared" si="18"/>
        <v>22973.822935985518</v>
      </c>
      <c r="M58" s="2057">
        <f t="shared" si="18"/>
        <v>19610.071697069914</v>
      </c>
      <c r="N58" s="2057">
        <f t="shared" si="18"/>
        <v>16007.856159085874</v>
      </c>
      <c r="O58" s="2057">
        <f>SUM(O54:O57)</f>
        <v>12155.48100382986</v>
      </c>
      <c r="P58" s="2057">
        <f t="shared" ref="P58:V58" si="19">SUM(P54:P57)</f>
        <v>41436.376235416043</v>
      </c>
      <c r="Q58" s="2057">
        <f t="shared" si="19"/>
        <v>37714.489800721873</v>
      </c>
      <c r="R58" s="2057">
        <f t="shared" si="19"/>
        <v>33717.637701631873</v>
      </c>
      <c r="S58" s="2057">
        <f t="shared" si="19"/>
        <v>29432.270735930419</v>
      </c>
      <c r="T58" s="2057">
        <f t="shared" si="19"/>
        <v>24844.261185965734</v>
      </c>
      <c r="U58" s="2057">
        <f t="shared" si="19"/>
        <v>19938.879840110312</v>
      </c>
      <c r="V58" s="2058">
        <f t="shared" si="19"/>
        <v>14700.77213924739</v>
      </c>
      <c r="W58" s="1671"/>
    </row>
    <row r="59" spans="2:23" ht="7.5" customHeight="1" thickBot="1" x14ac:dyDescent="0.3">
      <c r="B59" s="727"/>
      <c r="C59" s="422"/>
      <c r="D59" s="422"/>
      <c r="E59" s="1121"/>
      <c r="F59" s="1121"/>
      <c r="G59" s="1078"/>
      <c r="H59" s="2028"/>
      <c r="I59" s="2028"/>
      <c r="J59" s="2028"/>
      <c r="K59" s="2028"/>
      <c r="L59" s="2028"/>
      <c r="M59" s="2028"/>
      <c r="N59" s="2028"/>
      <c r="O59" s="2028"/>
      <c r="P59" s="2028"/>
      <c r="Q59" s="2028"/>
      <c r="R59" s="2028"/>
      <c r="S59" s="2028"/>
      <c r="T59" s="2028"/>
      <c r="U59" s="2028"/>
      <c r="V59" s="2028"/>
      <c r="W59" s="1671"/>
    </row>
    <row r="60" spans="2:23" x14ac:dyDescent="0.25">
      <c r="B60" s="727"/>
      <c r="C60" s="422"/>
      <c r="D60" s="422"/>
      <c r="E60" s="264"/>
      <c r="F60" s="264"/>
      <c r="G60" s="1416" t="s">
        <v>672</v>
      </c>
      <c r="H60" s="2059">
        <f>IFERROR(H42/(H49+H58),"0 ")</f>
        <v>1</v>
      </c>
      <c r="I60" s="2060">
        <f t="shared" ref="I60:V60" si="20">IFERROR(I42/(I49+I58),"0 ")</f>
        <v>1</v>
      </c>
      <c r="J60" s="2060">
        <f t="shared" si="20"/>
        <v>1</v>
      </c>
      <c r="K60" s="2060">
        <f t="shared" si="20"/>
        <v>1</v>
      </c>
      <c r="L60" s="2060">
        <f t="shared" si="20"/>
        <v>1</v>
      </c>
      <c r="M60" s="2060">
        <f t="shared" si="20"/>
        <v>1</v>
      </c>
      <c r="N60" s="2060">
        <f t="shared" si="20"/>
        <v>1</v>
      </c>
      <c r="O60" s="2060">
        <f t="shared" si="20"/>
        <v>1</v>
      </c>
      <c r="P60" s="2060">
        <f t="shared" si="20"/>
        <v>1</v>
      </c>
      <c r="Q60" s="2060">
        <f t="shared" si="20"/>
        <v>1</v>
      </c>
      <c r="R60" s="2060">
        <f t="shared" si="20"/>
        <v>1</v>
      </c>
      <c r="S60" s="2060">
        <f t="shared" si="20"/>
        <v>1</v>
      </c>
      <c r="T60" s="2060">
        <f t="shared" si="20"/>
        <v>1</v>
      </c>
      <c r="U60" s="2060">
        <f t="shared" si="20"/>
        <v>1</v>
      </c>
      <c r="V60" s="2061">
        <f t="shared" si="20"/>
        <v>1</v>
      </c>
      <c r="W60" s="1671"/>
    </row>
    <row r="61" spans="2:23" ht="15.75" thickBot="1" x14ac:dyDescent="0.3">
      <c r="B61" s="727"/>
      <c r="C61" s="422"/>
      <c r="D61" s="422"/>
      <c r="E61" s="264"/>
      <c r="F61" s="281"/>
      <c r="G61" s="1416" t="s">
        <v>673</v>
      </c>
      <c r="H61" s="2062">
        <f>H51-H58</f>
        <v>0</v>
      </c>
      <c r="I61" s="2063">
        <f t="shared" ref="I61:M61" si="21">I51-I58</f>
        <v>0</v>
      </c>
      <c r="J61" s="2063">
        <f t="shared" si="21"/>
        <v>0</v>
      </c>
      <c r="K61" s="2063">
        <f t="shared" si="21"/>
        <v>0</v>
      </c>
      <c r="L61" s="2063">
        <f t="shared" si="21"/>
        <v>0</v>
      </c>
      <c r="M61" s="2063">
        <f t="shared" si="21"/>
        <v>0</v>
      </c>
      <c r="N61" s="2063">
        <f>N51-N58</f>
        <v>0</v>
      </c>
      <c r="O61" s="2063">
        <f>O51-O58</f>
        <v>0</v>
      </c>
      <c r="P61" s="2063">
        <f t="shared" ref="P61:U61" si="22">P51-P58</f>
        <v>0</v>
      </c>
      <c r="Q61" s="2063">
        <f t="shared" si="22"/>
        <v>0</v>
      </c>
      <c r="R61" s="2063">
        <f t="shared" si="22"/>
        <v>0</v>
      </c>
      <c r="S61" s="2063">
        <f t="shared" si="22"/>
        <v>0</v>
      </c>
      <c r="T61" s="2063">
        <f t="shared" si="22"/>
        <v>0</v>
      </c>
      <c r="U61" s="2063">
        <f t="shared" si="22"/>
        <v>0</v>
      </c>
      <c r="V61" s="2064">
        <f>V51-V58</f>
        <v>0</v>
      </c>
      <c r="W61" s="1671"/>
    </row>
    <row r="62" spans="2:23" ht="9" customHeight="1" thickBot="1" x14ac:dyDescent="0.3">
      <c r="B62" s="738"/>
      <c r="C62" s="739"/>
      <c r="D62" s="740"/>
      <c r="E62" s="739"/>
      <c r="F62" s="739"/>
      <c r="G62" s="739"/>
      <c r="H62" s="739"/>
      <c r="I62" s="739"/>
      <c r="J62" s="739"/>
      <c r="K62" s="739"/>
      <c r="L62" s="739"/>
      <c r="M62" s="739"/>
      <c r="N62" s="739"/>
      <c r="O62" s="724"/>
      <c r="P62" s="1678"/>
      <c r="Q62" s="1679"/>
      <c r="R62" s="1679"/>
      <c r="S62" s="1679"/>
      <c r="T62" s="1679"/>
      <c r="U62" s="1679"/>
      <c r="V62" s="1679"/>
      <c r="W62" s="741"/>
    </row>
    <row r="63" spans="2:23" ht="9" customHeight="1" x14ac:dyDescent="0.25">
      <c r="B63" s="244"/>
      <c r="C63" s="725"/>
      <c r="D63" s="725"/>
      <c r="E63" s="725"/>
      <c r="F63" s="725"/>
      <c r="G63" s="725"/>
      <c r="H63" s="725"/>
      <c r="I63" s="725"/>
      <c r="J63" s="725"/>
      <c r="K63" s="725"/>
      <c r="L63" s="725"/>
      <c r="M63" s="725"/>
      <c r="N63" s="725"/>
      <c r="O63" s="725"/>
      <c r="P63" s="725"/>
      <c r="Q63" s="725"/>
      <c r="R63" s="725"/>
      <c r="S63" s="725"/>
      <c r="T63" s="725"/>
      <c r="U63" s="725"/>
      <c r="V63" s="725"/>
      <c r="W63" s="245"/>
    </row>
    <row r="64" spans="2:23" ht="18.75" x14ac:dyDescent="0.3">
      <c r="B64" s="246"/>
      <c r="C64" s="1412" t="s">
        <v>537</v>
      </c>
      <c r="D64" s="1412"/>
      <c r="E64" s="1412"/>
      <c r="F64" s="1412"/>
      <c r="G64" s="1412"/>
      <c r="H64" s="1412"/>
      <c r="I64" s="1412"/>
      <c r="J64" s="1412"/>
      <c r="K64" s="1412"/>
      <c r="L64" s="1412"/>
      <c r="M64" s="1412"/>
      <c r="N64" s="695"/>
      <c r="O64" s="695"/>
      <c r="P64" s="695"/>
      <c r="Q64" s="695"/>
      <c r="R64" s="695"/>
      <c r="S64" s="695"/>
      <c r="T64" s="695"/>
      <c r="U64" s="695"/>
      <c r="V64" s="695"/>
      <c r="W64" s="248"/>
    </row>
    <row r="65" spans="2:23" ht="7.5" customHeight="1" x14ac:dyDescent="0.25">
      <c r="B65" s="246"/>
      <c r="C65" s="247"/>
      <c r="D65" s="247"/>
      <c r="E65" s="247"/>
      <c r="F65" s="247"/>
      <c r="G65" s="247"/>
      <c r="H65" s="247"/>
      <c r="I65" s="247"/>
      <c r="J65" s="247"/>
      <c r="K65" s="247"/>
      <c r="L65" s="247"/>
      <c r="M65" s="247"/>
      <c r="N65" s="247"/>
      <c r="O65" s="247"/>
      <c r="P65" s="247"/>
      <c r="Q65" s="247"/>
      <c r="R65" s="247"/>
      <c r="S65" s="247"/>
      <c r="T65" s="247"/>
      <c r="U65" s="247"/>
      <c r="V65" s="247"/>
      <c r="W65" s="248"/>
    </row>
    <row r="66" spans="2:23" ht="15.75" thickBot="1" x14ac:dyDescent="0.3">
      <c r="B66" s="246"/>
      <c r="C66" s="1413" t="str">
        <f>IF('1'!G5="","Enter Project Name on Form 1",(CONCATENATE("Project Name: ",'1'!G5)))</f>
        <v>Project Name: Compass Broadview</v>
      </c>
      <c r="D66" s="1680"/>
      <c r="E66" s="1680"/>
      <c r="F66" s="1680"/>
      <c r="G66" s="1680"/>
      <c r="H66" s="1680"/>
      <c r="I66" s="1680"/>
      <c r="J66" s="1681"/>
      <c r="K66" s="336"/>
      <c r="L66" s="1122"/>
      <c r="M66" s="1122"/>
      <c r="N66" s="494"/>
      <c r="O66" s="494"/>
      <c r="P66" s="494"/>
      <c r="Q66" s="494"/>
      <c r="R66" s="494"/>
      <c r="S66" s="494"/>
      <c r="T66" s="494"/>
      <c r="U66" s="494"/>
      <c r="V66" s="494"/>
      <c r="W66" s="248"/>
    </row>
    <row r="67" spans="2:23" ht="3.75" customHeight="1" x14ac:dyDescent="0.25">
      <c r="B67" s="246"/>
      <c r="C67" s="494"/>
      <c r="D67" s="494"/>
      <c r="E67" s="494"/>
      <c r="F67" s="494"/>
      <c r="G67" s="494"/>
      <c r="H67" s="422"/>
      <c r="I67" s="422"/>
      <c r="J67" s="422"/>
      <c r="K67" s="422"/>
      <c r="L67" s="494"/>
      <c r="M67" s="494"/>
      <c r="N67" s="494"/>
      <c r="O67" s="494"/>
      <c r="P67" s="494"/>
      <c r="Q67" s="494"/>
      <c r="R67" s="494"/>
      <c r="S67" s="494"/>
      <c r="T67" s="494"/>
      <c r="U67" s="494"/>
      <c r="V67" s="494"/>
      <c r="W67" s="248"/>
    </row>
    <row r="68" spans="2:23" x14ac:dyDescent="0.25">
      <c r="B68" s="249"/>
      <c r="C68" s="494" t="s">
        <v>362</v>
      </c>
      <c r="D68" s="734">
        <f>IF(D18=0,"",D18)</f>
        <v>42626</v>
      </c>
      <c r="E68" s="247"/>
      <c r="F68" s="247"/>
      <c r="G68" s="247"/>
      <c r="H68" s="250"/>
      <c r="I68" s="250"/>
      <c r="J68" s="250"/>
      <c r="K68" s="250"/>
      <c r="L68" s="250"/>
      <c r="M68" s="251"/>
      <c r="N68" s="250"/>
      <c r="O68" s="250"/>
      <c r="P68" s="250"/>
      <c r="Q68" s="250"/>
      <c r="R68" s="250"/>
      <c r="S68" s="250"/>
      <c r="T68" s="250"/>
      <c r="U68" s="250"/>
      <c r="V68" s="250"/>
      <c r="W68" s="252"/>
    </row>
    <row r="69" spans="2:23" ht="7.5" customHeight="1" thickBot="1" x14ac:dyDescent="0.3">
      <c r="B69" s="727"/>
      <c r="C69" s="422"/>
      <c r="D69" s="422"/>
      <c r="E69" s="422"/>
      <c r="F69" s="422"/>
      <c r="G69" s="422"/>
      <c r="H69" s="422"/>
      <c r="I69" s="422"/>
      <c r="J69" s="422"/>
      <c r="K69" s="422"/>
      <c r="L69" s="422"/>
      <c r="M69" s="422"/>
      <c r="N69" s="422"/>
      <c r="O69" s="422"/>
      <c r="P69" s="422"/>
      <c r="Q69" s="422"/>
      <c r="R69" s="422"/>
      <c r="S69" s="422"/>
      <c r="T69" s="422"/>
      <c r="U69" s="422"/>
      <c r="V69" s="422"/>
      <c r="W69" s="735"/>
    </row>
    <row r="70" spans="2:23" ht="36.75" thickBot="1" x14ac:dyDescent="0.3">
      <c r="B70" s="249"/>
      <c r="C70" s="254" t="s">
        <v>382</v>
      </c>
      <c r="D70" s="247"/>
      <c r="E70" s="265"/>
      <c r="F70" s="736" t="s">
        <v>372</v>
      </c>
      <c r="G70" s="239" t="s">
        <v>383</v>
      </c>
      <c r="H70" s="234" t="s">
        <v>364</v>
      </c>
      <c r="I70" s="728" t="s">
        <v>365</v>
      </c>
      <c r="J70" s="728" t="s">
        <v>366</v>
      </c>
      <c r="K70" s="728" t="s">
        <v>367</v>
      </c>
      <c r="L70" s="728" t="s">
        <v>368</v>
      </c>
      <c r="M70" s="728" t="s">
        <v>369</v>
      </c>
      <c r="N70" s="728" t="s">
        <v>370</v>
      </c>
      <c r="O70" s="728" t="s">
        <v>418</v>
      </c>
      <c r="P70" s="728" t="s">
        <v>419</v>
      </c>
      <c r="Q70" s="728" t="s">
        <v>420</v>
      </c>
      <c r="R70" s="728" t="s">
        <v>421</v>
      </c>
      <c r="S70" s="728" t="s">
        <v>422</v>
      </c>
      <c r="T70" s="728" t="s">
        <v>423</v>
      </c>
      <c r="U70" s="728" t="s">
        <v>424</v>
      </c>
      <c r="V70" s="242" t="s">
        <v>425</v>
      </c>
      <c r="W70" s="1671"/>
    </row>
    <row r="71" spans="2:23" x14ac:dyDescent="0.25">
      <c r="B71" s="249"/>
      <c r="C71" s="266" t="s">
        <v>384</v>
      </c>
      <c r="D71" s="267"/>
      <c r="E71" s="780"/>
      <c r="F71" s="785">
        <v>3.5000000000000003E-2</v>
      </c>
      <c r="G71" s="2065">
        <f>IFERROR(H71/'2A'!$L$22,"")</f>
        <v>2288.1355932203392</v>
      </c>
      <c r="H71" s="2066">
        <f>'8C'!L25</f>
        <v>135000</v>
      </c>
      <c r="I71" s="2067">
        <f t="shared" ref="I71:V71" si="23">H71+(H71*$F71)</f>
        <v>139725</v>
      </c>
      <c r="J71" s="2067">
        <f>I71+(I71*$F71)</f>
        <v>144615.375</v>
      </c>
      <c r="K71" s="2067">
        <f t="shared" si="23"/>
        <v>149676.91312499999</v>
      </c>
      <c r="L71" s="2067">
        <f t="shared" si="23"/>
        <v>154915.60508437498</v>
      </c>
      <c r="M71" s="2067">
        <f t="shared" si="23"/>
        <v>160337.65126232812</v>
      </c>
      <c r="N71" s="2067">
        <f t="shared" si="23"/>
        <v>165949.46905650961</v>
      </c>
      <c r="O71" s="2067">
        <f t="shared" si="23"/>
        <v>171757.70047348744</v>
      </c>
      <c r="P71" s="2067">
        <f t="shared" si="23"/>
        <v>177769.2199900595</v>
      </c>
      <c r="Q71" s="2067">
        <f t="shared" si="23"/>
        <v>183991.14268971159</v>
      </c>
      <c r="R71" s="2067">
        <f t="shared" si="23"/>
        <v>190430.83268385151</v>
      </c>
      <c r="S71" s="2067">
        <f t="shared" si="23"/>
        <v>197095.9118277863</v>
      </c>
      <c r="T71" s="2067">
        <f t="shared" si="23"/>
        <v>203994.26874175883</v>
      </c>
      <c r="U71" s="2067">
        <f t="shared" si="23"/>
        <v>211134.06814772039</v>
      </c>
      <c r="V71" s="2068">
        <f t="shared" si="23"/>
        <v>218523.76053289059</v>
      </c>
      <c r="W71" s="1671"/>
    </row>
    <row r="72" spans="2:23" x14ac:dyDescent="0.25">
      <c r="B72" s="268"/>
      <c r="C72" s="269" t="s">
        <v>385</v>
      </c>
      <c r="D72" s="270"/>
      <c r="E72" s="781"/>
      <c r="F72" s="786">
        <v>3.5000000000000003E-2</v>
      </c>
      <c r="G72" s="2069">
        <f>IFERROR(H72/'2A'!$L$22,"")</f>
        <v>918.26677966101693</v>
      </c>
      <c r="H72" s="2070">
        <f>H39*8%</f>
        <v>54177.74</v>
      </c>
      <c r="I72" s="2071">
        <f t="shared" ref="I72:V72" si="24">H72+(H72*$F72)</f>
        <v>56073.960899999998</v>
      </c>
      <c r="J72" s="2071">
        <f t="shared" si="24"/>
        <v>58036.549531500001</v>
      </c>
      <c r="K72" s="2071">
        <f t="shared" si="24"/>
        <v>60067.828765102502</v>
      </c>
      <c r="L72" s="2071">
        <f t="shared" si="24"/>
        <v>62170.202771881093</v>
      </c>
      <c r="M72" s="2071">
        <f t="shared" si="24"/>
        <v>64346.159868896932</v>
      </c>
      <c r="N72" s="2071">
        <f t="shared" si="24"/>
        <v>66598.275464308332</v>
      </c>
      <c r="O72" s="2071">
        <f t="shared" si="24"/>
        <v>68929.215105559124</v>
      </c>
      <c r="P72" s="2071">
        <f t="shared" si="24"/>
        <v>71341.737634253688</v>
      </c>
      <c r="Q72" s="2071">
        <f t="shared" si="24"/>
        <v>73838.698451452568</v>
      </c>
      <c r="R72" s="2071">
        <f t="shared" si="24"/>
        <v>76423.052897253408</v>
      </c>
      <c r="S72" s="2071">
        <f t="shared" si="24"/>
        <v>79097.859748657283</v>
      </c>
      <c r="T72" s="2071">
        <f t="shared" si="24"/>
        <v>81866.284839860295</v>
      </c>
      <c r="U72" s="2071">
        <f t="shared" si="24"/>
        <v>84731.604809255412</v>
      </c>
      <c r="V72" s="2072">
        <f t="shared" si="24"/>
        <v>87697.210977579351</v>
      </c>
      <c r="W72" s="1671"/>
    </row>
    <row r="73" spans="2:23" x14ac:dyDescent="0.25">
      <c r="B73" s="249"/>
      <c r="C73" s="269" t="s">
        <v>386</v>
      </c>
      <c r="D73" s="270"/>
      <c r="E73" s="781"/>
      <c r="F73" s="786">
        <v>3.5000000000000003E-2</v>
      </c>
      <c r="G73" s="2069">
        <f>IFERROR(H73/'2A'!$L$22,"")</f>
        <v>169.4915254237288</v>
      </c>
      <c r="H73" s="2070">
        <v>10000</v>
      </c>
      <c r="I73" s="2071">
        <f t="shared" ref="I73:V73" si="25">H73+(H73*$F73)</f>
        <v>10350</v>
      </c>
      <c r="J73" s="2071">
        <f t="shared" si="25"/>
        <v>10712.25</v>
      </c>
      <c r="K73" s="2071">
        <f t="shared" si="25"/>
        <v>11087.178749999999</v>
      </c>
      <c r="L73" s="2071">
        <f t="shared" si="25"/>
        <v>11475.23000625</v>
      </c>
      <c r="M73" s="2071">
        <f t="shared" si="25"/>
        <v>11876.86305646875</v>
      </c>
      <c r="N73" s="2071">
        <f t="shared" si="25"/>
        <v>12292.553263445156</v>
      </c>
      <c r="O73" s="2071">
        <f t="shared" si="25"/>
        <v>12722.792627665736</v>
      </c>
      <c r="P73" s="2071">
        <f t="shared" si="25"/>
        <v>13168.090369634037</v>
      </c>
      <c r="Q73" s="2071">
        <f t="shared" si="25"/>
        <v>13628.973532571228</v>
      </c>
      <c r="R73" s="2071">
        <f t="shared" si="25"/>
        <v>14105.987606211222</v>
      </c>
      <c r="S73" s="2071">
        <f t="shared" si="25"/>
        <v>14599.697172428614</v>
      </c>
      <c r="T73" s="2071">
        <f t="shared" si="25"/>
        <v>15110.686573463616</v>
      </c>
      <c r="U73" s="2071">
        <f t="shared" si="25"/>
        <v>15639.560603534843</v>
      </c>
      <c r="V73" s="2072">
        <f t="shared" si="25"/>
        <v>16186.945224658562</v>
      </c>
      <c r="W73" s="1671"/>
    </row>
    <row r="74" spans="2:23" x14ac:dyDescent="0.25">
      <c r="B74" s="249"/>
      <c r="C74" s="269" t="s">
        <v>387</v>
      </c>
      <c r="D74" s="271"/>
      <c r="E74" s="781"/>
      <c r="F74" s="786">
        <v>3.5000000000000003E-2</v>
      </c>
      <c r="G74" s="2069">
        <f>IFERROR(H74/'2A'!$L$22,"")</f>
        <v>0</v>
      </c>
      <c r="H74" s="2070">
        <v>0</v>
      </c>
      <c r="I74" s="2071">
        <f t="shared" ref="I74:V74" si="26">H74+(H74*$F74)</f>
        <v>0</v>
      </c>
      <c r="J74" s="2071">
        <f t="shared" si="26"/>
        <v>0</v>
      </c>
      <c r="K74" s="2071">
        <f t="shared" si="26"/>
        <v>0</v>
      </c>
      <c r="L74" s="2071">
        <f t="shared" si="26"/>
        <v>0</v>
      </c>
      <c r="M74" s="2071">
        <f t="shared" si="26"/>
        <v>0</v>
      </c>
      <c r="N74" s="2071">
        <f t="shared" si="26"/>
        <v>0</v>
      </c>
      <c r="O74" s="2071">
        <f t="shared" si="26"/>
        <v>0</v>
      </c>
      <c r="P74" s="2071">
        <f t="shared" si="26"/>
        <v>0</v>
      </c>
      <c r="Q74" s="2071">
        <f t="shared" si="26"/>
        <v>0</v>
      </c>
      <c r="R74" s="2071">
        <f t="shared" si="26"/>
        <v>0</v>
      </c>
      <c r="S74" s="2071">
        <f t="shared" si="26"/>
        <v>0</v>
      </c>
      <c r="T74" s="2071">
        <f t="shared" si="26"/>
        <v>0</v>
      </c>
      <c r="U74" s="2071">
        <f t="shared" si="26"/>
        <v>0</v>
      </c>
      <c r="V74" s="2072">
        <f t="shared" si="26"/>
        <v>0</v>
      </c>
      <c r="W74" s="1671"/>
    </row>
    <row r="75" spans="2:23" x14ac:dyDescent="0.25">
      <c r="B75" s="249"/>
      <c r="C75" s="269" t="s">
        <v>388</v>
      </c>
      <c r="D75" s="270"/>
      <c r="E75" s="781"/>
      <c r="F75" s="786">
        <v>3.5000000000000003E-2</v>
      </c>
      <c r="G75" s="2069">
        <f>IFERROR(H75/'2A'!$L$22,"")</f>
        <v>508.47457627118644</v>
      </c>
      <c r="H75" s="2070">
        <v>30000</v>
      </c>
      <c r="I75" s="2071">
        <f t="shared" ref="I75:V75" si="27">H75+(H75*$F75)</f>
        <v>31050</v>
      </c>
      <c r="J75" s="2071">
        <f t="shared" si="27"/>
        <v>32136.75</v>
      </c>
      <c r="K75" s="2071">
        <f t="shared" si="27"/>
        <v>33261.536249999997</v>
      </c>
      <c r="L75" s="2071">
        <f t="shared" si="27"/>
        <v>34425.69001875</v>
      </c>
      <c r="M75" s="2071">
        <f t="shared" si="27"/>
        <v>35630.589169406252</v>
      </c>
      <c r="N75" s="2071">
        <f t="shared" si="27"/>
        <v>36877.65979033547</v>
      </c>
      <c r="O75" s="2071">
        <f t="shared" si="27"/>
        <v>38168.377882997214</v>
      </c>
      <c r="P75" s="2071">
        <f t="shared" si="27"/>
        <v>39504.271108902118</v>
      </c>
      <c r="Q75" s="2071">
        <f t="shared" si="27"/>
        <v>40886.920597713695</v>
      </c>
      <c r="R75" s="2071">
        <f t="shared" si="27"/>
        <v>42317.962818633678</v>
      </c>
      <c r="S75" s="2071">
        <f t="shared" si="27"/>
        <v>43799.091517285859</v>
      </c>
      <c r="T75" s="2071">
        <f t="shared" si="27"/>
        <v>45332.059720390862</v>
      </c>
      <c r="U75" s="2071">
        <f t="shared" si="27"/>
        <v>46918.681810604539</v>
      </c>
      <c r="V75" s="2072">
        <f t="shared" si="27"/>
        <v>48560.8356739757</v>
      </c>
      <c r="W75" s="1671"/>
    </row>
    <row r="76" spans="2:23" x14ac:dyDescent="0.25">
      <c r="B76" s="249"/>
      <c r="C76" s="269" t="s">
        <v>389</v>
      </c>
      <c r="D76" s="270"/>
      <c r="E76" s="781"/>
      <c r="F76" s="786">
        <v>3.5000000000000003E-2</v>
      </c>
      <c r="G76" s="2069">
        <f>IFERROR(H76/'2A'!$L$22,"")</f>
        <v>19.271186440677965</v>
      </c>
      <c r="H76" s="2070">
        <v>1137</v>
      </c>
      <c r="I76" s="2071">
        <f t="shared" ref="I76:V76" si="28">H76+(H76*$F76)</f>
        <v>1176.7950000000001</v>
      </c>
      <c r="J76" s="2071">
        <f t="shared" si="28"/>
        <v>1217.982825</v>
      </c>
      <c r="K76" s="2071">
        <f t="shared" si="28"/>
        <v>1260.6122238750002</v>
      </c>
      <c r="L76" s="2071">
        <f t="shared" si="28"/>
        <v>1304.7336517106251</v>
      </c>
      <c r="M76" s="2071">
        <f t="shared" si="28"/>
        <v>1350.3993295204968</v>
      </c>
      <c r="N76" s="2071">
        <f t="shared" si="28"/>
        <v>1397.6633060537142</v>
      </c>
      <c r="O76" s="2071">
        <f t="shared" si="28"/>
        <v>1446.5815217655943</v>
      </c>
      <c r="P76" s="2071">
        <f t="shared" si="28"/>
        <v>1497.2118750273901</v>
      </c>
      <c r="Q76" s="2071">
        <f t="shared" si="28"/>
        <v>1549.6142906533487</v>
      </c>
      <c r="R76" s="2071">
        <f t="shared" si="28"/>
        <v>1603.8507908262159</v>
      </c>
      <c r="S76" s="2071">
        <f t="shared" si="28"/>
        <v>1659.9855685051334</v>
      </c>
      <c r="T76" s="2071">
        <f t="shared" si="28"/>
        <v>1718.0850634028131</v>
      </c>
      <c r="U76" s="2071">
        <f t="shared" si="28"/>
        <v>1778.2180406219115</v>
      </c>
      <c r="V76" s="2072">
        <f t="shared" si="28"/>
        <v>1840.4556720436785</v>
      </c>
      <c r="W76" s="1671"/>
    </row>
    <row r="77" spans="2:23" x14ac:dyDescent="0.25">
      <c r="B77" s="249"/>
      <c r="C77" s="269" t="s">
        <v>390</v>
      </c>
      <c r="D77" s="270"/>
      <c r="E77" s="781"/>
      <c r="F77" s="786">
        <v>3.5000000000000003E-2</v>
      </c>
      <c r="G77" s="2069">
        <f>IFERROR(H77/'2A'!$L$22,"")</f>
        <v>16.949152542372882</v>
      </c>
      <c r="H77" s="2070">
        <v>1000</v>
      </c>
      <c r="I77" s="2071">
        <f t="shared" ref="I77:V77" si="29">H77+(H77*$F77)</f>
        <v>1035</v>
      </c>
      <c r="J77" s="2071">
        <f t="shared" si="29"/>
        <v>1071.2249999999999</v>
      </c>
      <c r="K77" s="2071">
        <f t="shared" si="29"/>
        <v>1108.7178749999998</v>
      </c>
      <c r="L77" s="2071">
        <f t="shared" si="29"/>
        <v>1147.5230006249999</v>
      </c>
      <c r="M77" s="2071">
        <f t="shared" si="29"/>
        <v>1187.6863056468749</v>
      </c>
      <c r="N77" s="2071">
        <f t="shared" si="29"/>
        <v>1229.2553263445154</v>
      </c>
      <c r="O77" s="2071">
        <f t="shared" si="29"/>
        <v>1272.2792627665735</v>
      </c>
      <c r="P77" s="2071">
        <f t="shared" si="29"/>
        <v>1316.8090369634035</v>
      </c>
      <c r="Q77" s="2071">
        <f t="shared" si="29"/>
        <v>1362.8973532571226</v>
      </c>
      <c r="R77" s="2071">
        <f t="shared" si="29"/>
        <v>1410.598760621122</v>
      </c>
      <c r="S77" s="2071">
        <f t="shared" si="29"/>
        <v>1459.9697172428612</v>
      </c>
      <c r="T77" s="2071">
        <f t="shared" si="29"/>
        <v>1511.0686573463613</v>
      </c>
      <c r="U77" s="2071">
        <f t="shared" si="29"/>
        <v>1563.956060353484</v>
      </c>
      <c r="V77" s="2072">
        <f t="shared" si="29"/>
        <v>1618.6945224658559</v>
      </c>
      <c r="W77" s="1671"/>
    </row>
    <row r="78" spans="2:23" x14ac:dyDescent="0.25">
      <c r="B78" s="249"/>
      <c r="C78" s="269" t="s">
        <v>391</v>
      </c>
      <c r="D78" s="271"/>
      <c r="E78" s="781"/>
      <c r="F78" s="786">
        <v>3.5000000000000003E-2</v>
      </c>
      <c r="G78" s="2069">
        <f>IFERROR(H78/'2A'!$L$22,"")</f>
        <v>105</v>
      </c>
      <c r="H78" s="2070">
        <v>6195</v>
      </c>
      <c r="I78" s="2071">
        <f t="shared" ref="I78:V78" si="30">H78+(H78*$F78)</f>
        <v>6411.8249999999998</v>
      </c>
      <c r="J78" s="2071">
        <f t="shared" si="30"/>
        <v>6636.238875</v>
      </c>
      <c r="K78" s="2071">
        <f t="shared" si="30"/>
        <v>6868.5072356250002</v>
      </c>
      <c r="L78" s="2071">
        <f t="shared" si="30"/>
        <v>7108.9049888718755</v>
      </c>
      <c r="M78" s="2071">
        <f t="shared" si="30"/>
        <v>7357.7166634823916</v>
      </c>
      <c r="N78" s="2071">
        <f t="shared" si="30"/>
        <v>7615.236746704275</v>
      </c>
      <c r="O78" s="2071">
        <f t="shared" si="30"/>
        <v>7881.7700328389246</v>
      </c>
      <c r="P78" s="2071">
        <f t="shared" si="30"/>
        <v>8157.6319839882872</v>
      </c>
      <c r="Q78" s="2071">
        <f t="shared" si="30"/>
        <v>8443.149103427877</v>
      </c>
      <c r="R78" s="2071">
        <f t="shared" si="30"/>
        <v>8738.6593220478535</v>
      </c>
      <c r="S78" s="2071">
        <f t="shared" si="30"/>
        <v>9044.5123983195281</v>
      </c>
      <c r="T78" s="2071">
        <f t="shared" si="30"/>
        <v>9361.0703322607114</v>
      </c>
      <c r="U78" s="2071">
        <f t="shared" si="30"/>
        <v>9688.7077938898365</v>
      </c>
      <c r="V78" s="2072">
        <f t="shared" si="30"/>
        <v>10027.812566675981</v>
      </c>
      <c r="W78" s="1671"/>
    </row>
    <row r="79" spans="2:23" x14ac:dyDescent="0.25">
      <c r="B79" s="249"/>
      <c r="C79" s="269" t="s">
        <v>392</v>
      </c>
      <c r="D79" s="270"/>
      <c r="E79" s="781"/>
      <c r="F79" s="786">
        <v>3.5000000000000003E-2</v>
      </c>
      <c r="G79" s="2069">
        <f>IFERROR(H79/'2A'!$L$22,"")</f>
        <v>550</v>
      </c>
      <c r="H79" s="2070">
        <f>550*59</f>
        <v>32450</v>
      </c>
      <c r="I79" s="2071">
        <f t="shared" ref="I79:V79" si="31">H79+(H79*$F79)</f>
        <v>33585.75</v>
      </c>
      <c r="J79" s="2071">
        <f t="shared" si="31"/>
        <v>34761.251250000001</v>
      </c>
      <c r="K79" s="2071">
        <f t="shared" si="31"/>
        <v>35977.895043750003</v>
      </c>
      <c r="L79" s="2071">
        <f t="shared" si="31"/>
        <v>37237.121370281253</v>
      </c>
      <c r="M79" s="2071">
        <f t="shared" si="31"/>
        <v>38540.4206182411</v>
      </c>
      <c r="N79" s="2071">
        <f t="shared" si="31"/>
        <v>39889.335339879537</v>
      </c>
      <c r="O79" s="2071">
        <f t="shared" si="31"/>
        <v>41285.462076775322</v>
      </c>
      <c r="P79" s="2071">
        <f t="shared" si="31"/>
        <v>42730.453249462458</v>
      </c>
      <c r="Q79" s="2071">
        <f t="shared" si="31"/>
        <v>44226.019113193644</v>
      </c>
      <c r="R79" s="2071">
        <f t="shared" si="31"/>
        <v>45773.929782155421</v>
      </c>
      <c r="S79" s="2071">
        <f t="shared" si="31"/>
        <v>47376.017324530862</v>
      </c>
      <c r="T79" s="2071">
        <f t="shared" si="31"/>
        <v>49034.17793088944</v>
      </c>
      <c r="U79" s="2071">
        <f t="shared" si="31"/>
        <v>50750.374158470571</v>
      </c>
      <c r="V79" s="2072">
        <f t="shared" si="31"/>
        <v>52526.637254017041</v>
      </c>
      <c r="W79" s="1671"/>
    </row>
    <row r="80" spans="2:23" x14ac:dyDescent="0.25">
      <c r="B80" s="249"/>
      <c r="C80" s="269" t="s">
        <v>393</v>
      </c>
      <c r="D80" s="271"/>
      <c r="E80" s="781"/>
      <c r="F80" s="786">
        <v>3.5000000000000003E-2</v>
      </c>
      <c r="G80" s="2069">
        <f>IFERROR(H80/'2A'!$L$22,"")</f>
        <v>0</v>
      </c>
      <c r="H80" s="2070">
        <v>0</v>
      </c>
      <c r="I80" s="2071">
        <f t="shared" ref="I80:V80" si="32">H80+(H80*$F80)</f>
        <v>0</v>
      </c>
      <c r="J80" s="2071">
        <f t="shared" si="32"/>
        <v>0</v>
      </c>
      <c r="K80" s="2071">
        <f t="shared" si="32"/>
        <v>0</v>
      </c>
      <c r="L80" s="2071">
        <f t="shared" si="32"/>
        <v>0</v>
      </c>
      <c r="M80" s="2071">
        <f t="shared" si="32"/>
        <v>0</v>
      </c>
      <c r="N80" s="2071">
        <f t="shared" si="32"/>
        <v>0</v>
      </c>
      <c r="O80" s="2071">
        <f t="shared" si="32"/>
        <v>0</v>
      </c>
      <c r="P80" s="2071">
        <f t="shared" si="32"/>
        <v>0</v>
      </c>
      <c r="Q80" s="2071">
        <f t="shared" si="32"/>
        <v>0</v>
      </c>
      <c r="R80" s="2071">
        <f t="shared" si="32"/>
        <v>0</v>
      </c>
      <c r="S80" s="2071">
        <f t="shared" si="32"/>
        <v>0</v>
      </c>
      <c r="T80" s="2071">
        <f t="shared" si="32"/>
        <v>0</v>
      </c>
      <c r="U80" s="2071">
        <f t="shared" si="32"/>
        <v>0</v>
      </c>
      <c r="V80" s="2072">
        <f t="shared" si="32"/>
        <v>0</v>
      </c>
      <c r="W80" s="1671"/>
    </row>
    <row r="81" spans="2:23" x14ac:dyDescent="0.25">
      <c r="B81" s="249"/>
      <c r="C81" s="269" t="s">
        <v>394</v>
      </c>
      <c r="D81" s="270"/>
      <c r="E81" s="781"/>
      <c r="F81" s="786">
        <v>3.5000000000000003E-2</v>
      </c>
      <c r="G81" s="2069">
        <f>IFERROR(H81/'2A'!$L$22,"")</f>
        <v>400</v>
      </c>
      <c r="H81" s="2070">
        <f>400*59</f>
        <v>23600</v>
      </c>
      <c r="I81" s="2071">
        <f t="shared" ref="I81:V81" si="33">H81+(H81*$F81)</f>
        <v>24426</v>
      </c>
      <c r="J81" s="2071">
        <f t="shared" si="33"/>
        <v>25280.91</v>
      </c>
      <c r="K81" s="2071">
        <f t="shared" si="33"/>
        <v>26165.741849999999</v>
      </c>
      <c r="L81" s="2071">
        <f t="shared" si="33"/>
        <v>27081.542814749999</v>
      </c>
      <c r="M81" s="2071">
        <f t="shared" si="33"/>
        <v>28029.396813266249</v>
      </c>
      <c r="N81" s="2071">
        <f t="shared" si="33"/>
        <v>29010.425701730568</v>
      </c>
      <c r="O81" s="2071">
        <f t="shared" si="33"/>
        <v>30025.790601291137</v>
      </c>
      <c r="P81" s="2071">
        <f t="shared" si="33"/>
        <v>31076.693272336328</v>
      </c>
      <c r="Q81" s="2071">
        <f t="shared" si="33"/>
        <v>32164.377536868098</v>
      </c>
      <c r="R81" s="2071">
        <f t="shared" si="33"/>
        <v>33290.130750658485</v>
      </c>
      <c r="S81" s="2071">
        <f t="shared" si="33"/>
        <v>34455.285326931531</v>
      </c>
      <c r="T81" s="2071">
        <f t="shared" si="33"/>
        <v>35661.220313374135</v>
      </c>
      <c r="U81" s="2071">
        <f t="shared" si="33"/>
        <v>36909.36302434223</v>
      </c>
      <c r="V81" s="2072">
        <f t="shared" si="33"/>
        <v>38201.190730194212</v>
      </c>
      <c r="W81" s="1671"/>
    </row>
    <row r="82" spans="2:23" x14ac:dyDescent="0.25">
      <c r="B82" s="249"/>
      <c r="C82" s="269" t="s">
        <v>395</v>
      </c>
      <c r="D82" s="271"/>
      <c r="E82" s="781"/>
      <c r="F82" s="786">
        <v>3.5000000000000003E-2</v>
      </c>
      <c r="G82" s="2069">
        <f>IFERROR(H82/'2A'!$L$22,"")</f>
        <v>59.322033898305087</v>
      </c>
      <c r="H82" s="2070">
        <v>3500</v>
      </c>
      <c r="I82" s="2071">
        <f t="shared" ref="I82:V82" si="34">H82+(H82*$F82)</f>
        <v>3622.5</v>
      </c>
      <c r="J82" s="2071">
        <f t="shared" si="34"/>
        <v>3749.2874999999999</v>
      </c>
      <c r="K82" s="2071">
        <f t="shared" si="34"/>
        <v>3880.5125625000001</v>
      </c>
      <c r="L82" s="2071">
        <f t="shared" si="34"/>
        <v>4016.3305021874999</v>
      </c>
      <c r="M82" s="2071">
        <f t="shared" si="34"/>
        <v>4156.9020697640626</v>
      </c>
      <c r="N82" s="2071">
        <f t="shared" si="34"/>
        <v>4302.393642205805</v>
      </c>
      <c r="O82" s="2071">
        <f t="shared" si="34"/>
        <v>4452.9774196830085</v>
      </c>
      <c r="P82" s="2071">
        <f t="shared" si="34"/>
        <v>4608.8316293719136</v>
      </c>
      <c r="Q82" s="2071">
        <f t="shared" si="34"/>
        <v>4770.1407363999306</v>
      </c>
      <c r="R82" s="2071">
        <f t="shared" si="34"/>
        <v>4937.0956621739278</v>
      </c>
      <c r="S82" s="2071">
        <f t="shared" si="34"/>
        <v>5109.8940103500154</v>
      </c>
      <c r="T82" s="2071">
        <f t="shared" si="34"/>
        <v>5288.7403007122657</v>
      </c>
      <c r="U82" s="2071">
        <f t="shared" si="34"/>
        <v>5473.8462112371953</v>
      </c>
      <c r="V82" s="2072">
        <f t="shared" si="34"/>
        <v>5665.4308286304968</v>
      </c>
      <c r="W82" s="1671"/>
    </row>
    <row r="83" spans="2:23" x14ac:dyDescent="0.25">
      <c r="B83" s="249"/>
      <c r="C83" s="269" t="s">
        <v>396</v>
      </c>
      <c r="D83" s="271"/>
      <c r="E83" s="781"/>
      <c r="F83" s="786">
        <v>3.5000000000000003E-2</v>
      </c>
      <c r="G83" s="2069">
        <f>IFERROR(H83/'2A'!$L$22,"")</f>
        <v>66</v>
      </c>
      <c r="H83" s="2070">
        <v>3894</v>
      </c>
      <c r="I83" s="2071">
        <f t="shared" ref="I83:V83" si="35">H83+(H83*$F83)</f>
        <v>4030.29</v>
      </c>
      <c r="J83" s="2071">
        <f t="shared" si="35"/>
        <v>4171.3501500000002</v>
      </c>
      <c r="K83" s="2071">
        <f t="shared" si="35"/>
        <v>4317.3474052500005</v>
      </c>
      <c r="L83" s="2071">
        <f t="shared" si="35"/>
        <v>4468.4545644337504</v>
      </c>
      <c r="M83" s="2071">
        <f t="shared" si="35"/>
        <v>4624.8504741889319</v>
      </c>
      <c r="N83" s="2071">
        <f t="shared" si="35"/>
        <v>4786.7202407855448</v>
      </c>
      <c r="O83" s="2071">
        <f t="shared" si="35"/>
        <v>4954.2554492130384</v>
      </c>
      <c r="P83" s="2071">
        <f t="shared" si="35"/>
        <v>5127.6543899354947</v>
      </c>
      <c r="Q83" s="2071">
        <f t="shared" si="35"/>
        <v>5307.1222935832375</v>
      </c>
      <c r="R83" s="2071">
        <f t="shared" si="35"/>
        <v>5492.8715738586507</v>
      </c>
      <c r="S83" s="2071">
        <f t="shared" si="35"/>
        <v>5685.1220789437039</v>
      </c>
      <c r="T83" s="2071">
        <f t="shared" si="35"/>
        <v>5884.1013517067331</v>
      </c>
      <c r="U83" s="2071">
        <f t="shared" si="35"/>
        <v>6090.0448990164687</v>
      </c>
      <c r="V83" s="2072">
        <f t="shared" si="35"/>
        <v>6303.1964704820448</v>
      </c>
      <c r="W83" s="1671"/>
    </row>
    <row r="84" spans="2:23" x14ac:dyDescent="0.25">
      <c r="B84" s="249"/>
      <c r="C84" s="269" t="s">
        <v>397</v>
      </c>
      <c r="D84" s="271"/>
      <c r="E84" s="781"/>
      <c r="F84" s="786">
        <v>3.5000000000000003E-2</v>
      </c>
      <c r="G84" s="2069">
        <f>IFERROR(H84/'2A'!$L$22,"")</f>
        <v>0</v>
      </c>
      <c r="H84" s="2070">
        <v>0</v>
      </c>
      <c r="I84" s="2071">
        <f t="shared" ref="I84:V84" si="36">H84+(H84*$F84)</f>
        <v>0</v>
      </c>
      <c r="J84" s="2071">
        <f t="shared" si="36"/>
        <v>0</v>
      </c>
      <c r="K84" s="2071">
        <f t="shared" si="36"/>
        <v>0</v>
      </c>
      <c r="L84" s="2071">
        <f t="shared" si="36"/>
        <v>0</v>
      </c>
      <c r="M84" s="2071">
        <f t="shared" si="36"/>
        <v>0</v>
      </c>
      <c r="N84" s="2071">
        <f t="shared" si="36"/>
        <v>0</v>
      </c>
      <c r="O84" s="2071">
        <f t="shared" si="36"/>
        <v>0</v>
      </c>
      <c r="P84" s="2071">
        <f t="shared" si="36"/>
        <v>0</v>
      </c>
      <c r="Q84" s="2071">
        <f t="shared" si="36"/>
        <v>0</v>
      </c>
      <c r="R84" s="2071">
        <f t="shared" si="36"/>
        <v>0</v>
      </c>
      <c r="S84" s="2071">
        <f t="shared" si="36"/>
        <v>0</v>
      </c>
      <c r="T84" s="2071">
        <f t="shared" si="36"/>
        <v>0</v>
      </c>
      <c r="U84" s="2071">
        <f t="shared" si="36"/>
        <v>0</v>
      </c>
      <c r="V84" s="2072">
        <f t="shared" si="36"/>
        <v>0</v>
      </c>
      <c r="W84" s="1671"/>
    </row>
    <row r="85" spans="2:23" x14ac:dyDescent="0.25">
      <c r="B85" s="249"/>
      <c r="C85" s="269" t="s">
        <v>398</v>
      </c>
      <c r="D85" s="271"/>
      <c r="E85" s="781"/>
      <c r="F85" s="786">
        <v>3.5000000000000003E-2</v>
      </c>
      <c r="G85" s="2069">
        <f>IFERROR(H85/'2A'!$L$22,"")</f>
        <v>0</v>
      </c>
      <c r="H85" s="2070"/>
      <c r="I85" s="2071">
        <f t="shared" ref="I85:V85" si="37">H85+(H85*$F85)</f>
        <v>0</v>
      </c>
      <c r="J85" s="2071">
        <f t="shared" si="37"/>
        <v>0</v>
      </c>
      <c r="K85" s="2071">
        <f t="shared" si="37"/>
        <v>0</v>
      </c>
      <c r="L85" s="2071">
        <f t="shared" si="37"/>
        <v>0</v>
      </c>
      <c r="M85" s="2071">
        <f t="shared" si="37"/>
        <v>0</v>
      </c>
      <c r="N85" s="2071">
        <f t="shared" si="37"/>
        <v>0</v>
      </c>
      <c r="O85" s="2071">
        <f t="shared" si="37"/>
        <v>0</v>
      </c>
      <c r="P85" s="2071">
        <f t="shared" si="37"/>
        <v>0</v>
      </c>
      <c r="Q85" s="2071">
        <f t="shared" si="37"/>
        <v>0</v>
      </c>
      <c r="R85" s="2071">
        <f t="shared" si="37"/>
        <v>0</v>
      </c>
      <c r="S85" s="2071">
        <f t="shared" si="37"/>
        <v>0</v>
      </c>
      <c r="T85" s="2071">
        <f t="shared" si="37"/>
        <v>0</v>
      </c>
      <c r="U85" s="2071">
        <f t="shared" si="37"/>
        <v>0</v>
      </c>
      <c r="V85" s="2072">
        <f t="shared" si="37"/>
        <v>0</v>
      </c>
      <c r="W85" s="1671"/>
    </row>
    <row r="86" spans="2:23" x14ac:dyDescent="0.25">
      <c r="B86" s="249"/>
      <c r="C86" s="269" t="s">
        <v>399</v>
      </c>
      <c r="D86" s="270"/>
      <c r="E86" s="781"/>
      <c r="F86" s="786">
        <v>3.5000000000000003E-2</v>
      </c>
      <c r="G86" s="2069">
        <f>IFERROR(H86/'2A'!$L$22,"")</f>
        <v>490</v>
      </c>
      <c r="H86" s="2070">
        <v>28910</v>
      </c>
      <c r="I86" s="2071">
        <f t="shared" ref="I86:V86" si="38">H86+(H86*$F86)</f>
        <v>29921.85</v>
      </c>
      <c r="J86" s="2071">
        <f t="shared" si="38"/>
        <v>30969.114749999997</v>
      </c>
      <c r="K86" s="2071">
        <f t="shared" si="38"/>
        <v>32053.033766249995</v>
      </c>
      <c r="L86" s="2071">
        <f t="shared" si="38"/>
        <v>33174.889948068747</v>
      </c>
      <c r="M86" s="2071">
        <f t="shared" si="38"/>
        <v>34336.011096251154</v>
      </c>
      <c r="N86" s="2071">
        <f t="shared" si="38"/>
        <v>35537.771484619945</v>
      </c>
      <c r="O86" s="2071">
        <f t="shared" si="38"/>
        <v>36781.593486581645</v>
      </c>
      <c r="P86" s="2071">
        <f t="shared" si="38"/>
        <v>38068.949258612003</v>
      </c>
      <c r="Q86" s="2071">
        <f t="shared" si="38"/>
        <v>39401.362482663426</v>
      </c>
      <c r="R86" s="2071">
        <f t="shared" si="38"/>
        <v>40780.41016955665</v>
      </c>
      <c r="S86" s="2071">
        <f t="shared" si="38"/>
        <v>42207.724525491132</v>
      </c>
      <c r="T86" s="2071">
        <f t="shared" si="38"/>
        <v>43684.994883883322</v>
      </c>
      <c r="U86" s="2071">
        <f t="shared" si="38"/>
        <v>45213.969704819239</v>
      </c>
      <c r="V86" s="2072">
        <f t="shared" si="38"/>
        <v>46796.45864448791</v>
      </c>
      <c r="W86" s="1671"/>
    </row>
    <row r="87" spans="2:23" x14ac:dyDescent="0.25">
      <c r="B87" s="249"/>
      <c r="C87" s="269" t="s">
        <v>400</v>
      </c>
      <c r="D87" s="270"/>
      <c r="E87" s="781"/>
      <c r="F87" s="786">
        <v>3.5000000000000003E-2</v>
      </c>
      <c r="G87" s="2069">
        <f>IFERROR(H87/'2A'!$L$22,"")</f>
        <v>500</v>
      </c>
      <c r="H87" s="2070">
        <v>29500</v>
      </c>
      <c r="I87" s="2071">
        <f t="shared" ref="I87:V87" si="39">H87+(H87*$F87)</f>
        <v>30532.5</v>
      </c>
      <c r="J87" s="2071">
        <f t="shared" si="39"/>
        <v>31601.137500000001</v>
      </c>
      <c r="K87" s="2071">
        <f t="shared" si="39"/>
        <v>32707.1773125</v>
      </c>
      <c r="L87" s="2071">
        <f t="shared" si="39"/>
        <v>33851.928518437497</v>
      </c>
      <c r="M87" s="2071">
        <f t="shared" si="39"/>
        <v>35036.746016582809</v>
      </c>
      <c r="N87" s="2071">
        <f t="shared" si="39"/>
        <v>36263.032127163206</v>
      </c>
      <c r="O87" s="2071">
        <f t="shared" si="39"/>
        <v>37532.238251613919</v>
      </c>
      <c r="P87" s="2071">
        <f t="shared" si="39"/>
        <v>38845.866590420403</v>
      </c>
      <c r="Q87" s="2071">
        <f t="shared" si="39"/>
        <v>40205.471921085118</v>
      </c>
      <c r="R87" s="2071">
        <f t="shared" si="39"/>
        <v>41612.663438323099</v>
      </c>
      <c r="S87" s="2071">
        <f t="shared" si="39"/>
        <v>43069.106658664408</v>
      </c>
      <c r="T87" s="2071">
        <f t="shared" si="39"/>
        <v>44576.52539171766</v>
      </c>
      <c r="U87" s="2071">
        <f t="shared" si="39"/>
        <v>46136.703780427779</v>
      </c>
      <c r="V87" s="2072">
        <f t="shared" si="39"/>
        <v>47751.48841274275</v>
      </c>
      <c r="W87" s="1671"/>
    </row>
    <row r="88" spans="2:23" x14ac:dyDescent="0.25">
      <c r="B88" s="272"/>
      <c r="C88" s="269" t="s">
        <v>401</v>
      </c>
      <c r="D88" s="270"/>
      <c r="E88" s="781"/>
      <c r="F88" s="786">
        <v>3.5000000000000003E-2</v>
      </c>
      <c r="G88" s="2069">
        <f>IFERROR(H88/'2A'!$L$22,"")</f>
        <v>390</v>
      </c>
      <c r="H88" s="2070">
        <v>23010</v>
      </c>
      <c r="I88" s="2071">
        <f t="shared" ref="I88:V88" si="40">H88+(H88*$F88)</f>
        <v>23815.35</v>
      </c>
      <c r="J88" s="2071">
        <f t="shared" si="40"/>
        <v>24648.88725</v>
      </c>
      <c r="K88" s="2071">
        <f t="shared" si="40"/>
        <v>25511.598303750001</v>
      </c>
      <c r="L88" s="2071">
        <f t="shared" si="40"/>
        <v>26404.504244381253</v>
      </c>
      <c r="M88" s="2071">
        <f t="shared" si="40"/>
        <v>27328.661892934597</v>
      </c>
      <c r="N88" s="2071">
        <f t="shared" si="40"/>
        <v>28285.165059187308</v>
      </c>
      <c r="O88" s="2071">
        <f t="shared" si="40"/>
        <v>29275.145836258864</v>
      </c>
      <c r="P88" s="2071">
        <f t="shared" si="40"/>
        <v>30299.775940527925</v>
      </c>
      <c r="Q88" s="2071">
        <f t="shared" si="40"/>
        <v>31360.268098446402</v>
      </c>
      <c r="R88" s="2071">
        <f t="shared" si="40"/>
        <v>32457.877481892028</v>
      </c>
      <c r="S88" s="2071">
        <f t="shared" si="40"/>
        <v>33593.903193758248</v>
      </c>
      <c r="T88" s="2071">
        <f t="shared" si="40"/>
        <v>34769.689805539783</v>
      </c>
      <c r="U88" s="2071">
        <f t="shared" si="40"/>
        <v>35986.628948733676</v>
      </c>
      <c r="V88" s="2072">
        <f t="shared" si="40"/>
        <v>37246.160961939357</v>
      </c>
      <c r="W88" s="1671"/>
    </row>
    <row r="89" spans="2:23" x14ac:dyDescent="0.25">
      <c r="B89" s="249"/>
      <c r="C89" s="269" t="s">
        <v>402</v>
      </c>
      <c r="D89" s="271"/>
      <c r="E89" s="781"/>
      <c r="F89" s="786">
        <v>3.5000000000000003E-2</v>
      </c>
      <c r="G89" s="2069">
        <f>IFERROR(H89/'2A'!$L$22,"")</f>
        <v>340</v>
      </c>
      <c r="H89" s="2070">
        <v>20060</v>
      </c>
      <c r="I89" s="2071">
        <f t="shared" ref="I89" si="41">H89+(H89*$F89)</f>
        <v>20762.099999999999</v>
      </c>
      <c r="J89" s="2071">
        <f t="shared" ref="J89" si="42">I89+(I89*$F89)</f>
        <v>21488.773499999999</v>
      </c>
      <c r="K89" s="2071">
        <f t="shared" ref="K89" si="43">J89+(J89*$F89)</f>
        <v>22240.880572499998</v>
      </c>
      <c r="L89" s="2071">
        <f t="shared" ref="L89" si="44">K89+(K89*$F89)</f>
        <v>23019.3113925375</v>
      </c>
      <c r="M89" s="2071">
        <f t="shared" ref="M89" si="45">L89+(L89*$F89)</f>
        <v>23824.987291276313</v>
      </c>
      <c r="N89" s="2071">
        <f t="shared" ref="N89" si="46">M89+(M89*$F89)</f>
        <v>24658.861846470983</v>
      </c>
      <c r="O89" s="2071">
        <f t="shared" ref="O89" si="47">N89+(N89*$F89)</f>
        <v>25521.922011097467</v>
      </c>
      <c r="P89" s="2071">
        <f t="shared" ref="P89" si="48">O89+(O89*$F89)</f>
        <v>26415.18928148588</v>
      </c>
      <c r="Q89" s="2071">
        <f t="shared" ref="Q89" si="49">P89+(P89*$F89)</f>
        <v>27339.720906337887</v>
      </c>
      <c r="R89" s="2071">
        <f t="shared" ref="R89" si="50">Q89+(Q89*$F89)</f>
        <v>28296.611138059714</v>
      </c>
      <c r="S89" s="2071">
        <f t="shared" ref="S89" si="51">R89+(R89*$F89)</f>
        <v>29286.992527891805</v>
      </c>
      <c r="T89" s="2071">
        <f t="shared" ref="T89" si="52">S89+(S89*$F89)</f>
        <v>30312.037266368017</v>
      </c>
      <c r="U89" s="2071">
        <f t="shared" ref="U89" si="53">T89+(T89*$F89)</f>
        <v>31372.958570690898</v>
      </c>
      <c r="V89" s="2072">
        <f t="shared" ref="V89" si="54">U89+(U89*$F89)</f>
        <v>32471.01212066508</v>
      </c>
      <c r="W89" s="1671"/>
    </row>
    <row r="90" spans="2:23" x14ac:dyDescent="0.25">
      <c r="B90" s="249"/>
      <c r="C90" s="269" t="s">
        <v>403</v>
      </c>
      <c r="D90" s="271"/>
      <c r="E90" s="781"/>
      <c r="F90" s="786">
        <v>3.5000000000000003E-2</v>
      </c>
      <c r="G90" s="2069">
        <f>IFERROR(H90/'2A'!$L$22,"")</f>
        <v>76.271186440677965</v>
      </c>
      <c r="H90" s="2070">
        <v>4500</v>
      </c>
      <c r="I90" s="2071">
        <f t="shared" ref="I90:V90" si="55">H90+(H90*$F90)</f>
        <v>4657.5</v>
      </c>
      <c r="J90" s="2071">
        <f t="shared" si="55"/>
        <v>4820.5124999999998</v>
      </c>
      <c r="K90" s="2071">
        <f t="shared" si="55"/>
        <v>4989.2304374999994</v>
      </c>
      <c r="L90" s="2071">
        <f t="shared" si="55"/>
        <v>5163.8535028124998</v>
      </c>
      <c r="M90" s="2071">
        <f t="shared" si="55"/>
        <v>5344.5883754109373</v>
      </c>
      <c r="N90" s="2071">
        <f t="shared" si="55"/>
        <v>5531.6489685503202</v>
      </c>
      <c r="O90" s="2071">
        <f t="shared" si="55"/>
        <v>5725.2566824495816</v>
      </c>
      <c r="P90" s="2071">
        <f t="shared" si="55"/>
        <v>5925.6406663353173</v>
      </c>
      <c r="Q90" s="2071">
        <f t="shared" si="55"/>
        <v>6133.0380896570532</v>
      </c>
      <c r="R90" s="2071">
        <f t="shared" si="55"/>
        <v>6347.6944227950498</v>
      </c>
      <c r="S90" s="2071">
        <f t="shared" si="55"/>
        <v>6569.8637275928768</v>
      </c>
      <c r="T90" s="2071">
        <f t="shared" si="55"/>
        <v>6799.8089580586275</v>
      </c>
      <c r="U90" s="2071">
        <f t="shared" si="55"/>
        <v>7037.8022715906791</v>
      </c>
      <c r="V90" s="2072">
        <f t="shared" si="55"/>
        <v>7284.1253510963525</v>
      </c>
      <c r="W90" s="1671"/>
    </row>
    <row r="91" spans="2:23" ht="15.75" thickBot="1" x14ac:dyDescent="0.3">
      <c r="B91" s="249"/>
      <c r="C91" s="273" t="s">
        <v>230</v>
      </c>
      <c r="D91" s="274"/>
      <c r="E91" s="781"/>
      <c r="F91" s="787">
        <v>3.5000000000000003E-2</v>
      </c>
      <c r="G91" s="2073">
        <f>IFERROR(H91/'2A'!$L$22,"")</f>
        <v>47.847457627118644</v>
      </c>
      <c r="H91" s="2074">
        <f>2655+168</f>
        <v>2823</v>
      </c>
      <c r="I91" s="2075">
        <f t="shared" ref="I91:V91" si="56">H91+(H91*$F91)</f>
        <v>2921.8049999999998</v>
      </c>
      <c r="J91" s="2075">
        <f t="shared" si="56"/>
        <v>3024.0681749999999</v>
      </c>
      <c r="K91" s="2075">
        <f t="shared" si="56"/>
        <v>3129.9105611249997</v>
      </c>
      <c r="L91" s="2075">
        <f t="shared" si="56"/>
        <v>3239.4574307643747</v>
      </c>
      <c r="M91" s="2075">
        <f t="shared" si="56"/>
        <v>3352.838440841128</v>
      </c>
      <c r="N91" s="2075">
        <f t="shared" si="56"/>
        <v>3470.1877862705674</v>
      </c>
      <c r="O91" s="2075">
        <f t="shared" si="56"/>
        <v>3591.6443587900371</v>
      </c>
      <c r="P91" s="2075">
        <f t="shared" si="56"/>
        <v>3717.3519113476887</v>
      </c>
      <c r="Q91" s="2075">
        <f t="shared" si="56"/>
        <v>3847.459228244858</v>
      </c>
      <c r="R91" s="2075">
        <f t="shared" si="56"/>
        <v>3982.1203012334281</v>
      </c>
      <c r="S91" s="2075">
        <f t="shared" si="56"/>
        <v>4121.4945117765983</v>
      </c>
      <c r="T91" s="2075">
        <f t="shared" si="56"/>
        <v>4265.7468196887794</v>
      </c>
      <c r="U91" s="2075">
        <f t="shared" si="56"/>
        <v>4415.047958377887</v>
      </c>
      <c r="V91" s="2076">
        <f t="shared" si="56"/>
        <v>4569.5746369211129</v>
      </c>
      <c r="W91" s="1671"/>
    </row>
    <row r="92" spans="2:23" ht="15.75" thickBot="1" x14ac:dyDescent="0.3">
      <c r="B92" s="249"/>
      <c r="C92" s="240" t="s">
        <v>404</v>
      </c>
      <c r="D92" s="256"/>
      <c r="E92" s="257"/>
      <c r="F92" s="257"/>
      <c r="G92" s="2267">
        <f>IFERROR(H92/'2A'!$L$22,"")</f>
        <v>6945.0294915254235</v>
      </c>
      <c r="H92" s="2004">
        <f>SUM(H71:H91)</f>
        <v>409756.74</v>
      </c>
      <c r="I92" s="2005">
        <f t="shared" ref="I92:N92" si="57">SUM(I71:I91)</f>
        <v>424098.22589999996</v>
      </c>
      <c r="J92" s="2005">
        <f t="shared" si="57"/>
        <v>438941.66380650009</v>
      </c>
      <c r="K92" s="2005">
        <f t="shared" si="57"/>
        <v>454304.62203972758</v>
      </c>
      <c r="L92" s="2005">
        <f t="shared" si="57"/>
        <v>470205.28381111805</v>
      </c>
      <c r="M92" s="2005">
        <f t="shared" si="57"/>
        <v>486662.46874450712</v>
      </c>
      <c r="N92" s="2005">
        <f t="shared" si="57"/>
        <v>503695.65515056491</v>
      </c>
      <c r="O92" s="2005">
        <f t="shared" ref="O92:V92" si="58">SUM(O71:O91)</f>
        <v>521325.00308083469</v>
      </c>
      <c r="P92" s="2005">
        <f t="shared" si="58"/>
        <v>539571.37818866386</v>
      </c>
      <c r="Q92" s="2005">
        <f t="shared" si="58"/>
        <v>558456.37642526696</v>
      </c>
      <c r="R92" s="2005">
        <f t="shared" si="58"/>
        <v>578002.3496001513</v>
      </c>
      <c r="S92" s="2005">
        <f t="shared" si="58"/>
        <v>598232.43183615664</v>
      </c>
      <c r="T92" s="2005">
        <f t="shared" si="58"/>
        <v>619170.56695042225</v>
      </c>
      <c r="U92" s="2005">
        <f t="shared" si="58"/>
        <v>640841.53679368715</v>
      </c>
      <c r="V92" s="2006">
        <f t="shared" si="58"/>
        <v>663270.99058146623</v>
      </c>
      <c r="W92" s="1671"/>
    </row>
    <row r="93" spans="2:23" ht="15.75" thickBot="1" x14ac:dyDescent="0.3">
      <c r="B93" s="249"/>
      <c r="C93" s="240"/>
      <c r="D93" s="256"/>
      <c r="E93" s="265"/>
      <c r="F93" s="736" t="s">
        <v>372</v>
      </c>
      <c r="G93" s="2077"/>
      <c r="H93" s="2078"/>
      <c r="I93" s="2079"/>
      <c r="J93" s="2079"/>
      <c r="K93" s="2079"/>
      <c r="L93" s="2079"/>
      <c r="M93" s="2079"/>
      <c r="N93" s="2079"/>
      <c r="O93" s="2079"/>
      <c r="P93" s="2079"/>
      <c r="Q93" s="2079"/>
      <c r="R93" s="2079"/>
      <c r="S93" s="2079"/>
      <c r="T93" s="2079"/>
      <c r="U93" s="2079"/>
      <c r="V93" s="2080"/>
      <c r="W93" s="1671"/>
    </row>
    <row r="94" spans="2:23" x14ac:dyDescent="0.25">
      <c r="B94" s="268"/>
      <c r="C94" s="275" t="s">
        <v>405</v>
      </c>
      <c r="D94" s="276"/>
      <c r="E94" s="782"/>
      <c r="F94" s="785">
        <v>3.5000000000000003E-2</v>
      </c>
      <c r="G94" s="2065">
        <f>IFERROR(H94/'2A'!$L$22,"")</f>
        <v>500</v>
      </c>
      <c r="H94" s="2232">
        <f>500*59</f>
        <v>29500</v>
      </c>
      <c r="I94" s="2081">
        <f t="shared" ref="I94:V94" si="59">H94+(H94*$F94)</f>
        <v>30532.5</v>
      </c>
      <c r="J94" s="2081">
        <f t="shared" si="59"/>
        <v>31601.137500000001</v>
      </c>
      <c r="K94" s="2081">
        <f t="shared" si="59"/>
        <v>32707.1773125</v>
      </c>
      <c r="L94" s="2081">
        <f t="shared" si="59"/>
        <v>33851.928518437497</v>
      </c>
      <c r="M94" s="2081">
        <f t="shared" si="59"/>
        <v>35036.746016582809</v>
      </c>
      <c r="N94" s="2081">
        <f t="shared" si="59"/>
        <v>36263.032127163206</v>
      </c>
      <c r="O94" s="2081">
        <f t="shared" si="59"/>
        <v>37532.238251613919</v>
      </c>
      <c r="P94" s="2081">
        <f t="shared" si="59"/>
        <v>38845.866590420403</v>
      </c>
      <c r="Q94" s="2081">
        <f t="shared" si="59"/>
        <v>40205.471921085118</v>
      </c>
      <c r="R94" s="2081">
        <f t="shared" si="59"/>
        <v>41612.663438323099</v>
      </c>
      <c r="S94" s="2081">
        <f t="shared" si="59"/>
        <v>43069.106658664408</v>
      </c>
      <c r="T94" s="2081">
        <f t="shared" si="59"/>
        <v>44576.52539171766</v>
      </c>
      <c r="U94" s="2081">
        <f t="shared" si="59"/>
        <v>46136.703780427779</v>
      </c>
      <c r="V94" s="2082">
        <f t="shared" si="59"/>
        <v>47751.48841274275</v>
      </c>
      <c r="W94" s="1671"/>
    </row>
    <row r="95" spans="2:23" ht="15.75" thickBot="1" x14ac:dyDescent="0.3">
      <c r="B95" s="268"/>
      <c r="C95" s="277" t="s">
        <v>406</v>
      </c>
      <c r="D95" s="274"/>
      <c r="E95" s="781"/>
      <c r="F95" s="787">
        <v>3.5000000000000003E-2</v>
      </c>
      <c r="G95" s="2073">
        <f>IFERROR(H95/'2A'!$L$22,"")</f>
        <v>0</v>
      </c>
      <c r="H95" s="2083">
        <v>0</v>
      </c>
      <c r="I95" s="2075">
        <f t="shared" ref="I95:V95" si="60">H95+(H95*$F95)</f>
        <v>0</v>
      </c>
      <c r="J95" s="2075">
        <f t="shared" si="60"/>
        <v>0</v>
      </c>
      <c r="K95" s="2075">
        <f t="shared" si="60"/>
        <v>0</v>
      </c>
      <c r="L95" s="2075">
        <f t="shared" si="60"/>
        <v>0</v>
      </c>
      <c r="M95" s="2075">
        <f t="shared" si="60"/>
        <v>0</v>
      </c>
      <c r="N95" s="2075">
        <f t="shared" si="60"/>
        <v>0</v>
      </c>
      <c r="O95" s="2075">
        <f t="shared" si="60"/>
        <v>0</v>
      </c>
      <c r="P95" s="2075">
        <f t="shared" si="60"/>
        <v>0</v>
      </c>
      <c r="Q95" s="2075">
        <f t="shared" si="60"/>
        <v>0</v>
      </c>
      <c r="R95" s="2075">
        <f t="shared" si="60"/>
        <v>0</v>
      </c>
      <c r="S95" s="2075">
        <f t="shared" si="60"/>
        <v>0</v>
      </c>
      <c r="T95" s="2075">
        <f t="shared" si="60"/>
        <v>0</v>
      </c>
      <c r="U95" s="2075">
        <f t="shared" si="60"/>
        <v>0</v>
      </c>
      <c r="V95" s="2076">
        <f t="shared" si="60"/>
        <v>0</v>
      </c>
      <c r="W95" s="1671"/>
    </row>
    <row r="96" spans="2:23" x14ac:dyDescent="0.25">
      <c r="B96" s="268"/>
      <c r="C96" s="240" t="s">
        <v>407</v>
      </c>
      <c r="D96" s="256"/>
      <c r="E96" s="256"/>
      <c r="F96" s="256"/>
      <c r="G96" s="2084" t="str">
        <f>IFERROR(H96/#REF!,"")</f>
        <v/>
      </c>
      <c r="H96" s="2004">
        <f>SUM(H94:H95)</f>
        <v>29500</v>
      </c>
      <c r="I96" s="2005">
        <f t="shared" ref="I96:N96" si="61">SUM(I94:I95)</f>
        <v>30532.5</v>
      </c>
      <c r="J96" s="2005">
        <f t="shared" si="61"/>
        <v>31601.137500000001</v>
      </c>
      <c r="K96" s="2005">
        <f t="shared" si="61"/>
        <v>32707.1773125</v>
      </c>
      <c r="L96" s="2005">
        <f t="shared" si="61"/>
        <v>33851.928518437497</v>
      </c>
      <c r="M96" s="2005">
        <f t="shared" si="61"/>
        <v>35036.746016582809</v>
      </c>
      <c r="N96" s="2005">
        <f t="shared" si="61"/>
        <v>36263.032127163206</v>
      </c>
      <c r="O96" s="2005">
        <f t="shared" ref="O96:V96" si="62">SUM(O94:O95)</f>
        <v>37532.238251613919</v>
      </c>
      <c r="P96" s="2005">
        <f t="shared" si="62"/>
        <v>38845.866590420403</v>
      </c>
      <c r="Q96" s="2005">
        <f t="shared" si="62"/>
        <v>40205.471921085118</v>
      </c>
      <c r="R96" s="2005">
        <f t="shared" si="62"/>
        <v>41612.663438323099</v>
      </c>
      <c r="S96" s="2005">
        <f t="shared" si="62"/>
        <v>43069.106658664408</v>
      </c>
      <c r="T96" s="2005">
        <f t="shared" si="62"/>
        <v>44576.52539171766</v>
      </c>
      <c r="U96" s="2005">
        <f t="shared" si="62"/>
        <v>46136.703780427779</v>
      </c>
      <c r="V96" s="2006">
        <f t="shared" si="62"/>
        <v>47751.48841274275</v>
      </c>
      <c r="W96" s="1671"/>
    </row>
    <row r="97" spans="2:23" ht="7.5" customHeight="1" thickBot="1" x14ac:dyDescent="0.3">
      <c r="B97" s="268"/>
      <c r="C97" s="240"/>
      <c r="D97" s="256"/>
      <c r="E97" s="256"/>
      <c r="F97" s="256"/>
      <c r="G97" s="2084"/>
      <c r="H97" s="2078"/>
      <c r="I97" s="2079"/>
      <c r="J97" s="2079"/>
      <c r="K97" s="2079"/>
      <c r="L97" s="2079"/>
      <c r="M97" s="2079"/>
      <c r="N97" s="2079"/>
      <c r="O97" s="2079"/>
      <c r="P97" s="2079"/>
      <c r="Q97" s="2079"/>
      <c r="R97" s="2079"/>
      <c r="S97" s="2079"/>
      <c r="T97" s="2079"/>
      <c r="U97" s="2079"/>
      <c r="V97" s="2080"/>
      <c r="W97" s="1671"/>
    </row>
    <row r="98" spans="2:23" ht="15.75" thickBot="1" x14ac:dyDescent="0.3">
      <c r="B98" s="249"/>
      <c r="C98" s="240" t="s">
        <v>408</v>
      </c>
      <c r="D98" s="256"/>
      <c r="E98" s="783"/>
      <c r="F98" s="2231">
        <v>0.02</v>
      </c>
      <c r="G98" s="2085">
        <f>IFERROR(H98/'2A'!$L$22,"")</f>
        <v>3784.9661016949153</v>
      </c>
      <c r="H98" s="2226">
        <f>'8C'!L41+'8C'!L54</f>
        <v>223313</v>
      </c>
      <c r="I98" s="2086">
        <f t="shared" ref="I98:V98" si="63">H98+(H98*$F98)</f>
        <v>227779.26</v>
      </c>
      <c r="J98" s="2086">
        <f>I98+(I98*$F98)-('8C'!L32*25%)</f>
        <v>211932.97020000001</v>
      </c>
      <c r="K98" s="2086">
        <f t="shared" si="63"/>
        <v>216171.62960400002</v>
      </c>
      <c r="L98" s="2086">
        <f t="shared" si="63"/>
        <v>220495.06219608002</v>
      </c>
      <c r="M98" s="2086">
        <f t="shared" si="63"/>
        <v>224904.96344000162</v>
      </c>
      <c r="N98" s="2086">
        <f t="shared" si="63"/>
        <v>229403.06270880165</v>
      </c>
      <c r="O98" s="2086">
        <f>N98+(N98*$F98)</f>
        <v>233991.12396297767</v>
      </c>
      <c r="P98" s="2086">
        <f>O98+(O98*$F98)-'8C'!L32*0.25-'8C'!L34*0.25</f>
        <v>205275.32144223721</v>
      </c>
      <c r="Q98" s="2086">
        <f t="shared" si="63"/>
        <v>209380.82787108194</v>
      </c>
      <c r="R98" s="2086">
        <f t="shared" si="63"/>
        <v>213568.44442850357</v>
      </c>
      <c r="S98" s="2086">
        <f t="shared" si="63"/>
        <v>217839.81331707365</v>
      </c>
      <c r="T98" s="2086">
        <f t="shared" si="63"/>
        <v>222196.60958341512</v>
      </c>
      <c r="U98" s="2086">
        <f t="shared" si="63"/>
        <v>226640.54177508343</v>
      </c>
      <c r="V98" s="2087">
        <f t="shared" si="63"/>
        <v>231173.35261058511</v>
      </c>
      <c r="W98" s="1671"/>
    </row>
    <row r="99" spans="2:23" ht="7.5" customHeight="1" thickBot="1" x14ac:dyDescent="0.3">
      <c r="B99" s="249"/>
      <c r="C99" s="240"/>
      <c r="D99" s="256"/>
      <c r="E99" s="256"/>
      <c r="F99" s="256"/>
      <c r="G99" s="2084"/>
      <c r="H99" s="2078"/>
      <c r="I99" s="2079"/>
      <c r="J99" s="2079"/>
      <c r="K99" s="2079"/>
      <c r="L99" s="2079"/>
      <c r="M99" s="2079"/>
      <c r="N99" s="2079"/>
      <c r="O99" s="2079"/>
      <c r="P99" s="2079"/>
      <c r="Q99" s="2079"/>
      <c r="R99" s="2079"/>
      <c r="S99" s="2079"/>
      <c r="T99" s="2079"/>
      <c r="U99" s="2079"/>
      <c r="V99" s="2080"/>
      <c r="W99" s="1671"/>
    </row>
    <row r="100" spans="2:23" ht="15.75" thickBot="1" x14ac:dyDescent="0.3">
      <c r="B100" s="249"/>
      <c r="C100" s="279" t="s">
        <v>409</v>
      </c>
      <c r="D100" s="259"/>
      <c r="E100" s="614"/>
      <c r="F100" s="696">
        <v>0</v>
      </c>
      <c r="G100" s="2088"/>
      <c r="H100" s="2089">
        <v>0</v>
      </c>
      <c r="I100" s="2090">
        <f t="shared" ref="I100:V100" si="64">H100+(H100*$F100)</f>
        <v>0</v>
      </c>
      <c r="J100" s="2090">
        <f t="shared" si="64"/>
        <v>0</v>
      </c>
      <c r="K100" s="2090">
        <f t="shared" si="64"/>
        <v>0</v>
      </c>
      <c r="L100" s="2090">
        <f t="shared" si="64"/>
        <v>0</v>
      </c>
      <c r="M100" s="2090">
        <f t="shared" si="64"/>
        <v>0</v>
      </c>
      <c r="N100" s="2090">
        <f t="shared" si="64"/>
        <v>0</v>
      </c>
      <c r="O100" s="2090">
        <f t="shared" si="64"/>
        <v>0</v>
      </c>
      <c r="P100" s="2090">
        <f t="shared" si="64"/>
        <v>0</v>
      </c>
      <c r="Q100" s="2090">
        <f t="shared" si="64"/>
        <v>0</v>
      </c>
      <c r="R100" s="2090">
        <f t="shared" si="64"/>
        <v>0</v>
      </c>
      <c r="S100" s="2090">
        <f t="shared" si="64"/>
        <v>0</v>
      </c>
      <c r="T100" s="2090">
        <f t="shared" si="64"/>
        <v>0</v>
      </c>
      <c r="U100" s="2090">
        <f t="shared" si="64"/>
        <v>0</v>
      </c>
      <c r="V100" s="2091">
        <f t="shared" si="64"/>
        <v>0</v>
      </c>
      <c r="W100" s="1671"/>
    </row>
    <row r="101" spans="2:23" ht="16.5" thickTop="1" thickBot="1" x14ac:dyDescent="0.3">
      <c r="B101" s="249"/>
      <c r="C101" s="264" t="s">
        <v>410</v>
      </c>
      <c r="D101" s="256"/>
      <c r="E101" s="256"/>
      <c r="F101" s="256"/>
      <c r="G101" s="2092" t="s">
        <v>374</v>
      </c>
      <c r="H101" s="2093">
        <f>H92+H96+H98+H100</f>
        <v>662569.74</v>
      </c>
      <c r="I101" s="2094">
        <f t="shared" ref="I101:N101" si="65">I92+I96+I98+I100</f>
        <v>682409.98589999997</v>
      </c>
      <c r="J101" s="2094">
        <f t="shared" si="65"/>
        <v>682475.77150650008</v>
      </c>
      <c r="K101" s="2094">
        <f t="shared" si="65"/>
        <v>703183.42895622761</v>
      </c>
      <c r="L101" s="2094">
        <f t="shared" si="65"/>
        <v>724552.27452563553</v>
      </c>
      <c r="M101" s="2094">
        <f t="shared" si="65"/>
        <v>746604.17820109159</v>
      </c>
      <c r="N101" s="2094">
        <f t="shared" si="65"/>
        <v>769361.74998652982</v>
      </c>
      <c r="O101" s="2094">
        <f t="shared" ref="O101:V101" si="66">O92+O96+O98+O100</f>
        <v>792848.36529542622</v>
      </c>
      <c r="P101" s="2094">
        <f t="shared" si="66"/>
        <v>783692.56622132147</v>
      </c>
      <c r="Q101" s="2094">
        <f t="shared" si="66"/>
        <v>808042.676217434</v>
      </c>
      <c r="R101" s="2094">
        <f t="shared" si="66"/>
        <v>833183.45746697788</v>
      </c>
      <c r="S101" s="2094">
        <f t="shared" si="66"/>
        <v>859141.35181189468</v>
      </c>
      <c r="T101" s="2094">
        <f t="shared" si="66"/>
        <v>885943.70192555501</v>
      </c>
      <c r="U101" s="2094">
        <f t="shared" si="66"/>
        <v>913618.78234919836</v>
      </c>
      <c r="V101" s="2095">
        <f t="shared" si="66"/>
        <v>942195.83160479413</v>
      </c>
      <c r="W101" s="1671"/>
    </row>
    <row r="102" spans="2:23" ht="7.5" customHeight="1" thickBot="1" x14ac:dyDescent="0.3">
      <c r="B102" s="249"/>
      <c r="C102" s="256"/>
      <c r="D102" s="256"/>
      <c r="E102" s="256"/>
      <c r="F102" s="256"/>
      <c r="G102" s="2084"/>
      <c r="H102" s="2096"/>
      <c r="I102" s="2096"/>
      <c r="J102" s="2096"/>
      <c r="K102" s="2096"/>
      <c r="L102" s="2096"/>
      <c r="M102" s="2096"/>
      <c r="N102" s="2096"/>
      <c r="O102" s="2096"/>
      <c r="P102" s="2096"/>
      <c r="Q102" s="2096"/>
      <c r="R102" s="2096"/>
      <c r="S102" s="2096"/>
      <c r="T102" s="2096"/>
      <c r="U102" s="2096"/>
      <c r="V102" s="2096"/>
      <c r="W102" s="1671"/>
    </row>
    <row r="103" spans="2:23" ht="15.75" thickBot="1" x14ac:dyDescent="0.3">
      <c r="B103" s="249"/>
      <c r="C103" s="373"/>
      <c r="D103" s="256"/>
      <c r="E103" s="256"/>
      <c r="F103" s="1415" t="s">
        <v>411</v>
      </c>
      <c r="G103" s="2092" t="s">
        <v>374</v>
      </c>
      <c r="H103" s="2031">
        <f>H39-H101</f>
        <v>14652.010000000009</v>
      </c>
      <c r="I103" s="2032">
        <f t="shared" ref="I103:V103" si="67">I39-I101</f>
        <v>11742.307849999983</v>
      </c>
      <c r="J103" s="2032">
        <f t="shared" si="67"/>
        <v>29030.329587249784</v>
      </c>
      <c r="K103" s="2032">
        <f t="shared" si="67"/>
        <v>26110.32466486597</v>
      </c>
      <c r="L103" s="2032">
        <f t="shared" si="67"/>
        <v>22973.822935985518</v>
      </c>
      <c r="M103" s="2032">
        <f t="shared" si="67"/>
        <v>19610.071697069914</v>
      </c>
      <c r="N103" s="2032">
        <f t="shared" si="67"/>
        <v>16007.856159085874</v>
      </c>
      <c r="O103" s="2032">
        <f t="shared" si="67"/>
        <v>12155.48100382986</v>
      </c>
      <c r="P103" s="2032">
        <f t="shared" si="67"/>
        <v>41436.376235416043</v>
      </c>
      <c r="Q103" s="2032">
        <f t="shared" si="67"/>
        <v>37714.489800721873</v>
      </c>
      <c r="R103" s="2032">
        <f t="shared" si="67"/>
        <v>33717.637701631873</v>
      </c>
      <c r="S103" s="2032">
        <f t="shared" si="67"/>
        <v>29432.270735930419</v>
      </c>
      <c r="T103" s="2032">
        <f t="shared" si="67"/>
        <v>24844.261185965734</v>
      </c>
      <c r="U103" s="2032">
        <f t="shared" si="67"/>
        <v>19938.879840110312</v>
      </c>
      <c r="V103" s="2033">
        <f t="shared" si="67"/>
        <v>14700.77213924739</v>
      </c>
      <c r="W103" s="1671"/>
    </row>
    <row r="104" spans="2:23" s="394" customFormat="1" ht="7.5" customHeight="1" x14ac:dyDescent="0.25">
      <c r="B104" s="1682"/>
      <c r="C104" s="1098"/>
      <c r="D104" s="1098"/>
      <c r="E104" s="1098"/>
      <c r="F104" s="1098"/>
      <c r="G104" s="1098"/>
      <c r="H104" s="1098"/>
      <c r="I104" s="1098"/>
      <c r="J104" s="1098"/>
      <c r="K104" s="1098"/>
      <c r="L104" s="1098"/>
      <c r="M104" s="1098"/>
      <c r="N104" s="1098"/>
      <c r="O104" s="1098"/>
      <c r="P104" s="1098"/>
      <c r="Q104" s="1098"/>
      <c r="R104" s="1098"/>
      <c r="S104" s="1098"/>
      <c r="T104" s="1098"/>
      <c r="U104" s="1098"/>
      <c r="V104" s="1098"/>
      <c r="W104" s="1683"/>
    </row>
    <row r="105" spans="2:23" s="394" customFormat="1" x14ac:dyDescent="0.25">
      <c r="B105" s="1682"/>
      <c r="C105" s="1098"/>
      <c r="D105" s="1098"/>
      <c r="E105" s="1098"/>
      <c r="F105" s="1098"/>
      <c r="G105" s="1098"/>
      <c r="H105" s="1098"/>
      <c r="I105" s="1098"/>
      <c r="J105" s="1098"/>
      <c r="K105" s="1098"/>
      <c r="L105" s="1098"/>
      <c r="M105" s="1098"/>
      <c r="N105" s="1098"/>
      <c r="O105" s="1098"/>
      <c r="P105" s="1098"/>
      <c r="Q105" s="1098"/>
      <c r="R105" s="1098"/>
      <c r="S105" s="1098"/>
      <c r="T105" s="1098"/>
      <c r="U105" s="1098"/>
      <c r="V105" s="1098"/>
      <c r="W105" s="1683"/>
    </row>
    <row r="106" spans="2:23" s="394" customFormat="1" ht="15.75" thickBot="1" x14ac:dyDescent="0.3">
      <c r="B106" s="1682"/>
      <c r="C106" s="1098" t="s">
        <v>550</v>
      </c>
      <c r="D106" s="1098"/>
      <c r="E106" s="1098"/>
      <c r="F106" s="1098"/>
      <c r="G106" s="1098"/>
      <c r="H106" s="1098"/>
      <c r="I106" s="1098"/>
      <c r="J106" s="1098"/>
      <c r="K106" s="1098"/>
      <c r="L106" s="1098"/>
      <c r="M106" s="1098"/>
      <c r="N106" s="1098"/>
      <c r="O106" s="1098"/>
      <c r="P106" s="1098"/>
      <c r="Q106" s="1098"/>
      <c r="R106" s="1098"/>
      <c r="S106" s="1098"/>
      <c r="T106" s="1098"/>
      <c r="U106" s="1098"/>
      <c r="V106" s="1098"/>
      <c r="W106" s="1683"/>
    </row>
    <row r="107" spans="2:23" s="394" customFormat="1" x14ac:dyDescent="0.25">
      <c r="B107" s="1682"/>
      <c r="C107" s="2562" t="s">
        <v>2051</v>
      </c>
      <c r="D107" s="2563"/>
      <c r="E107" s="2563"/>
      <c r="F107" s="2563"/>
      <c r="G107" s="2563"/>
      <c r="H107" s="2563"/>
      <c r="I107" s="2563"/>
      <c r="J107" s="2563"/>
      <c r="K107" s="2563"/>
      <c r="L107" s="2563"/>
      <c r="M107" s="2563"/>
      <c r="N107" s="2563"/>
      <c r="O107" s="2563"/>
      <c r="P107" s="2563"/>
      <c r="Q107" s="2563"/>
      <c r="R107" s="2563"/>
      <c r="S107" s="2563"/>
      <c r="T107" s="2563"/>
      <c r="U107" s="2563"/>
      <c r="V107" s="2564"/>
      <c r="W107" s="1683"/>
    </row>
    <row r="108" spans="2:23" s="394" customFormat="1" x14ac:dyDescent="0.25">
      <c r="B108" s="1682"/>
      <c r="C108" s="2565"/>
      <c r="D108" s="2566"/>
      <c r="E108" s="2566"/>
      <c r="F108" s="2566"/>
      <c r="G108" s="2566"/>
      <c r="H108" s="2566"/>
      <c r="I108" s="2566"/>
      <c r="J108" s="2566"/>
      <c r="K108" s="2566"/>
      <c r="L108" s="2566"/>
      <c r="M108" s="2566"/>
      <c r="N108" s="2566"/>
      <c r="O108" s="2566"/>
      <c r="P108" s="2566"/>
      <c r="Q108" s="2566"/>
      <c r="R108" s="2566"/>
      <c r="S108" s="2566"/>
      <c r="T108" s="2566"/>
      <c r="U108" s="2566"/>
      <c r="V108" s="2567"/>
      <c r="W108" s="1683"/>
    </row>
    <row r="109" spans="2:23" s="394" customFormat="1" x14ac:dyDescent="0.25">
      <c r="B109" s="1682"/>
      <c r="C109" s="2565"/>
      <c r="D109" s="2566"/>
      <c r="E109" s="2566"/>
      <c r="F109" s="2566"/>
      <c r="G109" s="2566"/>
      <c r="H109" s="2566"/>
      <c r="I109" s="2566"/>
      <c r="J109" s="2566"/>
      <c r="K109" s="2566"/>
      <c r="L109" s="2566"/>
      <c r="M109" s="2566"/>
      <c r="N109" s="2566"/>
      <c r="O109" s="2566"/>
      <c r="P109" s="2566"/>
      <c r="Q109" s="2566"/>
      <c r="R109" s="2566"/>
      <c r="S109" s="2566"/>
      <c r="T109" s="2566"/>
      <c r="U109" s="2566"/>
      <c r="V109" s="2567"/>
      <c r="W109" s="1683"/>
    </row>
    <row r="110" spans="2:23" s="394" customFormat="1" x14ac:dyDescent="0.25">
      <c r="B110" s="1682"/>
      <c r="C110" s="2565"/>
      <c r="D110" s="2566"/>
      <c r="E110" s="2566"/>
      <c r="F110" s="2566"/>
      <c r="G110" s="2566"/>
      <c r="H110" s="2566"/>
      <c r="I110" s="2566"/>
      <c r="J110" s="2566"/>
      <c r="K110" s="2566"/>
      <c r="L110" s="2566"/>
      <c r="M110" s="2566"/>
      <c r="N110" s="2566"/>
      <c r="O110" s="2566"/>
      <c r="P110" s="2566"/>
      <c r="Q110" s="2566"/>
      <c r="R110" s="2566"/>
      <c r="S110" s="2566"/>
      <c r="T110" s="2566"/>
      <c r="U110" s="2566"/>
      <c r="V110" s="2567"/>
      <c r="W110" s="1683"/>
    </row>
    <row r="111" spans="2:23" s="394" customFormat="1" ht="15.75" thickBot="1" x14ac:dyDescent="0.3">
      <c r="B111" s="1682"/>
      <c r="C111" s="2568"/>
      <c r="D111" s="2569"/>
      <c r="E111" s="2569"/>
      <c r="F111" s="2569"/>
      <c r="G111" s="2569"/>
      <c r="H111" s="2569"/>
      <c r="I111" s="2569"/>
      <c r="J111" s="2569"/>
      <c r="K111" s="2569"/>
      <c r="L111" s="2569"/>
      <c r="M111" s="2569"/>
      <c r="N111" s="2569"/>
      <c r="O111" s="2569"/>
      <c r="P111" s="2569"/>
      <c r="Q111" s="2569"/>
      <c r="R111" s="2569"/>
      <c r="S111" s="2569"/>
      <c r="T111" s="2569"/>
      <c r="U111" s="2569"/>
      <c r="V111" s="2570"/>
      <c r="W111" s="1683"/>
    </row>
    <row r="112" spans="2:23" s="394" customFormat="1" ht="15.75" thickBot="1" x14ac:dyDescent="0.3">
      <c r="B112" s="1684"/>
      <c r="C112" s="1685"/>
      <c r="D112" s="1685"/>
      <c r="E112" s="1685"/>
      <c r="F112" s="1685"/>
      <c r="G112" s="1685"/>
      <c r="H112" s="1685"/>
      <c r="I112" s="1685"/>
      <c r="J112" s="1685"/>
      <c r="K112" s="1685"/>
      <c r="L112" s="1685"/>
      <c r="M112" s="1685"/>
      <c r="N112" s="1685"/>
      <c r="O112" s="1685"/>
      <c r="P112" s="1685"/>
      <c r="Q112" s="1685"/>
      <c r="R112" s="1685"/>
      <c r="S112" s="1685"/>
      <c r="T112" s="1685"/>
      <c r="U112" s="1685"/>
      <c r="V112" s="1685"/>
      <c r="W112" s="1686"/>
    </row>
    <row r="113" spans="8:8" s="394" customFormat="1" ht="7.5" customHeight="1" x14ac:dyDescent="0.25"/>
    <row r="114" spans="8:8" s="394" customFormat="1" x14ac:dyDescent="0.25">
      <c r="H114" s="486"/>
    </row>
    <row r="115" spans="8:8" s="394" customFormat="1" x14ac:dyDescent="0.25"/>
    <row r="116" spans="8:8" s="394" customFormat="1" x14ac:dyDescent="0.25"/>
    <row r="117" spans="8:8" s="394" customFormat="1" ht="7.5" customHeight="1" x14ac:dyDescent="0.25"/>
    <row r="118" spans="8:8" s="394" customFormat="1" x14ac:dyDescent="0.25"/>
    <row r="119" spans="8:8" s="394" customFormat="1" ht="7.5" customHeight="1" x14ac:dyDescent="0.25"/>
    <row r="120" spans="8:8" s="394" customFormat="1" x14ac:dyDescent="0.25"/>
    <row r="121" spans="8:8" s="394" customFormat="1" x14ac:dyDescent="0.25"/>
    <row r="122" spans="8:8" s="394" customFormat="1" ht="7.5" customHeight="1" x14ac:dyDescent="0.25"/>
    <row r="123" spans="8:8" s="394" customFormat="1" x14ac:dyDescent="0.25"/>
    <row r="124" spans="8:8" s="394" customFormat="1" x14ac:dyDescent="0.25"/>
    <row r="125" spans="8:8" s="394" customFormat="1" x14ac:dyDescent="0.25"/>
    <row r="126" spans="8:8" s="394" customFormat="1" x14ac:dyDescent="0.25"/>
    <row r="127" spans="8:8" s="394" customFormat="1" x14ac:dyDescent="0.25"/>
    <row r="128" spans="8:8" s="394" customFormat="1" x14ac:dyDescent="0.25"/>
    <row r="129" s="394" customFormat="1" x14ac:dyDescent="0.25"/>
    <row r="130" s="394" customFormat="1" x14ac:dyDescent="0.25"/>
    <row r="131" s="394" customFormat="1" x14ac:dyDescent="0.25"/>
    <row r="132" s="394" customFormat="1" x14ac:dyDescent="0.25"/>
    <row r="133" s="394" customFormat="1" x14ac:dyDescent="0.25"/>
    <row r="134" s="394" customFormat="1" x14ac:dyDescent="0.25"/>
    <row r="135" s="394" customFormat="1" x14ac:dyDescent="0.25"/>
    <row r="136" s="394" customFormat="1" x14ac:dyDescent="0.25"/>
    <row r="137" s="394" customFormat="1" x14ac:dyDescent="0.25"/>
    <row r="138" s="394" customFormat="1" x14ac:dyDescent="0.25"/>
    <row r="139" s="394" customFormat="1" x14ac:dyDescent="0.25"/>
    <row r="140" s="394" customFormat="1" ht="7.5" customHeight="1" x14ac:dyDescent="0.25"/>
    <row r="141" s="394" customFormat="1" x14ac:dyDescent="0.25"/>
    <row r="142" s="394" customFormat="1" x14ac:dyDescent="0.25"/>
    <row r="143" s="394" customFormat="1" ht="9" customHeight="1" x14ac:dyDescent="0.25"/>
  </sheetData>
  <sheetProtection password="D666" sheet="1" objects="1" scenarios="1" formatCells="0" formatColumns="0" formatRows="0"/>
  <mergeCells count="25">
    <mergeCell ref="F48:G48"/>
    <mergeCell ref="F53:G53"/>
    <mergeCell ref="C48:E48"/>
    <mergeCell ref="E51:G51"/>
    <mergeCell ref="C44:D44"/>
    <mergeCell ref="F45:G45"/>
    <mergeCell ref="F46:G46"/>
    <mergeCell ref="C14:V14"/>
    <mergeCell ref="F47:G47"/>
    <mergeCell ref="C46:E46"/>
    <mergeCell ref="C47:E47"/>
    <mergeCell ref="C16:M16"/>
    <mergeCell ref="C28:F28"/>
    <mergeCell ref="C29:F29"/>
    <mergeCell ref="C24:F24"/>
    <mergeCell ref="C25:F25"/>
    <mergeCell ref="C107:V111"/>
    <mergeCell ref="F54:G54"/>
    <mergeCell ref="F55:G55"/>
    <mergeCell ref="F57:G57"/>
    <mergeCell ref="F56:G56"/>
    <mergeCell ref="C54:E54"/>
    <mergeCell ref="C55:E55"/>
    <mergeCell ref="C56:E56"/>
    <mergeCell ref="C57:E57"/>
  </mergeCells>
  <conditionalFormatting sqref="H51:V51">
    <cfRule type="cellIs" dxfId="9" priority="8" operator="lessThan">
      <formula>0</formula>
    </cfRule>
  </conditionalFormatting>
  <conditionalFormatting sqref="H39:V39 H42:V42 H51:V51 H103:V103 H61:V61">
    <cfRule type="cellIs" dxfId="8" priority="7" operator="lessThan">
      <formula>0</formula>
    </cfRule>
  </conditionalFormatting>
  <conditionalFormatting sqref="G23:G24">
    <cfRule type="cellIs" dxfId="7" priority="6" operator="notEqual">
      <formula>0.025</formula>
    </cfRule>
  </conditionalFormatting>
  <conditionalFormatting sqref="G37">
    <cfRule type="cellIs" dxfId="6" priority="5" operator="notEqual">
      <formula>0.05</formula>
    </cfRule>
  </conditionalFormatting>
  <conditionalFormatting sqref="G38">
    <cfRule type="cellIs" dxfId="5" priority="4" operator="notEqual">
      <formula>0.1</formula>
    </cfRule>
  </conditionalFormatting>
  <conditionalFormatting sqref="F71:F91">
    <cfRule type="cellIs" dxfId="4" priority="3" operator="notEqual">
      <formula>0.035</formula>
    </cfRule>
  </conditionalFormatting>
  <conditionalFormatting sqref="F94:F95">
    <cfRule type="cellIs" dxfId="3" priority="2" operator="notEqual">
      <formula>0.035</formula>
    </cfRule>
  </conditionalFormatting>
  <conditionalFormatting sqref="F98">
    <cfRule type="cellIs" dxfId="2" priority="1" operator="notEqual">
      <formula>0.035</formula>
    </cfRule>
  </conditionalFormatting>
  <pageMargins left="0.25" right="0.25" top="0.75" bottom="0.75" header="0.3" footer="0.3"/>
  <pageSetup paperSize="5" scale="72" fitToHeight="2" orientation="landscape" horizontalDpi="4294967295" verticalDpi="4294967295" r:id="rId1"/>
  <headerFooter>
    <oddFooter>&amp;LForm 8D
Operating Pro Forma&amp;CCFA Forms&amp;REdition: 2016
Version: 1.0</oddFooter>
  </headerFooter>
  <rowBreaks count="1" manualBreakCount="1">
    <brk id="62" min="1" max="22" man="1"/>
  </rowBreaks>
  <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topLeftCell="B16" workbookViewId="0">
      <selection activeCell="E42" sqref="E42:E43"/>
    </sheetView>
  </sheetViews>
  <sheetFormatPr defaultColWidth="8.85546875" defaultRowHeight="15" x14ac:dyDescent="0.25"/>
  <cols>
    <col min="1" max="2" width="1.7109375" style="399" customWidth="1"/>
    <col min="3" max="3" width="14.28515625" style="399" customWidth="1"/>
    <col min="4" max="4" width="10" style="399" customWidth="1"/>
    <col min="5" max="5" width="74.28515625" style="399" customWidth="1"/>
    <col min="6" max="6" width="1.7109375" style="399" customWidth="1"/>
    <col min="7" max="16384" width="8.85546875" style="399"/>
  </cols>
  <sheetData>
    <row r="6" spans="2:6" ht="15.75" thickBot="1" x14ac:dyDescent="0.3"/>
    <row r="7" spans="2:6" ht="9" customHeight="1" x14ac:dyDescent="0.25">
      <c r="B7" s="621"/>
      <c r="C7" s="622"/>
      <c r="D7" s="622"/>
      <c r="E7" s="623"/>
      <c r="F7" s="624"/>
    </row>
    <row r="8" spans="2:6" ht="18.75" x14ac:dyDescent="0.3">
      <c r="B8" s="625"/>
      <c r="C8" s="2402" t="s">
        <v>1709</v>
      </c>
      <c r="D8" s="2402"/>
      <c r="E8" s="2402"/>
      <c r="F8" s="626"/>
    </row>
    <row r="9" spans="2:6" x14ac:dyDescent="0.25">
      <c r="B9" s="625"/>
      <c r="C9" s="1403"/>
      <c r="D9" s="1403"/>
      <c r="E9" s="227"/>
      <c r="F9" s="626"/>
    </row>
    <row r="10" spans="2:6" ht="15.75" thickBot="1" x14ac:dyDescent="0.3">
      <c r="B10" s="625"/>
      <c r="C10" s="2478" t="str">
        <f>IF('1'!G5="","Enter Project Name on Form 1",(CONCATENATE("Project Name: ",'1'!G5)))</f>
        <v>Project Name: Compass Broadview</v>
      </c>
      <c r="D10" s="2478"/>
      <c r="E10" s="2478"/>
      <c r="F10" s="626"/>
    </row>
    <row r="11" spans="2:6" ht="22.5" customHeight="1" x14ac:dyDescent="0.25">
      <c r="B11" s="625"/>
      <c r="C11" s="281"/>
      <c r="D11" s="281"/>
      <c r="E11" s="422"/>
      <c r="F11" s="626"/>
    </row>
    <row r="12" spans="2:6" x14ac:dyDescent="0.25">
      <c r="B12" s="625"/>
      <c r="C12" s="627" t="s">
        <v>427</v>
      </c>
      <c r="D12" s="627"/>
      <c r="E12" s="227"/>
      <c r="F12" s="626"/>
    </row>
    <row r="13" spans="2:6" ht="15.75" thickBot="1" x14ac:dyDescent="0.3">
      <c r="B13" s="625"/>
      <c r="C13" s="129" t="s">
        <v>428</v>
      </c>
      <c r="D13" s="129"/>
      <c r="E13" s="628"/>
      <c r="F13" s="626"/>
    </row>
    <row r="14" spans="2:6" x14ac:dyDescent="0.25">
      <c r="B14" s="625"/>
      <c r="C14" s="2606" t="s">
        <v>1900</v>
      </c>
      <c r="D14" s="2607"/>
      <c r="E14" s="2608"/>
      <c r="F14" s="626"/>
    </row>
    <row r="15" spans="2:6" x14ac:dyDescent="0.25">
      <c r="B15" s="625"/>
      <c r="C15" s="2609"/>
      <c r="D15" s="2610"/>
      <c r="E15" s="2611"/>
      <c r="F15" s="626"/>
    </row>
    <row r="16" spans="2:6" x14ac:dyDescent="0.25">
      <c r="B16" s="625"/>
      <c r="C16" s="2609"/>
      <c r="D16" s="2610"/>
      <c r="E16" s="2611"/>
      <c r="F16" s="626"/>
    </row>
    <row r="17" spans="1:11" ht="15.75" thickBot="1" x14ac:dyDescent="0.3">
      <c r="B17" s="625"/>
      <c r="C17" s="2612"/>
      <c r="D17" s="2613"/>
      <c r="E17" s="2614"/>
      <c r="F17" s="626"/>
    </row>
    <row r="18" spans="1:11" x14ac:dyDescent="0.25">
      <c r="B18" s="625"/>
      <c r="C18" s="133"/>
      <c r="D18" s="133"/>
      <c r="E18" s="628"/>
      <c r="F18" s="626"/>
    </row>
    <row r="19" spans="1:11" x14ac:dyDescent="0.25">
      <c r="A19" s="395"/>
      <c r="B19" s="625"/>
      <c r="C19" s="627" t="s">
        <v>429</v>
      </c>
      <c r="D19" s="627"/>
      <c r="E19" s="339"/>
      <c r="F19" s="629"/>
      <c r="G19" s="395"/>
      <c r="H19" s="395"/>
      <c r="I19" s="395"/>
      <c r="J19" s="395"/>
      <c r="K19" s="395"/>
    </row>
    <row r="20" spans="1:11" ht="7.5" customHeight="1" x14ac:dyDescent="0.25">
      <c r="A20" s="395"/>
      <c r="B20" s="625"/>
      <c r="C20" s="630"/>
      <c r="D20" s="630"/>
      <c r="E20" s="339"/>
      <c r="F20" s="629"/>
      <c r="G20" s="395"/>
      <c r="H20" s="395"/>
      <c r="I20" s="395"/>
      <c r="J20" s="395"/>
      <c r="K20" s="395"/>
    </row>
    <row r="21" spans="1:11" ht="15.75" thickBot="1" x14ac:dyDescent="0.3">
      <c r="A21" s="395"/>
      <c r="B21" s="625"/>
      <c r="C21" s="254" t="s">
        <v>382</v>
      </c>
      <c r="D21" s="254"/>
      <c r="E21" s="568"/>
      <c r="F21" s="629"/>
      <c r="G21" s="395"/>
      <c r="H21" s="395"/>
      <c r="I21" s="395"/>
      <c r="J21" s="395"/>
      <c r="K21" s="395"/>
    </row>
    <row r="22" spans="1:11" x14ac:dyDescent="0.25">
      <c r="A22" s="395"/>
      <c r="B22" s="625"/>
      <c r="C22" s="280" t="s">
        <v>384</v>
      </c>
      <c r="D22" s="280"/>
      <c r="E22" s="952" t="s">
        <v>1901</v>
      </c>
      <c r="F22" s="629"/>
      <c r="G22" s="395"/>
      <c r="H22" s="395"/>
      <c r="I22" s="395"/>
      <c r="J22" s="395"/>
      <c r="K22" s="395"/>
    </row>
    <row r="23" spans="1:11" x14ac:dyDescent="0.25">
      <c r="A23" s="395"/>
      <c r="B23" s="625"/>
      <c r="C23" s="280" t="s">
        <v>385</v>
      </c>
      <c r="D23" s="280"/>
      <c r="E23" s="953" t="s">
        <v>1902</v>
      </c>
      <c r="F23" s="629"/>
      <c r="G23" s="395"/>
      <c r="H23" s="395"/>
      <c r="I23" s="395"/>
      <c r="J23" s="395"/>
      <c r="K23" s="395"/>
    </row>
    <row r="24" spans="1:11" x14ac:dyDescent="0.25">
      <c r="A24" s="395"/>
      <c r="B24" s="625"/>
      <c r="C24" s="280" t="s">
        <v>386</v>
      </c>
      <c r="D24" s="280"/>
      <c r="E24" s="953" t="s">
        <v>1903</v>
      </c>
      <c r="F24" s="629"/>
      <c r="G24" s="395"/>
      <c r="H24" s="395"/>
      <c r="I24" s="395"/>
      <c r="J24" s="395"/>
      <c r="K24" s="395"/>
    </row>
    <row r="25" spans="1:11" x14ac:dyDescent="0.25">
      <c r="A25" s="395"/>
      <c r="B25" s="625"/>
      <c r="C25" s="280" t="s">
        <v>387</v>
      </c>
      <c r="D25" s="280"/>
      <c r="E25" s="953" t="s">
        <v>1823</v>
      </c>
      <c r="F25" s="629"/>
      <c r="G25" s="395"/>
      <c r="H25" s="395"/>
      <c r="I25" s="395"/>
      <c r="J25" s="395"/>
      <c r="K25" s="395"/>
    </row>
    <row r="26" spans="1:11" x14ac:dyDescent="0.25">
      <c r="A26" s="395"/>
      <c r="B26" s="625"/>
      <c r="C26" s="280" t="s">
        <v>388</v>
      </c>
      <c r="D26" s="280"/>
      <c r="E26" s="953" t="s">
        <v>1823</v>
      </c>
      <c r="F26" s="629"/>
      <c r="G26" s="395"/>
      <c r="H26" s="395"/>
      <c r="I26" s="395"/>
      <c r="J26" s="395"/>
      <c r="K26" s="395"/>
    </row>
    <row r="27" spans="1:11" x14ac:dyDescent="0.25">
      <c r="A27" s="395"/>
      <c r="B27" s="625"/>
      <c r="C27" s="280" t="s">
        <v>389</v>
      </c>
      <c r="D27" s="280"/>
      <c r="E27" s="953" t="s">
        <v>1824</v>
      </c>
      <c r="F27" s="629"/>
      <c r="G27" s="395"/>
      <c r="H27" s="395"/>
      <c r="I27" s="395"/>
      <c r="J27" s="395"/>
      <c r="K27" s="395"/>
    </row>
    <row r="28" spans="1:11" x14ac:dyDescent="0.25">
      <c r="A28" s="395"/>
      <c r="B28" s="625"/>
      <c r="C28" s="280" t="s">
        <v>390</v>
      </c>
      <c r="D28" s="280"/>
      <c r="E28" s="953" t="s">
        <v>1823</v>
      </c>
      <c r="F28" s="629"/>
      <c r="G28" s="395"/>
      <c r="H28" s="395"/>
      <c r="I28" s="395"/>
      <c r="J28" s="395"/>
      <c r="K28" s="395"/>
    </row>
    <row r="29" spans="1:11" x14ac:dyDescent="0.25">
      <c r="A29" s="395"/>
      <c r="B29" s="625"/>
      <c r="C29" s="280" t="s">
        <v>391</v>
      </c>
      <c r="D29" s="280"/>
      <c r="E29" s="953" t="s">
        <v>1823</v>
      </c>
      <c r="F29" s="629"/>
      <c r="G29" s="395"/>
      <c r="H29" s="395"/>
      <c r="I29" s="395"/>
      <c r="J29" s="395"/>
      <c r="K29" s="395"/>
    </row>
    <row r="30" spans="1:11" x14ac:dyDescent="0.25">
      <c r="A30" s="395"/>
      <c r="B30" s="625"/>
      <c r="C30" s="280" t="s">
        <v>392</v>
      </c>
      <c r="D30" s="280"/>
      <c r="E30" s="953" t="s">
        <v>1823</v>
      </c>
      <c r="F30" s="629"/>
      <c r="G30" s="395"/>
      <c r="H30" s="395"/>
      <c r="I30" s="395"/>
      <c r="J30" s="395"/>
      <c r="K30" s="395"/>
    </row>
    <row r="31" spans="1:11" x14ac:dyDescent="0.25">
      <c r="A31" s="395"/>
      <c r="B31" s="625"/>
      <c r="C31" s="280" t="s">
        <v>393</v>
      </c>
      <c r="D31" s="280"/>
      <c r="E31" s="953" t="s">
        <v>2048</v>
      </c>
      <c r="F31" s="629"/>
      <c r="G31" s="395"/>
      <c r="H31" s="395"/>
      <c r="I31" s="395"/>
      <c r="J31" s="395"/>
      <c r="K31" s="395"/>
    </row>
    <row r="32" spans="1:11" x14ac:dyDescent="0.25">
      <c r="A32" s="395"/>
      <c r="B32" s="625"/>
      <c r="C32" s="280" t="s">
        <v>394</v>
      </c>
      <c r="D32" s="280"/>
      <c r="E32" s="953" t="s">
        <v>1823</v>
      </c>
      <c r="F32" s="629"/>
      <c r="G32" s="395"/>
      <c r="H32" s="395"/>
      <c r="I32" s="395"/>
      <c r="J32" s="395"/>
      <c r="K32" s="395"/>
    </row>
    <row r="33" spans="1:11" x14ac:dyDescent="0.25">
      <c r="A33" s="395"/>
      <c r="B33" s="625"/>
      <c r="C33" s="280" t="s">
        <v>395</v>
      </c>
      <c r="D33" s="280"/>
      <c r="E33" s="953" t="s">
        <v>1823</v>
      </c>
      <c r="F33" s="629"/>
      <c r="G33" s="395"/>
      <c r="H33" s="395"/>
      <c r="I33" s="395"/>
      <c r="J33" s="395"/>
      <c r="K33" s="395"/>
    </row>
    <row r="34" spans="1:11" x14ac:dyDescent="0.25">
      <c r="A34" s="395"/>
      <c r="B34" s="625"/>
      <c r="C34" s="280" t="s">
        <v>396</v>
      </c>
      <c r="D34" s="280"/>
      <c r="E34" s="953" t="s">
        <v>1823</v>
      </c>
      <c r="F34" s="629"/>
      <c r="G34" s="395"/>
      <c r="H34" s="395"/>
      <c r="I34" s="395"/>
      <c r="J34" s="395"/>
      <c r="K34" s="395"/>
    </row>
    <row r="35" spans="1:11" x14ac:dyDescent="0.25">
      <c r="A35" s="395"/>
      <c r="B35" s="625"/>
      <c r="C35" s="280" t="s">
        <v>397</v>
      </c>
      <c r="D35" s="280"/>
      <c r="E35" s="953" t="s">
        <v>1823</v>
      </c>
      <c r="F35" s="629"/>
      <c r="G35" s="395"/>
      <c r="H35" s="395"/>
      <c r="I35" s="395"/>
      <c r="J35" s="395"/>
      <c r="K35" s="395"/>
    </row>
    <row r="36" spans="1:11" x14ac:dyDescent="0.25">
      <c r="A36" s="395"/>
      <c r="B36" s="625"/>
      <c r="C36" s="280" t="s">
        <v>398</v>
      </c>
      <c r="D36" s="280"/>
      <c r="E36" s="953" t="s">
        <v>1823</v>
      </c>
      <c r="F36" s="629"/>
      <c r="G36" s="395"/>
      <c r="H36" s="395"/>
      <c r="I36" s="395"/>
      <c r="J36" s="395"/>
      <c r="K36" s="395"/>
    </row>
    <row r="37" spans="1:11" x14ac:dyDescent="0.25">
      <c r="A37" s="395"/>
      <c r="B37" s="625"/>
      <c r="C37" s="280" t="s">
        <v>399</v>
      </c>
      <c r="D37" s="280"/>
      <c r="E37" s="953" t="s">
        <v>1904</v>
      </c>
      <c r="F37" s="629"/>
      <c r="G37" s="395"/>
      <c r="H37" s="395"/>
      <c r="I37" s="395"/>
      <c r="J37" s="395"/>
      <c r="K37" s="395"/>
    </row>
    <row r="38" spans="1:11" x14ac:dyDescent="0.25">
      <c r="A38" s="395"/>
      <c r="B38" s="625"/>
      <c r="C38" s="280" t="s">
        <v>400</v>
      </c>
      <c r="D38" s="280"/>
      <c r="E38" s="953" t="s">
        <v>1823</v>
      </c>
      <c r="F38" s="629"/>
      <c r="G38" s="395"/>
      <c r="H38" s="395"/>
      <c r="I38" s="395"/>
      <c r="J38" s="395"/>
      <c r="K38" s="395"/>
    </row>
    <row r="39" spans="1:11" x14ac:dyDescent="0.25">
      <c r="A39" s="395"/>
      <c r="B39" s="625"/>
      <c r="C39" s="280" t="s">
        <v>401</v>
      </c>
      <c r="D39" s="280"/>
      <c r="E39" s="953" t="s">
        <v>1905</v>
      </c>
      <c r="F39" s="629"/>
      <c r="G39" s="395"/>
      <c r="H39" s="395"/>
      <c r="I39" s="395"/>
      <c r="J39" s="395"/>
      <c r="K39" s="395"/>
    </row>
    <row r="40" spans="1:11" x14ac:dyDescent="0.25">
      <c r="A40" s="395"/>
      <c r="B40" s="625"/>
      <c r="C40" s="280" t="s">
        <v>402</v>
      </c>
      <c r="D40" s="280"/>
      <c r="E40" s="953" t="s">
        <v>1906</v>
      </c>
      <c r="F40" s="629"/>
      <c r="G40" s="395"/>
      <c r="H40" s="395"/>
      <c r="I40" s="395"/>
      <c r="J40" s="395"/>
      <c r="K40" s="395"/>
    </row>
    <row r="41" spans="1:11" x14ac:dyDescent="0.25">
      <c r="A41" s="395"/>
      <c r="B41" s="625"/>
      <c r="C41" s="280" t="s">
        <v>403</v>
      </c>
      <c r="D41" s="280"/>
      <c r="E41" s="953" t="s">
        <v>1907</v>
      </c>
      <c r="F41" s="629"/>
      <c r="G41" s="395"/>
      <c r="H41" s="395"/>
      <c r="I41" s="395"/>
      <c r="J41" s="395"/>
      <c r="K41" s="395"/>
    </row>
    <row r="42" spans="1:11" ht="30" customHeight="1" x14ac:dyDescent="0.25">
      <c r="A42" s="395"/>
      <c r="B42" s="625"/>
      <c r="C42" s="2602" t="s">
        <v>511</v>
      </c>
      <c r="D42" s="2603"/>
      <c r="E42" s="2604" t="s">
        <v>1825</v>
      </c>
      <c r="F42" s="629"/>
      <c r="G42" s="395"/>
      <c r="H42" s="395"/>
      <c r="I42" s="395"/>
      <c r="J42" s="395"/>
      <c r="K42" s="395"/>
    </row>
    <row r="43" spans="1:11" ht="15.75" thickBot="1" x14ac:dyDescent="0.3">
      <c r="A43" s="395"/>
      <c r="B43" s="625"/>
      <c r="C43" s="284"/>
      <c r="D43" s="285"/>
      <c r="E43" s="2605" t="str">
        <f>IF('8D'!H93&lt;&gt;0,"Cost listed on Form 8E. Please provide detail here. (Overwrite this text with your answer)","")</f>
        <v/>
      </c>
      <c r="F43" s="629"/>
      <c r="G43" s="395"/>
      <c r="H43" s="395"/>
      <c r="I43" s="395"/>
      <c r="J43" s="395"/>
      <c r="K43" s="395"/>
    </row>
    <row r="44" spans="1:11" ht="15.75" thickBot="1" x14ac:dyDescent="0.3">
      <c r="A44" s="395"/>
      <c r="B44" s="625"/>
      <c r="C44" s="254" t="s">
        <v>430</v>
      </c>
      <c r="D44" s="254"/>
      <c r="E44" s="286"/>
      <c r="F44" s="629"/>
      <c r="G44" s="395"/>
      <c r="H44" s="395"/>
      <c r="I44" s="395"/>
      <c r="J44" s="395"/>
      <c r="K44" s="395"/>
    </row>
    <row r="45" spans="1:11" x14ac:dyDescent="0.25">
      <c r="A45" s="395"/>
      <c r="B45" s="625"/>
      <c r="C45" s="283" t="s">
        <v>405</v>
      </c>
      <c r="D45" s="283"/>
      <c r="E45" s="952" t="s">
        <v>2049</v>
      </c>
      <c r="F45" s="629"/>
      <c r="G45" s="395"/>
      <c r="H45" s="395"/>
      <c r="I45" s="395"/>
      <c r="J45" s="395"/>
      <c r="K45" s="395"/>
    </row>
    <row r="46" spans="1:11" ht="15.75" thickBot="1" x14ac:dyDescent="0.3">
      <c r="A46" s="395"/>
      <c r="B46" s="625"/>
      <c r="C46" s="283" t="s">
        <v>406</v>
      </c>
      <c r="D46" s="283"/>
      <c r="E46" s="954" t="s">
        <v>1826</v>
      </c>
      <c r="F46" s="629"/>
      <c r="G46" s="395"/>
      <c r="H46" s="395"/>
      <c r="I46" s="395"/>
      <c r="J46" s="395"/>
      <c r="K46" s="395"/>
    </row>
    <row r="47" spans="1:11" ht="15.75" thickBot="1" x14ac:dyDescent="0.3">
      <c r="A47" s="395"/>
      <c r="B47" s="631"/>
      <c r="C47" s="632"/>
      <c r="D47" s="632"/>
      <c r="E47" s="633"/>
      <c r="F47" s="634"/>
      <c r="G47" s="395"/>
      <c r="H47" s="395"/>
      <c r="I47" s="395"/>
      <c r="J47" s="395"/>
      <c r="K47" s="395"/>
    </row>
    <row r="48" spans="1:11" x14ac:dyDescent="0.25">
      <c r="A48" s="395"/>
      <c r="B48" s="395"/>
      <c r="C48" s="395"/>
      <c r="D48" s="395"/>
      <c r="E48" s="395"/>
      <c r="F48" s="395"/>
      <c r="G48" s="395"/>
      <c r="H48" s="395"/>
      <c r="I48" s="395"/>
      <c r="J48" s="395"/>
      <c r="K48" s="395"/>
    </row>
    <row r="49" spans="1:11" x14ac:dyDescent="0.25">
      <c r="A49" s="395"/>
      <c r="B49" s="395"/>
      <c r="C49" s="395"/>
      <c r="D49" s="395"/>
      <c r="E49" s="395"/>
      <c r="F49" s="395"/>
      <c r="G49" s="395"/>
      <c r="H49" s="395"/>
      <c r="I49" s="395"/>
      <c r="J49" s="395"/>
      <c r="K49" s="395"/>
    </row>
    <row r="50" spans="1:11" x14ac:dyDescent="0.25">
      <c r="A50" s="395"/>
      <c r="B50" s="395"/>
      <c r="C50" s="395"/>
      <c r="D50" s="395"/>
      <c r="E50" s="395"/>
      <c r="F50" s="395"/>
      <c r="G50" s="395"/>
      <c r="H50" s="395"/>
      <c r="I50" s="395"/>
      <c r="J50" s="395"/>
      <c r="K50" s="395"/>
    </row>
  </sheetData>
  <sheetProtection password="D666" sheet="1" objects="1" scenarios="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headerFooter>
    <oddFooter>&amp;LForm 8E
Operating Pro Forma Details&amp;CCFA Forms&amp;REdition: 2016
Version: 1.0</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43" zoomScale="125" zoomScaleNormal="125" zoomScalePageLayoutView="125" workbookViewId="0">
      <selection activeCell="D65" sqref="D65"/>
    </sheetView>
  </sheetViews>
  <sheetFormatPr defaultColWidth="8.85546875" defaultRowHeight="15" x14ac:dyDescent="0.25"/>
  <cols>
    <col min="1" max="2" width="1.7109375" style="399" customWidth="1"/>
    <col min="3" max="4" width="22.85546875" style="399" customWidth="1"/>
    <col min="5" max="6" width="5.7109375" style="399" customWidth="1"/>
    <col min="7" max="7" width="8.85546875" style="399"/>
    <col min="8" max="8" width="22.85546875" style="399" customWidth="1"/>
    <col min="9" max="9" width="1.7109375" style="399" customWidth="1"/>
    <col min="10" max="16384" width="8.85546875" style="399"/>
  </cols>
  <sheetData>
    <row r="1" spans="2:9" s="395" customFormat="1" ht="15.75" thickBot="1" x14ac:dyDescent="0.3"/>
    <row r="2" spans="2:9" s="395" customFormat="1" ht="9" customHeight="1" x14ac:dyDescent="0.25">
      <c r="B2" s="635"/>
      <c r="C2" s="636"/>
      <c r="D2" s="636"/>
      <c r="E2" s="636"/>
      <c r="F2" s="636"/>
      <c r="G2" s="636"/>
      <c r="H2" s="636"/>
      <c r="I2" s="637"/>
    </row>
    <row r="3" spans="2:9" s="395" customFormat="1" ht="18.75" x14ac:dyDescent="0.3">
      <c r="B3" s="638"/>
      <c r="C3" s="2402" t="s">
        <v>431</v>
      </c>
      <c r="D3" s="2402"/>
      <c r="E3" s="2402"/>
      <c r="F3" s="2402"/>
      <c r="G3" s="2402"/>
      <c r="H3" s="2402"/>
      <c r="I3" s="639"/>
    </row>
    <row r="4" spans="2:9" s="395" customFormat="1" ht="15" customHeight="1" x14ac:dyDescent="0.25">
      <c r="B4" s="638"/>
      <c r="C4" s="494"/>
      <c r="D4" s="422"/>
      <c r="E4" s="422"/>
      <c r="F4" s="422"/>
      <c r="G4" s="422"/>
      <c r="H4" s="422"/>
      <c r="I4" s="639"/>
    </row>
    <row r="5" spans="2:9" s="395" customFormat="1" ht="15.75" thickBot="1" x14ac:dyDescent="0.3">
      <c r="B5" s="640"/>
      <c r="C5" s="2615" t="str">
        <f>IF('1'!G5="","Enter Project Name on Form 1",(CONCATENATE("Project Name: ",'1'!G5)))</f>
        <v>Project Name: Compass Broadview</v>
      </c>
      <c r="D5" s="2615"/>
      <c r="E5" s="2615"/>
      <c r="F5" s="2615"/>
      <c r="G5" s="2615"/>
      <c r="H5" s="367"/>
      <c r="I5" s="641"/>
    </row>
    <row r="6" spans="2:9" s="395" customFormat="1" ht="15" customHeight="1" thickBot="1" x14ac:dyDescent="0.3">
      <c r="B6" s="638"/>
      <c r="C6" s="422"/>
      <c r="D6" s="422"/>
      <c r="E6" s="422"/>
      <c r="F6" s="422"/>
      <c r="G6" s="422"/>
      <c r="H6" s="422"/>
      <c r="I6" s="639"/>
    </row>
    <row r="7" spans="2:9" s="395" customFormat="1" x14ac:dyDescent="0.25">
      <c r="B7" s="638"/>
      <c r="C7" s="2616" t="s">
        <v>432</v>
      </c>
      <c r="D7" s="2617"/>
      <c r="E7" s="2617"/>
      <c r="F7" s="2617"/>
      <c r="G7" s="2617"/>
      <c r="H7" s="2618"/>
      <c r="I7" s="639"/>
    </row>
    <row r="8" spans="2:9" s="395" customFormat="1" x14ac:dyDescent="0.25">
      <c r="B8" s="638"/>
      <c r="C8" s="331" t="s">
        <v>433</v>
      </c>
      <c r="D8" s="2619" t="str">
        <f>IF('1'!G8="","Enter Organization Name on Form 1A",'1'!G8)</f>
        <v>Compass Housing Alliance</v>
      </c>
      <c r="E8" s="2619"/>
      <c r="F8" s="2619"/>
      <c r="G8" s="2619"/>
      <c r="H8" s="2620"/>
      <c r="I8" s="639"/>
    </row>
    <row r="9" spans="2:9" s="395" customFormat="1" x14ac:dyDescent="0.25">
      <c r="B9" s="638"/>
      <c r="C9" s="331" t="s">
        <v>434</v>
      </c>
      <c r="D9" s="2621" t="s">
        <v>1827</v>
      </c>
      <c r="E9" s="2621"/>
      <c r="F9" s="2621"/>
      <c r="G9" s="2621"/>
      <c r="H9" s="2622"/>
      <c r="I9" s="639"/>
    </row>
    <row r="10" spans="2:9" s="395" customFormat="1" x14ac:dyDescent="0.25">
      <c r="B10" s="638"/>
      <c r="C10" s="331" t="s">
        <v>13</v>
      </c>
      <c r="D10" s="1418" t="s">
        <v>1816</v>
      </c>
      <c r="E10" s="422" t="s">
        <v>435</v>
      </c>
      <c r="F10" s="1402" t="s">
        <v>1817</v>
      </c>
      <c r="G10" s="422" t="s">
        <v>436</v>
      </c>
      <c r="H10" s="1419">
        <v>98104</v>
      </c>
      <c r="I10" s="639"/>
    </row>
    <row r="11" spans="2:9" s="395" customFormat="1" x14ac:dyDescent="0.25">
      <c r="B11" s="638"/>
      <c r="C11" s="331" t="s">
        <v>437</v>
      </c>
      <c r="D11" s="2278" t="s">
        <v>1829</v>
      </c>
      <c r="E11" s="2278"/>
      <c r="F11" s="2278"/>
      <c r="G11" s="2278"/>
      <c r="H11" s="2623"/>
      <c r="I11" s="639"/>
    </row>
    <row r="12" spans="2:9" s="395" customFormat="1" x14ac:dyDescent="0.25">
      <c r="B12" s="638"/>
      <c r="C12" s="340" t="s">
        <v>438</v>
      </c>
      <c r="D12" s="2635">
        <v>601146715</v>
      </c>
      <c r="E12" s="2635"/>
      <c r="F12" s="2635"/>
      <c r="G12" s="2635"/>
      <c r="H12" s="2636"/>
      <c r="I12" s="639"/>
    </row>
    <row r="13" spans="2:9" x14ac:dyDescent="0.25">
      <c r="B13" s="642"/>
      <c r="C13" s="287"/>
      <c r="D13" s="288"/>
      <c r="E13" s="289"/>
      <c r="F13" s="289"/>
      <c r="G13" s="289"/>
      <c r="H13" s="290"/>
      <c r="I13" s="643"/>
    </row>
    <row r="14" spans="2:9" s="395" customFormat="1" ht="26.25" x14ac:dyDescent="0.25">
      <c r="B14" s="638"/>
      <c r="C14" s="330" t="s">
        <v>439</v>
      </c>
      <c r="D14" s="2624" t="s">
        <v>1830</v>
      </c>
      <c r="E14" s="2624"/>
      <c r="F14" s="2624"/>
      <c r="G14" s="2624"/>
      <c r="H14" s="2625"/>
      <c r="I14" s="639"/>
    </row>
    <row r="15" spans="2:9" s="395" customFormat="1" x14ac:dyDescent="0.25">
      <c r="B15" s="638"/>
      <c r="C15" s="331" t="s">
        <v>4</v>
      </c>
      <c r="D15" s="2282" t="s">
        <v>1831</v>
      </c>
      <c r="E15" s="2282"/>
      <c r="F15" s="2282"/>
      <c r="G15" s="210" t="s">
        <v>440</v>
      </c>
      <c r="H15" s="1419" t="s">
        <v>1832</v>
      </c>
      <c r="I15" s="639"/>
    </row>
    <row r="16" spans="2:9" s="395" customFormat="1" x14ac:dyDescent="0.25">
      <c r="B16" s="638"/>
      <c r="C16" s="331" t="s">
        <v>5</v>
      </c>
      <c r="D16" s="2624" t="s">
        <v>1833</v>
      </c>
      <c r="E16" s="2624"/>
      <c r="F16" s="2624"/>
      <c r="G16" s="2624"/>
      <c r="H16" s="2625"/>
      <c r="I16" s="639"/>
    </row>
    <row r="17" spans="2:9" s="395" customFormat="1" x14ac:dyDescent="0.25">
      <c r="B17" s="638"/>
      <c r="C17" s="332" t="s">
        <v>441</v>
      </c>
      <c r="D17" s="2627" t="str">
        <f>IF('1'!G10="","Enter Contact Name on Form 1A",'1'!G10)</f>
        <v>Bill Reddy</v>
      </c>
      <c r="E17" s="2627"/>
      <c r="F17" s="2627"/>
      <c r="G17" s="2627"/>
      <c r="H17" s="2628"/>
      <c r="I17" s="639"/>
    </row>
    <row r="18" spans="2:9" s="395" customFormat="1" x14ac:dyDescent="0.25">
      <c r="B18" s="638"/>
      <c r="C18" s="331" t="s">
        <v>4</v>
      </c>
      <c r="D18" s="2631" t="str">
        <f>IF('1'!G12="","Enter Phone Number on Form 1A",'1'!G12)</f>
        <v>206-474-1020</v>
      </c>
      <c r="E18" s="2631"/>
      <c r="F18" s="2631"/>
      <c r="G18" s="210" t="s">
        <v>440</v>
      </c>
      <c r="H18" s="1419" t="s">
        <v>1832</v>
      </c>
      <c r="I18" s="639"/>
    </row>
    <row r="19" spans="2:9" s="395" customFormat="1" x14ac:dyDescent="0.25">
      <c r="B19" s="638"/>
      <c r="C19" s="331" t="s">
        <v>5</v>
      </c>
      <c r="D19" s="2629" t="str">
        <f>IF('1'!J12="","Enter Email on Form 1A",'1'!J12)</f>
        <v>breddy@compasshousingalliance.org</v>
      </c>
      <c r="E19" s="2629"/>
      <c r="F19" s="2629"/>
      <c r="G19" s="2629"/>
      <c r="H19" s="2630"/>
      <c r="I19" s="639"/>
    </row>
    <row r="20" spans="2:9" s="395" customFormat="1" ht="15.75" thickBot="1" x14ac:dyDescent="0.3">
      <c r="B20" s="638"/>
      <c r="C20" s="333"/>
      <c r="D20" s="336"/>
      <c r="E20" s="336"/>
      <c r="F20" s="336"/>
      <c r="G20" s="336"/>
      <c r="H20" s="337"/>
      <c r="I20" s="639"/>
    </row>
    <row r="21" spans="2:9" s="395" customFormat="1" ht="7.5" customHeight="1" thickBot="1" x14ac:dyDescent="0.3">
      <c r="B21" s="638"/>
      <c r="C21" s="422"/>
      <c r="D21" s="422"/>
      <c r="E21" s="422"/>
      <c r="F21" s="422"/>
      <c r="G21" s="422"/>
      <c r="H21" s="422"/>
      <c r="I21" s="639"/>
    </row>
    <row r="22" spans="2:9" s="395" customFormat="1" x14ac:dyDescent="0.25">
      <c r="B22" s="638"/>
      <c r="C22" s="2616" t="s">
        <v>442</v>
      </c>
      <c r="D22" s="2617"/>
      <c r="E22" s="2617"/>
      <c r="F22" s="2617"/>
      <c r="G22" s="2617"/>
      <c r="H22" s="2618"/>
      <c r="I22" s="639"/>
    </row>
    <row r="23" spans="2:9" s="395" customFormat="1" x14ac:dyDescent="0.25">
      <c r="B23" s="638"/>
      <c r="C23" s="331" t="s">
        <v>433</v>
      </c>
      <c r="D23" s="2629" t="str">
        <f>IF('1'!G15="","Enter Firm Name on Form 1A, if applicable",'1'!G15)</f>
        <v>Bellwether Housing</v>
      </c>
      <c r="E23" s="2629"/>
      <c r="F23" s="2629"/>
      <c r="G23" s="2629"/>
      <c r="H23" s="2630"/>
      <c r="I23" s="639"/>
    </row>
    <row r="24" spans="2:9" s="395" customFormat="1" x14ac:dyDescent="0.25">
      <c r="B24" s="638"/>
      <c r="C24" s="332" t="s">
        <v>441</v>
      </c>
      <c r="D24" s="2627" t="str">
        <f>IF('1'!G17="","Enter Contact Name on Form 1A",'1'!G17)</f>
        <v>JoAnna Martin</v>
      </c>
      <c r="E24" s="2627"/>
      <c r="F24" s="2627"/>
      <c r="G24" s="2627"/>
      <c r="H24" s="2628"/>
      <c r="I24" s="639"/>
    </row>
    <row r="25" spans="2:9" s="395" customFormat="1" x14ac:dyDescent="0.25">
      <c r="B25" s="638"/>
      <c r="C25" s="331" t="s">
        <v>434</v>
      </c>
      <c r="D25" s="2621" t="s">
        <v>1834</v>
      </c>
      <c r="E25" s="2621"/>
      <c r="F25" s="2621"/>
      <c r="G25" s="2621"/>
      <c r="H25" s="2622"/>
      <c r="I25" s="639"/>
    </row>
    <row r="26" spans="2:9" s="395" customFormat="1" x14ac:dyDescent="0.25">
      <c r="B26" s="638"/>
      <c r="C26" s="331" t="s">
        <v>13</v>
      </c>
      <c r="D26" s="1418" t="s">
        <v>1816</v>
      </c>
      <c r="E26" s="422" t="s">
        <v>435</v>
      </c>
      <c r="F26" s="1402" t="s">
        <v>1817</v>
      </c>
      <c r="G26" s="422" t="s">
        <v>436</v>
      </c>
      <c r="H26" s="334">
        <v>98122</v>
      </c>
      <c r="I26" s="639"/>
    </row>
    <row r="27" spans="2:9" s="395" customFormat="1" x14ac:dyDescent="0.25">
      <c r="B27" s="638"/>
      <c r="C27" s="331" t="s">
        <v>4</v>
      </c>
      <c r="D27" s="2629" t="str">
        <f>IF('1'!G19="","Enter Phone Number on Form 1A",'1'!G19)</f>
        <v>206-588-4791</v>
      </c>
      <c r="E27" s="2629"/>
      <c r="F27" s="210" t="s">
        <v>440</v>
      </c>
      <c r="G27" s="2282" t="s">
        <v>1835</v>
      </c>
      <c r="H27" s="2626"/>
      <c r="I27" s="639"/>
    </row>
    <row r="28" spans="2:9" s="395" customFormat="1" x14ac:dyDescent="0.25">
      <c r="B28" s="638"/>
      <c r="C28" s="331" t="s">
        <v>5</v>
      </c>
      <c r="D28" s="2629" t="str">
        <f>IF('1'!J19="","Enter Email on Form 1A",'1'!J19)</f>
        <v>jmartin@bellwetherhousing.org</v>
      </c>
      <c r="E28" s="2629"/>
      <c r="F28" s="2629"/>
      <c r="G28" s="2629"/>
      <c r="H28" s="2630"/>
      <c r="I28" s="639"/>
    </row>
    <row r="29" spans="2:9" s="395" customFormat="1" ht="15.75" thickBot="1" x14ac:dyDescent="0.3">
      <c r="B29" s="638"/>
      <c r="C29" s="333"/>
      <c r="D29" s="336"/>
      <c r="E29" s="336"/>
      <c r="F29" s="336"/>
      <c r="G29" s="336"/>
      <c r="H29" s="337"/>
      <c r="I29" s="639"/>
    </row>
    <row r="30" spans="2:9" s="395" customFormat="1" ht="7.5" customHeight="1" thickBot="1" x14ac:dyDescent="0.3">
      <c r="B30" s="638"/>
      <c r="C30" s="335"/>
      <c r="D30" s="422"/>
      <c r="E30" s="422"/>
      <c r="F30" s="422"/>
      <c r="G30" s="422"/>
      <c r="H30" s="422"/>
      <c r="I30" s="639"/>
    </row>
    <row r="31" spans="2:9" s="395" customFormat="1" x14ac:dyDescent="0.25">
      <c r="B31" s="638"/>
      <c r="C31" s="2616" t="s">
        <v>177</v>
      </c>
      <c r="D31" s="2617"/>
      <c r="E31" s="2617"/>
      <c r="F31" s="2617"/>
      <c r="G31" s="2617"/>
      <c r="H31" s="2618"/>
      <c r="I31" s="639"/>
    </row>
    <row r="32" spans="2:9" s="395" customFormat="1" x14ac:dyDescent="0.25">
      <c r="B32" s="638"/>
      <c r="C32" s="331" t="s">
        <v>433</v>
      </c>
      <c r="D32" s="2624" t="s">
        <v>1963</v>
      </c>
      <c r="E32" s="2624"/>
      <c r="F32" s="2624"/>
      <c r="G32" s="2624"/>
      <c r="H32" s="2625"/>
      <c r="I32" s="639"/>
    </row>
    <row r="33" spans="2:9" s="395" customFormat="1" x14ac:dyDescent="0.25">
      <c r="B33" s="638"/>
      <c r="C33" s="332" t="s">
        <v>441</v>
      </c>
      <c r="D33" s="2621" t="s">
        <v>1976</v>
      </c>
      <c r="E33" s="2621"/>
      <c r="F33" s="2621"/>
      <c r="G33" s="2621"/>
      <c r="H33" s="2622"/>
      <c r="I33" s="639"/>
    </row>
    <row r="34" spans="2:9" s="395" customFormat="1" x14ac:dyDescent="0.25">
      <c r="B34" s="638"/>
      <c r="C34" s="331" t="s">
        <v>4</v>
      </c>
      <c r="D34" s="1417" t="s">
        <v>1964</v>
      </c>
      <c r="E34" s="422" t="s">
        <v>5</v>
      </c>
      <c r="F34" s="2624" t="s">
        <v>1965</v>
      </c>
      <c r="G34" s="2624"/>
      <c r="H34" s="2625"/>
      <c r="I34" s="639"/>
    </row>
    <row r="35" spans="2:9" s="395" customFormat="1" ht="15.75" thickBot="1" x14ac:dyDescent="0.3">
      <c r="B35" s="638"/>
      <c r="C35" s="333"/>
      <c r="D35" s="336"/>
      <c r="E35" s="336"/>
      <c r="F35" s="336"/>
      <c r="G35" s="336"/>
      <c r="H35" s="337"/>
      <c r="I35" s="639"/>
    </row>
    <row r="36" spans="2:9" s="395" customFormat="1" ht="7.5" customHeight="1" thickBot="1" x14ac:dyDescent="0.3">
      <c r="B36" s="638"/>
      <c r="C36" s="422"/>
      <c r="D36" s="422"/>
      <c r="E36" s="422"/>
      <c r="F36" s="422"/>
      <c r="G36" s="422"/>
      <c r="H36" s="422"/>
      <c r="I36" s="639"/>
    </row>
    <row r="37" spans="2:9" s="395" customFormat="1" x14ac:dyDescent="0.25">
      <c r="B37" s="638"/>
      <c r="C37" s="2616" t="s">
        <v>443</v>
      </c>
      <c r="D37" s="2617"/>
      <c r="E37" s="2617"/>
      <c r="F37" s="2617"/>
      <c r="G37" s="2617"/>
      <c r="H37" s="2618"/>
      <c r="I37" s="639"/>
    </row>
    <row r="38" spans="2:9" s="395" customFormat="1" x14ac:dyDescent="0.25">
      <c r="B38" s="638"/>
      <c r="C38" s="331" t="s">
        <v>433</v>
      </c>
      <c r="D38" s="2624" t="s">
        <v>1966</v>
      </c>
      <c r="E38" s="2624"/>
      <c r="F38" s="2624"/>
      <c r="G38" s="2624"/>
      <c r="H38" s="2625"/>
      <c r="I38" s="639"/>
    </row>
    <row r="39" spans="2:9" s="395" customFormat="1" x14ac:dyDescent="0.25">
      <c r="B39" s="638"/>
      <c r="C39" s="332" t="s">
        <v>441</v>
      </c>
      <c r="D39" s="2621" t="s">
        <v>1967</v>
      </c>
      <c r="E39" s="2621"/>
      <c r="F39" s="2621"/>
      <c r="G39" s="2621"/>
      <c r="H39" s="2622"/>
      <c r="I39" s="639"/>
    </row>
    <row r="40" spans="2:9" s="395" customFormat="1" x14ac:dyDescent="0.25">
      <c r="B40" s="638"/>
      <c r="C40" s="331" t="s">
        <v>4</v>
      </c>
      <c r="D40" s="1417" t="s">
        <v>1968</v>
      </c>
      <c r="E40" s="422" t="s">
        <v>5</v>
      </c>
      <c r="F40" s="2624" t="s">
        <v>1969</v>
      </c>
      <c r="G40" s="2624"/>
      <c r="H40" s="2625"/>
      <c r="I40" s="639"/>
    </row>
    <row r="41" spans="2:9" s="395" customFormat="1" ht="15.75" thickBot="1" x14ac:dyDescent="0.3">
      <c r="B41" s="638"/>
      <c r="C41" s="333"/>
      <c r="D41" s="336"/>
      <c r="E41" s="336"/>
      <c r="F41" s="336"/>
      <c r="G41" s="336"/>
      <c r="H41" s="337"/>
      <c r="I41" s="639"/>
    </row>
    <row r="42" spans="2:9" s="395" customFormat="1" ht="9" customHeight="1" thickBot="1" x14ac:dyDescent="0.3">
      <c r="B42" s="638"/>
      <c r="C42" s="338"/>
      <c r="D42" s="338"/>
      <c r="E42" s="338"/>
      <c r="F42" s="338"/>
      <c r="G42" s="338"/>
      <c r="H42" s="338"/>
      <c r="I42" s="639"/>
    </row>
    <row r="43" spans="2:9" s="395" customFormat="1" x14ac:dyDescent="0.25">
      <c r="B43" s="638"/>
      <c r="C43" s="2616" t="s">
        <v>444</v>
      </c>
      <c r="D43" s="2634"/>
      <c r="E43" s="2634"/>
      <c r="F43" s="2634"/>
      <c r="G43" s="2634"/>
      <c r="H43" s="2618"/>
      <c r="I43" s="639"/>
    </row>
    <row r="44" spans="2:9" s="395" customFormat="1" x14ac:dyDescent="0.25">
      <c r="B44" s="638"/>
      <c r="C44" s="331" t="s">
        <v>433</v>
      </c>
      <c r="D44" s="2624" t="s">
        <v>1973</v>
      </c>
      <c r="E44" s="2624"/>
      <c r="F44" s="2624"/>
      <c r="G44" s="2624"/>
      <c r="H44" s="2625"/>
      <c r="I44" s="639"/>
    </row>
    <row r="45" spans="2:9" s="395" customFormat="1" x14ac:dyDescent="0.25">
      <c r="B45" s="638"/>
      <c r="C45" s="332" t="s">
        <v>441</v>
      </c>
      <c r="D45" s="2632" t="s">
        <v>1970</v>
      </c>
      <c r="E45" s="2632"/>
      <c r="F45" s="2632"/>
      <c r="G45" s="2632"/>
      <c r="H45" s="2633"/>
      <c r="I45" s="639"/>
    </row>
    <row r="46" spans="2:9" s="395" customFormat="1" x14ac:dyDescent="0.25">
      <c r="B46" s="638"/>
      <c r="C46" s="331" t="s">
        <v>4</v>
      </c>
      <c r="D46" s="1420" t="s">
        <v>1971</v>
      </c>
      <c r="E46" s="422" t="s">
        <v>5</v>
      </c>
      <c r="F46" s="2624" t="s">
        <v>1972</v>
      </c>
      <c r="G46" s="2624"/>
      <c r="H46" s="2625"/>
      <c r="I46" s="639"/>
    </row>
    <row r="47" spans="2:9" s="395" customFormat="1" ht="15.75" thickBot="1" x14ac:dyDescent="0.3">
      <c r="B47" s="638"/>
      <c r="C47" s="333"/>
      <c r="D47" s="352"/>
      <c r="E47" s="352"/>
      <c r="F47" s="352"/>
      <c r="G47" s="352"/>
      <c r="H47" s="353"/>
      <c r="I47" s="639"/>
    </row>
    <row r="48" spans="2:9" s="395" customFormat="1" ht="7.5" customHeight="1" thickBot="1" x14ac:dyDescent="0.3">
      <c r="B48" s="619"/>
      <c r="C48" s="338"/>
      <c r="D48" s="338"/>
      <c r="E48" s="338"/>
      <c r="F48" s="338"/>
      <c r="G48" s="338"/>
      <c r="H48" s="338"/>
      <c r="I48" s="620"/>
    </row>
    <row r="49" spans="2:9" s="395" customFormat="1" ht="9" customHeight="1" x14ac:dyDescent="0.25">
      <c r="B49" s="635"/>
      <c r="C49" s="636"/>
      <c r="D49" s="636"/>
      <c r="E49" s="636"/>
      <c r="F49" s="636"/>
      <c r="G49" s="636"/>
      <c r="H49" s="636"/>
      <c r="I49" s="637"/>
    </row>
    <row r="50" spans="2:9" s="395" customFormat="1" ht="18.75" x14ac:dyDescent="0.3">
      <c r="B50" s="638"/>
      <c r="C50" s="2402" t="s">
        <v>538</v>
      </c>
      <c r="D50" s="2402"/>
      <c r="E50" s="2402"/>
      <c r="F50" s="2402"/>
      <c r="G50" s="2402"/>
      <c r="H50" s="2402"/>
      <c r="I50" s="639"/>
    </row>
    <row r="51" spans="2:9" s="395" customFormat="1" ht="15" customHeight="1" x14ac:dyDescent="0.25">
      <c r="B51" s="638"/>
      <c r="C51" s="494"/>
      <c r="D51" s="422"/>
      <c r="E51" s="422"/>
      <c r="F51" s="422"/>
      <c r="G51" s="422"/>
      <c r="H51" s="422"/>
      <c r="I51" s="639"/>
    </row>
    <row r="52" spans="2:9" s="395" customFormat="1" x14ac:dyDescent="0.25">
      <c r="B52" s="640"/>
      <c r="C52" s="373" t="s">
        <v>0</v>
      </c>
      <c r="D52" s="2619" t="str">
        <f>IF('1'!G5="","Enter Project Name on Form 1A",'1'!G5)</f>
        <v>Compass Broadview</v>
      </c>
      <c r="E52" s="2619"/>
      <c r="F52" s="2619"/>
      <c r="G52" s="2619"/>
      <c r="H52" s="2619"/>
      <c r="I52" s="641"/>
    </row>
    <row r="53" spans="2:9" s="395" customFormat="1" ht="15" customHeight="1" thickBot="1" x14ac:dyDescent="0.3">
      <c r="B53" s="638"/>
      <c r="C53" s="422"/>
      <c r="D53" s="422"/>
      <c r="E53" s="422"/>
      <c r="F53" s="422"/>
      <c r="G53" s="422"/>
      <c r="H53" s="422"/>
      <c r="I53" s="639"/>
    </row>
    <row r="54" spans="2:9" s="395" customFormat="1" x14ac:dyDescent="0.25">
      <c r="B54" s="638"/>
      <c r="C54" s="2616" t="s">
        <v>445</v>
      </c>
      <c r="D54" s="2617"/>
      <c r="E54" s="2617"/>
      <c r="F54" s="2617"/>
      <c r="G54" s="2617"/>
      <c r="H54" s="2618"/>
      <c r="I54" s="639"/>
    </row>
    <row r="55" spans="2:9" s="395" customFormat="1" x14ac:dyDescent="0.25">
      <c r="B55" s="638"/>
      <c r="C55" s="331" t="s">
        <v>433</v>
      </c>
      <c r="D55" s="2624" t="s">
        <v>1806</v>
      </c>
      <c r="E55" s="2624"/>
      <c r="F55" s="2624"/>
      <c r="G55" s="2624"/>
      <c r="H55" s="2625"/>
      <c r="I55" s="639"/>
    </row>
    <row r="56" spans="2:9" s="395" customFormat="1" x14ac:dyDescent="0.25">
      <c r="B56" s="638"/>
      <c r="C56" s="332" t="s">
        <v>441</v>
      </c>
      <c r="D56" s="2621" t="s">
        <v>2066</v>
      </c>
      <c r="E56" s="2621"/>
      <c r="F56" s="2621"/>
      <c r="G56" s="2621"/>
      <c r="H56" s="2622"/>
      <c r="I56" s="639"/>
    </row>
    <row r="57" spans="2:9" s="395" customFormat="1" x14ac:dyDescent="0.25">
      <c r="B57" s="638"/>
      <c r="C57" s="331" t="s">
        <v>434</v>
      </c>
      <c r="D57" s="2621" t="s">
        <v>1827</v>
      </c>
      <c r="E57" s="2621"/>
      <c r="F57" s="2621"/>
      <c r="G57" s="2621"/>
      <c r="H57" s="2622"/>
      <c r="I57" s="639"/>
    </row>
    <row r="58" spans="2:9" s="395" customFormat="1" x14ac:dyDescent="0.25">
      <c r="B58" s="638"/>
      <c r="C58" s="331" t="s">
        <v>13</v>
      </c>
      <c r="D58" s="1418" t="s">
        <v>1816</v>
      </c>
      <c r="E58" s="422" t="s">
        <v>435</v>
      </c>
      <c r="F58" s="1402" t="s">
        <v>1817</v>
      </c>
      <c r="G58" s="422" t="s">
        <v>436</v>
      </c>
      <c r="H58" s="1419">
        <v>98104</v>
      </c>
      <c r="I58" s="639"/>
    </row>
    <row r="59" spans="2:9" s="395" customFormat="1" x14ac:dyDescent="0.25">
      <c r="B59" s="638"/>
      <c r="C59" s="331" t="s">
        <v>4</v>
      </c>
      <c r="D59" s="1417" t="s">
        <v>2067</v>
      </c>
      <c r="E59" s="422" t="s">
        <v>5</v>
      </c>
      <c r="F59" s="2624" t="s">
        <v>2068</v>
      </c>
      <c r="G59" s="2624"/>
      <c r="H59" s="2625"/>
      <c r="I59" s="639"/>
    </row>
    <row r="60" spans="2:9" s="395" customFormat="1" ht="15.75" thickBot="1" x14ac:dyDescent="0.3">
      <c r="B60" s="640"/>
      <c r="C60" s="333"/>
      <c r="D60" s="336"/>
      <c r="E60" s="336"/>
      <c r="F60" s="336"/>
      <c r="G60" s="336"/>
      <c r="H60" s="337"/>
      <c r="I60" s="641"/>
    </row>
    <row r="61" spans="2:9" s="395" customFormat="1" ht="7.5" customHeight="1" thickBot="1" x14ac:dyDescent="0.3">
      <c r="B61" s="638"/>
      <c r="C61" s="339"/>
      <c r="D61" s="1403"/>
      <c r="E61" s="1403"/>
      <c r="F61" s="1403"/>
      <c r="G61" s="1403"/>
      <c r="H61" s="339"/>
      <c r="I61" s="639"/>
    </row>
    <row r="62" spans="2:9" s="395" customFormat="1" x14ac:dyDescent="0.25">
      <c r="B62" s="638"/>
      <c r="C62" s="2616" t="s">
        <v>446</v>
      </c>
      <c r="D62" s="2617"/>
      <c r="E62" s="2617"/>
      <c r="F62" s="2617"/>
      <c r="G62" s="2617"/>
      <c r="H62" s="2618"/>
      <c r="I62" s="639"/>
    </row>
    <row r="63" spans="2:9" s="395" customFormat="1" x14ac:dyDescent="0.25">
      <c r="B63" s="638"/>
      <c r="C63" s="331" t="s">
        <v>433</v>
      </c>
      <c r="D63" s="2624" t="s">
        <v>2050</v>
      </c>
      <c r="E63" s="2624"/>
      <c r="F63" s="2624"/>
      <c r="G63" s="2624"/>
      <c r="H63" s="2625"/>
      <c r="I63" s="639"/>
    </row>
    <row r="64" spans="2:9" s="395" customFormat="1" x14ac:dyDescent="0.25">
      <c r="B64" s="638"/>
      <c r="C64" s="332" t="s">
        <v>441</v>
      </c>
      <c r="D64" s="2621" t="s">
        <v>1974</v>
      </c>
      <c r="E64" s="2621"/>
      <c r="F64" s="2621"/>
      <c r="G64" s="2621"/>
      <c r="H64" s="2622"/>
      <c r="I64" s="639"/>
    </row>
    <row r="65" spans="2:9" s="395" customFormat="1" x14ac:dyDescent="0.25">
      <c r="B65" s="638"/>
      <c r="C65" s="331" t="s">
        <v>4</v>
      </c>
      <c r="D65" s="1417" t="s">
        <v>2069</v>
      </c>
      <c r="E65" s="422" t="s">
        <v>5</v>
      </c>
      <c r="F65" s="2624" t="s">
        <v>1975</v>
      </c>
      <c r="G65" s="2624"/>
      <c r="H65" s="2625"/>
      <c r="I65" s="639"/>
    </row>
    <row r="66" spans="2:9" s="395" customFormat="1" ht="15.75" thickBot="1" x14ac:dyDescent="0.3">
      <c r="B66" s="638"/>
      <c r="C66" s="333"/>
      <c r="D66" s="336"/>
      <c r="E66" s="336"/>
      <c r="F66" s="336"/>
      <c r="G66" s="336"/>
      <c r="H66" s="337"/>
      <c r="I66" s="639"/>
    </row>
    <row r="67" spans="2:9" s="395" customFormat="1" ht="7.5" customHeight="1" thickBot="1" x14ac:dyDescent="0.3">
      <c r="B67" s="638"/>
      <c r="C67" s="422"/>
      <c r="D67" s="422"/>
      <c r="E67" s="422"/>
      <c r="F67" s="422"/>
      <c r="G67" s="422"/>
      <c r="H67" s="422"/>
      <c r="I67" s="639"/>
    </row>
    <row r="68" spans="2:9" s="395" customFormat="1" x14ac:dyDescent="0.25">
      <c r="B68" s="638"/>
      <c r="C68" s="2616" t="s">
        <v>447</v>
      </c>
      <c r="D68" s="2617"/>
      <c r="E68" s="2617"/>
      <c r="F68" s="2617"/>
      <c r="G68" s="2617"/>
      <c r="H68" s="2618"/>
      <c r="I68" s="639"/>
    </row>
    <row r="69" spans="2:9" s="395" customFormat="1" x14ac:dyDescent="0.25">
      <c r="B69" s="638"/>
      <c r="C69" s="331" t="s">
        <v>433</v>
      </c>
      <c r="D69" s="2624" t="s">
        <v>1963</v>
      </c>
      <c r="E69" s="2624"/>
      <c r="F69" s="2624"/>
      <c r="G69" s="2624"/>
      <c r="H69" s="2625"/>
      <c r="I69" s="639"/>
    </row>
    <row r="70" spans="2:9" s="395" customFormat="1" x14ac:dyDescent="0.25">
      <c r="B70" s="638"/>
      <c r="C70" s="332" t="s">
        <v>441</v>
      </c>
      <c r="D70" s="2621" t="s">
        <v>1976</v>
      </c>
      <c r="E70" s="2621"/>
      <c r="F70" s="2621"/>
      <c r="G70" s="2621"/>
      <c r="H70" s="2622"/>
      <c r="I70" s="639"/>
    </row>
    <row r="71" spans="2:9" s="395" customFormat="1" x14ac:dyDescent="0.25">
      <c r="B71" s="638"/>
      <c r="C71" s="331" t="s">
        <v>4</v>
      </c>
      <c r="D71" s="1417" t="s">
        <v>1964</v>
      </c>
      <c r="E71" s="422" t="s">
        <v>5</v>
      </c>
      <c r="F71" s="2624" t="s">
        <v>1965</v>
      </c>
      <c r="G71" s="2624"/>
      <c r="H71" s="2625"/>
      <c r="I71" s="639"/>
    </row>
    <row r="72" spans="2:9" s="395" customFormat="1" ht="15.75" thickBot="1" x14ac:dyDescent="0.3">
      <c r="B72" s="638"/>
      <c r="C72" s="333"/>
      <c r="D72" s="336"/>
      <c r="E72" s="336"/>
      <c r="F72" s="336"/>
      <c r="G72" s="336"/>
      <c r="H72" s="337"/>
      <c r="I72" s="639"/>
    </row>
    <row r="73" spans="2:9" s="395" customFormat="1" ht="7.5" customHeight="1" thickBot="1" x14ac:dyDescent="0.3">
      <c r="B73" s="638"/>
      <c r="C73" s="422"/>
      <c r="D73" s="422"/>
      <c r="E73" s="422"/>
      <c r="F73" s="422"/>
      <c r="G73" s="422"/>
      <c r="H73" s="422"/>
      <c r="I73" s="639"/>
    </row>
    <row r="74" spans="2:9" s="395" customFormat="1" x14ac:dyDescent="0.25">
      <c r="B74" s="638"/>
      <c r="C74" s="2616" t="s">
        <v>448</v>
      </c>
      <c r="D74" s="2617"/>
      <c r="E74" s="2617"/>
      <c r="F74" s="2617"/>
      <c r="G74" s="2617"/>
      <c r="H74" s="2618"/>
      <c r="I74" s="639"/>
    </row>
    <row r="75" spans="2:9" s="395" customFormat="1" x14ac:dyDescent="0.25">
      <c r="B75" s="638"/>
      <c r="C75" s="331" t="s">
        <v>433</v>
      </c>
      <c r="D75" s="2624" t="s">
        <v>1926</v>
      </c>
      <c r="E75" s="2624"/>
      <c r="F75" s="2624"/>
      <c r="G75" s="2624"/>
      <c r="H75" s="2625"/>
      <c r="I75" s="639"/>
    </row>
    <row r="76" spans="2:9" s="395" customFormat="1" x14ac:dyDescent="0.25">
      <c r="B76" s="638"/>
      <c r="C76" s="332" t="s">
        <v>441</v>
      </c>
      <c r="D76" s="2621" t="s">
        <v>1977</v>
      </c>
      <c r="E76" s="2621"/>
      <c r="F76" s="2621"/>
      <c r="G76" s="2621"/>
      <c r="H76" s="2622"/>
      <c r="I76" s="639"/>
    </row>
    <row r="77" spans="2:9" s="395" customFormat="1" x14ac:dyDescent="0.25">
      <c r="B77" s="638"/>
      <c r="C77" s="331" t="s">
        <v>434</v>
      </c>
      <c r="D77" s="2621" t="s">
        <v>1978</v>
      </c>
      <c r="E77" s="2621"/>
      <c r="F77" s="2621"/>
      <c r="G77" s="2621"/>
      <c r="H77" s="2622"/>
      <c r="I77" s="639"/>
    </row>
    <row r="78" spans="2:9" s="395" customFormat="1" x14ac:dyDescent="0.25">
      <c r="B78" s="638"/>
      <c r="C78" s="331" t="s">
        <v>13</v>
      </c>
      <c r="D78" s="1418" t="s">
        <v>1816</v>
      </c>
      <c r="E78" s="422" t="s">
        <v>435</v>
      </c>
      <c r="F78" s="1402" t="s">
        <v>1817</v>
      </c>
      <c r="G78" s="422" t="s">
        <v>436</v>
      </c>
      <c r="H78" s="1419">
        <v>98133</v>
      </c>
      <c r="I78" s="639"/>
    </row>
    <row r="79" spans="2:9" s="395" customFormat="1" x14ac:dyDescent="0.25">
      <c r="B79" s="638"/>
      <c r="C79" s="331" t="s">
        <v>4</v>
      </c>
      <c r="D79" s="1417" t="s">
        <v>1979</v>
      </c>
      <c r="E79" s="422" t="s">
        <v>5</v>
      </c>
      <c r="F79" s="2624" t="s">
        <v>1980</v>
      </c>
      <c r="G79" s="2624"/>
      <c r="H79" s="2625"/>
      <c r="I79" s="639"/>
    </row>
    <row r="80" spans="2:9" s="395" customFormat="1" ht="15.75" thickBot="1" x14ac:dyDescent="0.3">
      <c r="B80" s="638"/>
      <c r="C80" s="333"/>
      <c r="D80" s="336"/>
      <c r="E80" s="336"/>
      <c r="F80" s="336"/>
      <c r="G80" s="336"/>
      <c r="H80" s="337"/>
      <c r="I80" s="639"/>
    </row>
    <row r="81" spans="2:9" s="395" customFormat="1" ht="9" customHeight="1" thickBot="1" x14ac:dyDescent="0.3">
      <c r="B81" s="619"/>
      <c r="C81" s="338"/>
      <c r="D81" s="338"/>
      <c r="E81" s="338"/>
      <c r="F81" s="338"/>
      <c r="G81" s="338"/>
      <c r="H81" s="338"/>
      <c r="I81" s="620"/>
    </row>
  </sheetData>
  <sheetProtection password="D666" sheet="1" objects="1" scenarios="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headerFooter>
    <oddFooter>&amp;LForm 9A
Project Team&amp;CCFA Forms&amp;REdition: 2016
Version: 1.0</oddFooter>
  </headerFooter>
  <rowBreaks count="1" manualBreakCount="1">
    <brk id="48" min="1" max="8" man="1"/>
  </rowBreaks>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9" zoomScale="125" zoomScaleNormal="125" zoomScalePageLayoutView="125" workbookViewId="0">
      <selection activeCell="U35" sqref="U35"/>
    </sheetView>
  </sheetViews>
  <sheetFormatPr defaultColWidth="8.85546875" defaultRowHeight="15" x14ac:dyDescent="0.25"/>
  <cols>
    <col min="1" max="1" width="1.7109375" style="399" customWidth="1"/>
    <col min="2" max="2" width="1.7109375" style="395" customWidth="1"/>
    <col min="3" max="3" width="14.28515625" style="399" customWidth="1"/>
    <col min="4" max="4" width="30" style="399" customWidth="1"/>
    <col min="5" max="24" width="3.42578125" style="399" customWidth="1"/>
    <col min="25" max="25" width="1.7109375" style="395" customWidth="1"/>
    <col min="26" max="26" width="1.42578125" style="399" customWidth="1"/>
    <col min="27" max="16384" width="8.85546875" style="399"/>
  </cols>
  <sheetData>
    <row r="6" spans="2:26" ht="15.75" thickBot="1" x14ac:dyDescent="0.3"/>
    <row r="7" spans="2:26" s="395" customFormat="1" ht="9" customHeight="1" x14ac:dyDescent="0.3">
      <c r="B7" s="201"/>
      <c r="C7" s="2643"/>
      <c r="D7" s="2643"/>
      <c r="E7" s="2644"/>
      <c r="F7" s="2644"/>
      <c r="G7" s="2644"/>
      <c r="H7" s="2644"/>
      <c r="I7" s="2644"/>
      <c r="J7" s="2644"/>
      <c r="K7" s="2644"/>
      <c r="L7" s="2644"/>
      <c r="M7" s="2644"/>
      <c r="N7" s="2644"/>
      <c r="O7" s="2644"/>
      <c r="P7" s="2644"/>
      <c r="Q7" s="2644"/>
      <c r="R7" s="2644"/>
      <c r="S7" s="2644"/>
      <c r="T7" s="2644"/>
      <c r="U7" s="2644"/>
      <c r="V7" s="2644"/>
      <c r="W7" s="2644"/>
      <c r="X7" s="2644"/>
      <c r="Y7" s="2644"/>
      <c r="Z7" s="1688"/>
    </row>
    <row r="8" spans="2:26" s="395" customFormat="1" ht="18.75" x14ac:dyDescent="0.3">
      <c r="B8" s="209"/>
      <c r="C8" s="1412" t="s">
        <v>449</v>
      </c>
      <c r="D8" s="708"/>
      <c r="E8" s="709"/>
      <c r="F8" s="709"/>
      <c r="G8" s="709"/>
      <c r="H8" s="709"/>
      <c r="I8" s="709"/>
      <c r="J8" s="709"/>
      <c r="K8" s="709"/>
      <c r="L8" s="709"/>
      <c r="M8" s="709"/>
      <c r="N8" s="709"/>
      <c r="O8" s="709"/>
      <c r="P8" s="709"/>
      <c r="Q8" s="709"/>
      <c r="R8" s="709"/>
      <c r="S8" s="709"/>
      <c r="T8" s="709"/>
      <c r="U8" s="709"/>
      <c r="V8" s="709"/>
      <c r="W8" s="709"/>
      <c r="X8" s="709"/>
      <c r="Y8" s="645"/>
      <c r="Z8" s="1562"/>
    </row>
    <row r="9" spans="2:26" s="395" customFormat="1" ht="18.75" x14ac:dyDescent="0.3">
      <c r="B9" s="209"/>
      <c r="C9" s="644"/>
      <c r="D9" s="644"/>
      <c r="E9" s="645"/>
      <c r="F9" s="645"/>
      <c r="G9" s="645"/>
      <c r="H9" s="645"/>
      <c r="I9" s="645"/>
      <c r="J9" s="645"/>
      <c r="K9" s="645"/>
      <c r="L9" s="645"/>
      <c r="M9" s="645"/>
      <c r="N9" s="645"/>
      <c r="O9" s="645"/>
      <c r="P9" s="645"/>
      <c r="Q9" s="645"/>
      <c r="R9" s="645"/>
      <c r="S9" s="645"/>
      <c r="T9" s="645"/>
      <c r="U9" s="645"/>
      <c r="V9" s="645"/>
      <c r="W9" s="645"/>
      <c r="X9" s="645"/>
      <c r="Y9" s="645"/>
      <c r="Z9" s="1562"/>
    </row>
    <row r="10" spans="2:26" s="395" customFormat="1" ht="15.75" thickBot="1" x14ac:dyDescent="0.3">
      <c r="B10" s="209"/>
      <c r="C10" s="2391" t="str">
        <f>IF('1'!G5="","Enter Project Name on Form 1",(CONCATENATE("Project Name: ",'1'!G5)))</f>
        <v>Project Name: Compass Broadview</v>
      </c>
      <c r="D10" s="2391"/>
      <c r="E10" s="2391"/>
      <c r="F10" s="2391"/>
      <c r="G10" s="2391"/>
      <c r="H10" s="2391"/>
      <c r="I10" s="2391"/>
      <c r="J10" s="2391"/>
      <c r="K10" s="2391"/>
      <c r="L10" s="2391"/>
      <c r="M10" s="2391"/>
      <c r="N10" s="2391"/>
      <c r="O10" s="2391"/>
      <c r="P10" s="2391"/>
      <c r="Q10" s="2391"/>
      <c r="R10" s="2391"/>
      <c r="S10" s="2391"/>
      <c r="T10" s="367"/>
      <c r="U10" s="422"/>
      <c r="V10" s="422"/>
      <c r="W10" s="422"/>
      <c r="X10" s="422"/>
      <c r="Y10" s="422"/>
      <c r="Z10" s="1562"/>
    </row>
    <row r="11" spans="2:26" s="395" customFormat="1" ht="7.5" customHeight="1" x14ac:dyDescent="0.25">
      <c r="B11" s="209"/>
      <c r="C11" s="494"/>
      <c r="D11" s="494"/>
      <c r="E11" s="494"/>
      <c r="F11" s="494"/>
      <c r="G11" s="494"/>
      <c r="H11" s="494"/>
      <c r="I11" s="494"/>
      <c r="J11" s="494"/>
      <c r="K11" s="494"/>
      <c r="L11" s="494"/>
      <c r="M11" s="494"/>
      <c r="N11" s="494"/>
      <c r="O11" s="494"/>
      <c r="P11" s="422"/>
      <c r="Q11" s="422"/>
      <c r="R11" s="422"/>
      <c r="S11" s="422"/>
      <c r="T11" s="422"/>
      <c r="U11" s="422"/>
      <c r="V11" s="422"/>
      <c r="W11" s="422"/>
      <c r="X11" s="422"/>
      <c r="Y11" s="422"/>
      <c r="Z11" s="1562"/>
    </row>
    <row r="12" spans="2:26" ht="117.75" customHeight="1" x14ac:dyDescent="0.25">
      <c r="B12" s="209"/>
      <c r="C12" s="2650"/>
      <c r="D12" s="2651"/>
      <c r="E12" s="697" t="s">
        <v>450</v>
      </c>
      <c r="F12" s="2637" t="s">
        <v>451</v>
      </c>
      <c r="G12" s="2637" t="s">
        <v>452</v>
      </c>
      <c r="H12" s="2637" t="s">
        <v>453</v>
      </c>
      <c r="I12" s="2637" t="s">
        <v>454</v>
      </c>
      <c r="J12" s="2645" t="s">
        <v>455</v>
      </c>
      <c r="K12" s="2637" t="s">
        <v>456</v>
      </c>
      <c r="L12" s="2637" t="s">
        <v>457</v>
      </c>
      <c r="M12" s="2637" t="s">
        <v>458</v>
      </c>
      <c r="N12" s="2637" t="s">
        <v>459</v>
      </c>
      <c r="O12" s="2637" t="s">
        <v>460</v>
      </c>
      <c r="P12" s="2637" t="s">
        <v>461</v>
      </c>
      <c r="Q12" s="2637" t="s">
        <v>462</v>
      </c>
      <c r="R12" s="2648" t="s">
        <v>463</v>
      </c>
      <c r="S12" s="2637" t="s">
        <v>464</v>
      </c>
      <c r="T12" s="2637" t="s">
        <v>465</v>
      </c>
      <c r="U12" s="2637" t="s">
        <v>466</v>
      </c>
      <c r="V12" s="2637" t="s">
        <v>467</v>
      </c>
      <c r="W12" s="2637" t="s">
        <v>468</v>
      </c>
      <c r="X12" s="1689"/>
      <c r="Y12" s="1124"/>
      <c r="Z12" s="1670"/>
    </row>
    <row r="13" spans="2:26" x14ac:dyDescent="0.25">
      <c r="B13" s="209"/>
      <c r="C13" s="701" t="s">
        <v>469</v>
      </c>
      <c r="D13" s="702"/>
      <c r="E13" s="698" t="s">
        <v>580</v>
      </c>
      <c r="F13" s="2639"/>
      <c r="G13" s="2638"/>
      <c r="H13" s="2638"/>
      <c r="I13" s="2638"/>
      <c r="J13" s="2646"/>
      <c r="K13" s="2638"/>
      <c r="L13" s="2638"/>
      <c r="M13" s="2638"/>
      <c r="N13" s="2638"/>
      <c r="O13" s="2638"/>
      <c r="P13" s="2638"/>
      <c r="Q13" s="2638"/>
      <c r="R13" s="2649"/>
      <c r="S13" s="2638"/>
      <c r="T13" s="2638"/>
      <c r="U13" s="2638"/>
      <c r="V13" s="2638"/>
      <c r="W13" s="2638"/>
      <c r="X13" s="1690"/>
      <c r="Y13" s="1125"/>
      <c r="Z13" s="1670"/>
    </row>
    <row r="14" spans="2:26" x14ac:dyDescent="0.25">
      <c r="B14" s="209"/>
      <c r="C14" s="703" t="s">
        <v>452</v>
      </c>
      <c r="D14" s="704"/>
      <c r="E14" s="698"/>
      <c r="F14" s="698"/>
      <c r="G14" s="2639"/>
      <c r="H14" s="2638"/>
      <c r="I14" s="2638"/>
      <c r="J14" s="2646"/>
      <c r="K14" s="2638"/>
      <c r="L14" s="2638"/>
      <c r="M14" s="2638"/>
      <c r="N14" s="2638"/>
      <c r="O14" s="2638"/>
      <c r="P14" s="2638"/>
      <c r="Q14" s="2638"/>
      <c r="R14" s="2649"/>
      <c r="S14" s="2638"/>
      <c r="T14" s="2638"/>
      <c r="U14" s="2638"/>
      <c r="V14" s="2638"/>
      <c r="W14" s="2638"/>
      <c r="X14" s="1690"/>
      <c r="Y14" s="1125"/>
      <c r="Z14" s="1670"/>
    </row>
    <row r="15" spans="2:26" x14ac:dyDescent="0.25">
      <c r="B15" s="209"/>
      <c r="C15" s="703" t="s">
        <v>453</v>
      </c>
      <c r="D15" s="704"/>
      <c r="E15" s="698"/>
      <c r="F15" s="698"/>
      <c r="G15" s="698"/>
      <c r="H15" s="2639"/>
      <c r="I15" s="2638"/>
      <c r="J15" s="2646"/>
      <c r="K15" s="2638"/>
      <c r="L15" s="2638"/>
      <c r="M15" s="2638"/>
      <c r="N15" s="2638"/>
      <c r="O15" s="2638"/>
      <c r="P15" s="2638"/>
      <c r="Q15" s="2638"/>
      <c r="R15" s="2649"/>
      <c r="S15" s="2638"/>
      <c r="T15" s="2638"/>
      <c r="U15" s="2638"/>
      <c r="V15" s="2638"/>
      <c r="W15" s="2638"/>
      <c r="X15" s="1690"/>
      <c r="Y15" s="1125"/>
      <c r="Z15" s="1670"/>
    </row>
    <row r="16" spans="2:26" x14ac:dyDescent="0.25">
      <c r="B16" s="209"/>
      <c r="C16" s="703" t="s">
        <v>454</v>
      </c>
      <c r="D16" s="704"/>
      <c r="E16" s="698" t="s">
        <v>580</v>
      </c>
      <c r="F16" s="698" t="s">
        <v>580</v>
      </c>
      <c r="G16" s="698"/>
      <c r="H16" s="698"/>
      <c r="I16" s="2639"/>
      <c r="J16" s="2646"/>
      <c r="K16" s="2638"/>
      <c r="L16" s="2638"/>
      <c r="M16" s="2638"/>
      <c r="N16" s="2638"/>
      <c r="O16" s="2638"/>
      <c r="P16" s="2638"/>
      <c r="Q16" s="2638"/>
      <c r="R16" s="2649"/>
      <c r="S16" s="2638"/>
      <c r="T16" s="2638"/>
      <c r="U16" s="2638"/>
      <c r="V16" s="2638"/>
      <c r="W16" s="2638"/>
      <c r="X16" s="1690"/>
      <c r="Y16" s="1125"/>
      <c r="Z16" s="1670"/>
    </row>
    <row r="17" spans="2:26" x14ac:dyDescent="0.25">
      <c r="B17" s="209"/>
      <c r="C17" s="703" t="s">
        <v>470</v>
      </c>
      <c r="D17" s="704"/>
      <c r="E17" s="698" t="s">
        <v>580</v>
      </c>
      <c r="F17" s="698" t="s">
        <v>580</v>
      </c>
      <c r="G17" s="698"/>
      <c r="H17" s="698"/>
      <c r="I17" s="698"/>
      <c r="J17" s="2647"/>
      <c r="K17" s="2638"/>
      <c r="L17" s="2638"/>
      <c r="M17" s="2638"/>
      <c r="N17" s="2638"/>
      <c r="O17" s="2638"/>
      <c r="P17" s="2638"/>
      <c r="Q17" s="2638"/>
      <c r="R17" s="2649"/>
      <c r="S17" s="2638"/>
      <c r="T17" s="2638"/>
      <c r="U17" s="2638"/>
      <c r="V17" s="2638"/>
      <c r="W17" s="2638"/>
      <c r="X17" s="1690"/>
      <c r="Y17" s="1125"/>
      <c r="Z17" s="1670"/>
    </row>
    <row r="18" spans="2:26" x14ac:dyDescent="0.25">
      <c r="B18" s="209"/>
      <c r="C18" s="703" t="s">
        <v>471</v>
      </c>
      <c r="D18" s="704"/>
      <c r="E18" s="698"/>
      <c r="F18" s="698"/>
      <c r="G18" s="698"/>
      <c r="H18" s="698"/>
      <c r="I18" s="698"/>
      <c r="J18" s="698"/>
      <c r="K18" s="2639"/>
      <c r="L18" s="2638"/>
      <c r="M18" s="2638"/>
      <c r="N18" s="2638"/>
      <c r="O18" s="2638"/>
      <c r="P18" s="2638"/>
      <c r="Q18" s="2638"/>
      <c r="R18" s="2649"/>
      <c r="S18" s="2638"/>
      <c r="T18" s="2638"/>
      <c r="U18" s="2638"/>
      <c r="V18" s="2638"/>
      <c r="W18" s="2638"/>
      <c r="X18" s="1690"/>
      <c r="Y18" s="1125"/>
      <c r="Z18" s="1670"/>
    </row>
    <row r="19" spans="2:26" x14ac:dyDescent="0.25">
      <c r="B19" s="209"/>
      <c r="C19" s="703" t="s">
        <v>472</v>
      </c>
      <c r="D19" s="704"/>
      <c r="E19" s="698"/>
      <c r="F19" s="698"/>
      <c r="G19" s="698"/>
      <c r="H19" s="698"/>
      <c r="I19" s="698"/>
      <c r="J19" s="698"/>
      <c r="K19" s="698"/>
      <c r="L19" s="2639"/>
      <c r="M19" s="2638"/>
      <c r="N19" s="2638"/>
      <c r="O19" s="2638"/>
      <c r="P19" s="2638"/>
      <c r="Q19" s="2638"/>
      <c r="R19" s="2649"/>
      <c r="S19" s="2638"/>
      <c r="T19" s="2638"/>
      <c r="U19" s="2638"/>
      <c r="V19" s="2638"/>
      <c r="W19" s="2638"/>
      <c r="X19" s="1690"/>
      <c r="Y19" s="1125"/>
      <c r="Z19" s="1670"/>
    </row>
    <row r="20" spans="2:26" x14ac:dyDescent="0.25">
      <c r="B20" s="209"/>
      <c r="C20" s="703" t="s">
        <v>473</v>
      </c>
      <c r="D20" s="704"/>
      <c r="E20" s="698"/>
      <c r="F20" s="698"/>
      <c r="G20" s="698"/>
      <c r="H20" s="698"/>
      <c r="I20" s="698"/>
      <c r="J20" s="698"/>
      <c r="K20" s="698"/>
      <c r="L20" s="698"/>
      <c r="M20" s="2639"/>
      <c r="N20" s="2638"/>
      <c r="O20" s="2638"/>
      <c r="P20" s="2638"/>
      <c r="Q20" s="2638"/>
      <c r="R20" s="2649"/>
      <c r="S20" s="2638"/>
      <c r="T20" s="2638"/>
      <c r="U20" s="2638"/>
      <c r="V20" s="2638"/>
      <c r="W20" s="2638"/>
      <c r="X20" s="1690"/>
      <c r="Y20" s="1125"/>
      <c r="Z20" s="1670"/>
    </row>
    <row r="21" spans="2:26" x14ac:dyDescent="0.25">
      <c r="B21" s="209"/>
      <c r="C21" s="703" t="s">
        <v>474</v>
      </c>
      <c r="D21" s="704"/>
      <c r="E21" s="698"/>
      <c r="F21" s="698"/>
      <c r="G21" s="698"/>
      <c r="H21" s="698"/>
      <c r="I21" s="698"/>
      <c r="J21" s="698"/>
      <c r="K21" s="698"/>
      <c r="L21" s="698"/>
      <c r="M21" s="698"/>
      <c r="N21" s="2638"/>
      <c r="O21" s="2638"/>
      <c r="P21" s="2638"/>
      <c r="Q21" s="2638"/>
      <c r="R21" s="2649"/>
      <c r="S21" s="2638"/>
      <c r="T21" s="2638"/>
      <c r="U21" s="2638"/>
      <c r="V21" s="2638"/>
      <c r="W21" s="2638"/>
      <c r="X21" s="1690"/>
      <c r="Y21" s="1125"/>
      <c r="Z21" s="1670"/>
    </row>
    <row r="22" spans="2:26" x14ac:dyDescent="0.25">
      <c r="B22" s="209"/>
      <c r="C22" s="703" t="s">
        <v>460</v>
      </c>
      <c r="D22" s="704"/>
      <c r="E22" s="698"/>
      <c r="F22" s="698"/>
      <c r="G22" s="698"/>
      <c r="H22" s="698"/>
      <c r="I22" s="698"/>
      <c r="J22" s="698"/>
      <c r="K22" s="698"/>
      <c r="L22" s="698"/>
      <c r="M22" s="698"/>
      <c r="N22" s="698"/>
      <c r="O22" s="2638"/>
      <c r="P22" s="2638"/>
      <c r="Q22" s="2638"/>
      <c r="R22" s="2649"/>
      <c r="S22" s="2638"/>
      <c r="T22" s="2638"/>
      <c r="U22" s="2638"/>
      <c r="V22" s="2638"/>
      <c r="W22" s="2638"/>
      <c r="X22" s="1690"/>
      <c r="Y22" s="1125"/>
      <c r="Z22" s="1670"/>
    </row>
    <row r="23" spans="2:26" x14ac:dyDescent="0.25">
      <c r="B23" s="209"/>
      <c r="C23" s="703" t="s">
        <v>461</v>
      </c>
      <c r="D23" s="704"/>
      <c r="E23" s="698"/>
      <c r="F23" s="698"/>
      <c r="G23" s="698"/>
      <c r="H23" s="698"/>
      <c r="I23" s="698"/>
      <c r="J23" s="698"/>
      <c r="K23" s="698"/>
      <c r="L23" s="698"/>
      <c r="M23" s="698"/>
      <c r="N23" s="698"/>
      <c r="O23" s="698"/>
      <c r="P23" s="2638"/>
      <c r="Q23" s="2638"/>
      <c r="R23" s="2649"/>
      <c r="S23" s="2638"/>
      <c r="T23" s="2638"/>
      <c r="U23" s="2638"/>
      <c r="V23" s="2638"/>
      <c r="W23" s="2638"/>
      <c r="X23" s="1690"/>
      <c r="Y23" s="1125"/>
      <c r="Z23" s="1670"/>
    </row>
    <row r="24" spans="2:26" x14ac:dyDescent="0.25">
      <c r="B24" s="209"/>
      <c r="C24" s="703" t="s">
        <v>475</v>
      </c>
      <c r="D24" s="704"/>
      <c r="E24" s="698"/>
      <c r="F24" s="698"/>
      <c r="G24" s="698"/>
      <c r="H24" s="698"/>
      <c r="I24" s="698"/>
      <c r="J24" s="698"/>
      <c r="K24" s="698"/>
      <c r="L24" s="698"/>
      <c r="M24" s="698"/>
      <c r="N24" s="698"/>
      <c r="O24" s="698"/>
      <c r="P24" s="698"/>
      <c r="Q24" s="2638"/>
      <c r="R24" s="2649"/>
      <c r="S24" s="2638"/>
      <c r="T24" s="2638"/>
      <c r="U24" s="2638"/>
      <c r="V24" s="2638"/>
      <c r="W24" s="2638"/>
      <c r="X24" s="1690"/>
      <c r="Y24" s="1125"/>
      <c r="Z24" s="1670"/>
    </row>
    <row r="25" spans="2:26" x14ac:dyDescent="0.25">
      <c r="B25" s="209"/>
      <c r="C25" s="703" t="s">
        <v>463</v>
      </c>
      <c r="D25" s="704"/>
      <c r="E25" s="698"/>
      <c r="F25" s="698"/>
      <c r="G25" s="698"/>
      <c r="H25" s="698"/>
      <c r="I25" s="698"/>
      <c r="J25" s="698"/>
      <c r="K25" s="698"/>
      <c r="L25" s="698"/>
      <c r="M25" s="698"/>
      <c r="N25" s="698"/>
      <c r="O25" s="698"/>
      <c r="P25" s="698"/>
      <c r="Q25" s="698"/>
      <c r="R25" s="2649"/>
      <c r="S25" s="2638"/>
      <c r="T25" s="2638"/>
      <c r="U25" s="2638"/>
      <c r="V25" s="2638"/>
      <c r="W25" s="2638"/>
      <c r="X25" s="1690"/>
      <c r="Y25" s="1125"/>
      <c r="Z25" s="1670"/>
    </row>
    <row r="26" spans="2:26" x14ac:dyDescent="0.25">
      <c r="B26" s="209"/>
      <c r="C26" s="703" t="s">
        <v>464</v>
      </c>
      <c r="D26" s="704"/>
      <c r="E26" s="698"/>
      <c r="F26" s="698"/>
      <c r="G26" s="698"/>
      <c r="H26" s="698"/>
      <c r="I26" s="698"/>
      <c r="J26" s="698"/>
      <c r="K26" s="698"/>
      <c r="L26" s="698"/>
      <c r="M26" s="698"/>
      <c r="N26" s="698"/>
      <c r="O26" s="698"/>
      <c r="P26" s="698"/>
      <c r="Q26" s="698"/>
      <c r="R26" s="698"/>
      <c r="S26" s="2638"/>
      <c r="T26" s="2638"/>
      <c r="U26" s="2638"/>
      <c r="V26" s="2638"/>
      <c r="W26" s="2638"/>
      <c r="X26" s="1690"/>
      <c r="Y26" s="1125"/>
      <c r="Z26" s="1670"/>
    </row>
    <row r="27" spans="2:26" x14ac:dyDescent="0.25">
      <c r="B27" s="209"/>
      <c r="C27" s="703" t="s">
        <v>465</v>
      </c>
      <c r="D27" s="704"/>
      <c r="E27" s="698"/>
      <c r="F27" s="698"/>
      <c r="G27" s="698"/>
      <c r="H27" s="698"/>
      <c r="I27" s="698"/>
      <c r="J27" s="698"/>
      <c r="K27" s="698"/>
      <c r="L27" s="698"/>
      <c r="M27" s="698"/>
      <c r="N27" s="698"/>
      <c r="O27" s="698"/>
      <c r="P27" s="698"/>
      <c r="Q27" s="698"/>
      <c r="R27" s="698"/>
      <c r="S27" s="698"/>
      <c r="T27" s="2638"/>
      <c r="U27" s="2638"/>
      <c r="V27" s="2638"/>
      <c r="W27" s="2638"/>
      <c r="X27" s="1690"/>
      <c r="Y27" s="1125"/>
      <c r="Z27" s="1670"/>
    </row>
    <row r="28" spans="2:26" x14ac:dyDescent="0.25">
      <c r="B28" s="209"/>
      <c r="C28" s="703" t="s">
        <v>476</v>
      </c>
      <c r="D28" s="704"/>
      <c r="E28" s="698"/>
      <c r="F28" s="698" t="s">
        <v>580</v>
      </c>
      <c r="G28" s="698"/>
      <c r="H28" s="698"/>
      <c r="I28" s="698"/>
      <c r="J28" s="698"/>
      <c r="K28" s="698"/>
      <c r="L28" s="698"/>
      <c r="M28" s="698"/>
      <c r="N28" s="698"/>
      <c r="O28" s="698"/>
      <c r="P28" s="698"/>
      <c r="Q28" s="698"/>
      <c r="R28" s="698"/>
      <c r="S28" s="698"/>
      <c r="T28" s="698"/>
      <c r="U28" s="2638"/>
      <c r="V28" s="2638"/>
      <c r="W28" s="2638"/>
      <c r="X28" s="1690"/>
      <c r="Y28" s="1125"/>
      <c r="Z28" s="1670"/>
    </row>
    <row r="29" spans="2:26" x14ac:dyDescent="0.25">
      <c r="B29" s="209"/>
      <c r="C29" s="703" t="s">
        <v>467</v>
      </c>
      <c r="D29" s="704"/>
      <c r="E29" s="698"/>
      <c r="F29" s="698"/>
      <c r="G29" s="698"/>
      <c r="H29" s="698"/>
      <c r="I29" s="698"/>
      <c r="J29" s="698"/>
      <c r="K29" s="698"/>
      <c r="L29" s="698"/>
      <c r="M29" s="698"/>
      <c r="N29" s="698"/>
      <c r="O29" s="698"/>
      <c r="P29" s="698"/>
      <c r="Q29" s="698"/>
      <c r="R29" s="698"/>
      <c r="S29" s="698"/>
      <c r="T29" s="698"/>
      <c r="U29" s="698"/>
      <c r="V29" s="2638"/>
      <c r="W29" s="2638"/>
      <c r="X29" s="1690"/>
      <c r="Y29" s="1125"/>
      <c r="Z29" s="1670"/>
    </row>
    <row r="30" spans="2:26" x14ac:dyDescent="0.25">
      <c r="B30" s="209"/>
      <c r="C30" s="705" t="s">
        <v>468</v>
      </c>
      <c r="D30" s="706"/>
      <c r="E30" s="698"/>
      <c r="F30" s="698"/>
      <c r="G30" s="698"/>
      <c r="H30" s="698"/>
      <c r="I30" s="698"/>
      <c r="J30" s="698"/>
      <c r="K30" s="698"/>
      <c r="L30" s="698"/>
      <c r="M30" s="698"/>
      <c r="N30" s="698"/>
      <c r="O30" s="698"/>
      <c r="P30" s="698"/>
      <c r="Q30" s="698"/>
      <c r="R30" s="698"/>
      <c r="S30" s="698"/>
      <c r="T30" s="698"/>
      <c r="U30" s="698"/>
      <c r="V30" s="698"/>
      <c r="W30" s="2638"/>
      <c r="X30" s="526"/>
      <c r="Y30" s="1125"/>
      <c r="Z30" s="1670"/>
    </row>
    <row r="31" spans="2:26" x14ac:dyDescent="0.25">
      <c r="B31" s="209"/>
      <c r="C31" s="1687" t="s">
        <v>426</v>
      </c>
      <c r="D31" s="707" t="s">
        <v>1908</v>
      </c>
      <c r="E31" s="699"/>
      <c r="F31" s="700" t="s">
        <v>580</v>
      </c>
      <c r="G31" s="700"/>
      <c r="H31" s="700"/>
      <c r="I31" s="700"/>
      <c r="J31" s="700"/>
      <c r="K31" s="700"/>
      <c r="L31" s="700"/>
      <c r="M31" s="700"/>
      <c r="N31" s="700"/>
      <c r="O31" s="700"/>
      <c r="P31" s="700"/>
      <c r="Q31" s="700"/>
      <c r="R31" s="700"/>
      <c r="S31" s="700"/>
      <c r="T31" s="700"/>
      <c r="U31" s="700"/>
      <c r="V31" s="700"/>
      <c r="W31" s="700"/>
      <c r="X31" s="1403" t="s">
        <v>230</v>
      </c>
      <c r="Y31" s="1125"/>
      <c r="Z31" s="1670"/>
    </row>
    <row r="32" spans="2:26" x14ac:dyDescent="0.25">
      <c r="B32" s="209"/>
      <c r="C32" s="646" t="s">
        <v>426</v>
      </c>
      <c r="D32" s="707"/>
      <c r="E32" s="291"/>
      <c r="F32" s="292"/>
      <c r="G32" s="292"/>
      <c r="H32" s="292"/>
      <c r="I32" s="292"/>
      <c r="J32" s="292"/>
      <c r="K32" s="292"/>
      <c r="L32" s="292"/>
      <c r="M32" s="292"/>
      <c r="N32" s="292"/>
      <c r="O32" s="292"/>
      <c r="P32" s="292"/>
      <c r="Q32" s="292"/>
      <c r="R32" s="292"/>
      <c r="S32" s="292"/>
      <c r="T32" s="292"/>
      <c r="U32" s="292"/>
      <c r="V32" s="292"/>
      <c r="W32" s="292"/>
      <c r="X32" s="1127"/>
      <c r="Y32" s="1126"/>
      <c r="Z32" s="1670"/>
    </row>
    <row r="33" spans="2:26" ht="7.5" customHeight="1" x14ac:dyDescent="0.25">
      <c r="B33" s="209"/>
      <c r="C33" s="1123"/>
      <c r="D33" s="378"/>
      <c r="E33" s="1691"/>
      <c r="F33" s="1691"/>
      <c r="G33" s="1691"/>
      <c r="H33" s="1691"/>
      <c r="I33" s="1691"/>
      <c r="J33" s="1691"/>
      <c r="K33" s="1691"/>
      <c r="L33" s="1691"/>
      <c r="M33" s="1691"/>
      <c r="N33" s="1691"/>
      <c r="O33" s="1691"/>
      <c r="P33" s="1691"/>
      <c r="Q33" s="1691"/>
      <c r="R33" s="1691"/>
      <c r="S33" s="1691"/>
      <c r="T33" s="1691"/>
      <c r="U33" s="1691"/>
      <c r="V33" s="1691"/>
      <c r="W33" s="1691"/>
      <c r="X33" s="1692"/>
      <c r="Y33" s="422"/>
      <c r="Z33" s="1670"/>
    </row>
    <row r="34" spans="2:26" x14ac:dyDescent="0.25">
      <c r="B34" s="209"/>
      <c r="C34" s="1123"/>
      <c r="D34" s="378"/>
      <c r="E34" s="1691"/>
      <c r="F34" s="1691"/>
      <c r="G34" s="1691"/>
      <c r="H34" s="1691"/>
      <c r="I34" s="1691"/>
      <c r="J34" s="1691"/>
      <c r="K34" s="1691"/>
      <c r="L34" s="1691"/>
      <c r="M34" s="2640"/>
      <c r="N34" s="2641"/>
      <c r="O34" s="2641"/>
      <c r="P34" s="2641"/>
      <c r="Q34" s="2641"/>
      <c r="R34" s="2641"/>
      <c r="S34" s="2641"/>
      <c r="T34" s="2641"/>
      <c r="U34" s="2641"/>
      <c r="V34" s="2642"/>
      <c r="W34" s="526"/>
      <c r="X34" s="526"/>
      <c r="Y34" s="422"/>
      <c r="Z34" s="1670"/>
    </row>
    <row r="35" spans="2:26" ht="7.5" customHeight="1" x14ac:dyDescent="0.25">
      <c r="B35" s="209"/>
      <c r="C35" s="1123"/>
      <c r="D35" s="378"/>
      <c r="E35" s="1691"/>
      <c r="F35" s="1691"/>
      <c r="G35" s="1691"/>
      <c r="H35" s="1691"/>
      <c r="I35" s="1691"/>
      <c r="J35" s="1691"/>
      <c r="K35" s="1691"/>
      <c r="L35" s="1691"/>
      <c r="M35" s="1691"/>
      <c r="N35" s="1691"/>
      <c r="O35" s="526"/>
      <c r="P35" s="526"/>
      <c r="Q35" s="526"/>
      <c r="R35" s="526"/>
      <c r="S35" s="526"/>
      <c r="T35" s="526"/>
      <c r="U35" s="526"/>
      <c r="V35" s="526"/>
      <c r="W35" s="526"/>
      <c r="X35" s="526"/>
      <c r="Y35" s="422"/>
      <c r="Z35" s="1670"/>
    </row>
    <row r="36" spans="2:26" s="395" customFormat="1" x14ac:dyDescent="0.25">
      <c r="B36" s="209"/>
      <c r="C36" s="365" t="s">
        <v>477</v>
      </c>
      <c r="D36" s="365"/>
      <c r="E36" s="365"/>
      <c r="F36" s="365"/>
      <c r="G36" s="365"/>
      <c r="H36" s="365"/>
      <c r="I36" s="365"/>
      <c r="J36" s="365"/>
      <c r="K36" s="365"/>
      <c r="L36" s="365"/>
      <c r="M36" s="365"/>
      <c r="N36" s="365"/>
      <c r="O36" s="365"/>
      <c r="P36" s="365"/>
      <c r="Q36" s="365"/>
      <c r="R36" s="365"/>
      <c r="S36" s="365"/>
      <c r="T36" s="365"/>
      <c r="U36" s="365"/>
      <c r="V36" s="365"/>
      <c r="W36" s="365"/>
      <c r="X36" s="365"/>
      <c r="Y36" s="422"/>
      <c r="Z36" s="1562"/>
    </row>
    <row r="37" spans="2:26" s="395" customFormat="1" ht="45" customHeight="1" x14ac:dyDescent="0.25">
      <c r="B37" s="209"/>
      <c r="C37" s="2292" t="s">
        <v>1909</v>
      </c>
      <c r="D37" s="2293"/>
      <c r="E37" s="2293"/>
      <c r="F37" s="2293"/>
      <c r="G37" s="2293"/>
      <c r="H37" s="2293"/>
      <c r="I37" s="2293"/>
      <c r="J37" s="2293"/>
      <c r="K37" s="2293"/>
      <c r="L37" s="2293"/>
      <c r="M37" s="2293"/>
      <c r="N37" s="2293"/>
      <c r="O37" s="2293"/>
      <c r="P37" s="2293"/>
      <c r="Q37" s="2293"/>
      <c r="R37" s="2293"/>
      <c r="S37" s="2293"/>
      <c r="T37" s="2293"/>
      <c r="U37" s="2293"/>
      <c r="V37" s="2293"/>
      <c r="W37" s="2293"/>
      <c r="X37" s="2294"/>
      <c r="Y37" s="422"/>
      <c r="Z37" s="1562"/>
    </row>
    <row r="38" spans="2:26" s="395" customFormat="1" ht="9" customHeight="1" thickBot="1" x14ac:dyDescent="0.3">
      <c r="B38" s="600"/>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693"/>
    </row>
    <row r="39" spans="2:26" s="395" customFormat="1" x14ac:dyDescent="0.25"/>
    <row r="40" spans="2:26" s="395" customFormat="1" x14ac:dyDescent="0.25"/>
    <row r="41" spans="2:26" s="395" customFormat="1" x14ac:dyDescent="0.25"/>
    <row r="42" spans="2:26" s="395" customFormat="1" x14ac:dyDescent="0.25"/>
    <row r="43" spans="2:26" s="395" customFormat="1" x14ac:dyDescent="0.25"/>
  </sheetData>
  <sheetProtection password="D666" sheet="1" objects="1" scenarios="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headerFooter>
    <oddFooter>&amp;LForm 9B
Identity of Interest Matrix&amp;CCFA Forms&amp;REdition: 2016
Version: 1.0</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topLeftCell="A10" workbookViewId="0">
      <selection activeCell="F32" sqref="F32"/>
    </sheetView>
  </sheetViews>
  <sheetFormatPr defaultColWidth="8.85546875" defaultRowHeight="15" x14ac:dyDescent="0.25"/>
  <cols>
    <col min="1" max="2" width="1.7109375" style="399" customWidth="1"/>
    <col min="3" max="3" width="27.140625" style="399" customWidth="1"/>
    <col min="4" max="4" width="8.85546875" style="399"/>
    <col min="5" max="5" width="11.42578125" style="399" customWidth="1"/>
    <col min="6" max="6" width="15.28515625" style="399" customWidth="1"/>
    <col min="7" max="7" width="13.140625" style="399" customWidth="1"/>
    <col min="8" max="8" width="8.85546875" style="399"/>
    <col min="9" max="9" width="14.42578125" style="399" bestFit="1" customWidth="1"/>
    <col min="10" max="11" width="11" style="399" customWidth="1"/>
    <col min="12" max="12" width="14.85546875" style="399" customWidth="1"/>
    <col min="13" max="13" width="1.7109375" style="399" customWidth="1"/>
    <col min="14" max="16384" width="8.85546875" style="399"/>
  </cols>
  <sheetData>
    <row r="11" spans="2:13" ht="7.5" customHeight="1" thickBot="1" x14ac:dyDescent="0.3">
      <c r="B11" s="647"/>
      <c r="C11" s="647"/>
      <c r="D11" s="647"/>
      <c r="E11" s="647"/>
      <c r="F11" s="647"/>
      <c r="G11" s="647"/>
      <c r="H11" s="647"/>
      <c r="I11" s="647"/>
      <c r="J11" s="647"/>
      <c r="K11" s="647"/>
      <c r="L11" s="647"/>
      <c r="M11" s="648"/>
    </row>
    <row r="12" spans="2:13" ht="9" customHeight="1" x14ac:dyDescent="0.3">
      <c r="B12" s="293"/>
      <c r="C12" s="294"/>
      <c r="D12" s="295"/>
      <c r="E12" s="294"/>
      <c r="F12" s="294"/>
      <c r="G12" s="294"/>
      <c r="H12" s="294"/>
      <c r="I12" s="294"/>
      <c r="J12" s="294"/>
      <c r="K12" s="295"/>
      <c r="L12" s="294"/>
      <c r="M12" s="296"/>
    </row>
    <row r="13" spans="2:13" ht="18.75" x14ac:dyDescent="0.3">
      <c r="B13" s="297"/>
      <c r="C13" s="2402" t="s">
        <v>478</v>
      </c>
      <c r="D13" s="2402"/>
      <c r="E13" s="2402"/>
      <c r="F13" s="2402"/>
      <c r="G13" s="2402"/>
      <c r="H13" s="2402"/>
      <c r="I13" s="2402"/>
      <c r="J13" s="2402"/>
      <c r="K13" s="2402"/>
      <c r="L13" s="2402"/>
      <c r="M13" s="298"/>
    </row>
    <row r="14" spans="2:13" ht="15" customHeight="1" x14ac:dyDescent="0.3">
      <c r="B14" s="297"/>
      <c r="C14" s="723"/>
      <c r="D14" s="723"/>
      <c r="E14" s="723"/>
      <c r="F14" s="723"/>
      <c r="G14" s="723"/>
      <c r="H14" s="723"/>
      <c r="I14" s="723"/>
      <c r="J14" s="723"/>
      <c r="K14" s="723"/>
      <c r="L14" s="723"/>
      <c r="M14" s="298"/>
    </row>
    <row r="15" spans="2:13" ht="15.75" thickBot="1" x14ac:dyDescent="0.3">
      <c r="B15" s="299"/>
      <c r="C15" s="2652" t="str">
        <f>IF('1'!G5="","Enter Project Name on Form 1",(CONCATENATE("Project Name: ",'1'!G5)))</f>
        <v>Project Name: Compass Broadview</v>
      </c>
      <c r="D15" s="2652"/>
      <c r="E15" s="2652"/>
      <c r="F15" s="2652"/>
      <c r="G15" s="2652"/>
      <c r="H15" s="2652"/>
      <c r="I15" s="2652"/>
      <c r="J15" s="129"/>
      <c r="K15" s="129"/>
      <c r="L15" s="129"/>
      <c r="M15" s="301"/>
    </row>
    <row r="16" spans="2:13" ht="22.5" customHeight="1" x14ac:dyDescent="0.25">
      <c r="B16" s="299"/>
      <c r="C16" s="302"/>
      <c r="D16" s="300"/>
      <c r="E16" s="300"/>
      <c r="F16" s="300"/>
      <c r="G16" s="300"/>
      <c r="H16" s="300"/>
      <c r="I16" s="649"/>
      <c r="J16" s="649"/>
      <c r="K16" s="649"/>
      <c r="L16" s="649"/>
      <c r="M16" s="301"/>
    </row>
    <row r="17" spans="2:13" ht="16.5" thickBot="1" x14ac:dyDescent="0.3">
      <c r="B17" s="299"/>
      <c r="C17" s="314" t="s">
        <v>479</v>
      </c>
      <c r="D17" s="303"/>
      <c r="E17" s="304"/>
      <c r="F17" s="302"/>
      <c r="G17" s="302"/>
      <c r="H17" s="302"/>
      <c r="I17" s="302"/>
      <c r="J17" s="302"/>
      <c r="K17" s="302"/>
      <c r="L17" s="302"/>
      <c r="M17" s="301"/>
    </row>
    <row r="18" spans="2:13" ht="36.75" thickBot="1" x14ac:dyDescent="0.3">
      <c r="B18" s="305"/>
      <c r="C18" s="722" t="s">
        <v>480</v>
      </c>
      <c r="D18" s="976" t="s">
        <v>481</v>
      </c>
      <c r="E18" s="306" t="s">
        <v>482</v>
      </c>
      <c r="F18" s="307" t="s">
        <v>483</v>
      </c>
      <c r="G18" s="307" t="s">
        <v>484</v>
      </c>
      <c r="H18" s="307" t="s">
        <v>512</v>
      </c>
      <c r="I18" s="307" t="s">
        <v>485</v>
      </c>
      <c r="J18" s="307" t="s">
        <v>608</v>
      </c>
      <c r="K18" s="307" t="s">
        <v>486</v>
      </c>
      <c r="L18" s="308" t="s">
        <v>487</v>
      </c>
      <c r="M18" s="298"/>
    </row>
    <row r="19" spans="2:13" x14ac:dyDescent="0.25">
      <c r="B19" s="309"/>
      <c r="C19" s="972" t="s">
        <v>1997</v>
      </c>
      <c r="D19" s="999" t="s">
        <v>610</v>
      </c>
      <c r="E19" s="1000" t="s">
        <v>613</v>
      </c>
      <c r="F19" s="957" t="s">
        <v>1998</v>
      </c>
      <c r="G19" s="958" t="s">
        <v>1982</v>
      </c>
      <c r="H19" s="959" t="s">
        <v>1999</v>
      </c>
      <c r="I19" s="959" t="s">
        <v>2000</v>
      </c>
      <c r="J19" s="959" t="s">
        <v>620</v>
      </c>
      <c r="K19" s="996" t="s">
        <v>2001</v>
      </c>
      <c r="L19" s="960" t="s">
        <v>2002</v>
      </c>
      <c r="M19" s="298"/>
    </row>
    <row r="20" spans="2:13" ht="26.25" x14ac:dyDescent="0.25">
      <c r="B20" s="305"/>
      <c r="C20" s="973" t="s">
        <v>2003</v>
      </c>
      <c r="D20" s="1001" t="s">
        <v>610</v>
      </c>
      <c r="E20" s="1002" t="s">
        <v>613</v>
      </c>
      <c r="F20" s="963" t="s">
        <v>1998</v>
      </c>
      <c r="G20" s="964" t="s">
        <v>1982</v>
      </c>
      <c r="H20" s="965" t="s">
        <v>2056</v>
      </c>
      <c r="I20" s="965" t="s">
        <v>2055</v>
      </c>
      <c r="J20" s="965" t="s">
        <v>620</v>
      </c>
      <c r="K20" s="997" t="s">
        <v>2054</v>
      </c>
      <c r="L20" s="966" t="s">
        <v>2008</v>
      </c>
      <c r="M20" s="298"/>
    </row>
    <row r="21" spans="2:13" ht="26.25" x14ac:dyDescent="0.25">
      <c r="B21" s="305"/>
      <c r="C21" s="973" t="s">
        <v>2004</v>
      </c>
      <c r="D21" s="1001" t="s">
        <v>610</v>
      </c>
      <c r="E21" s="1002" t="s">
        <v>613</v>
      </c>
      <c r="F21" s="967" t="s">
        <v>1998</v>
      </c>
      <c r="G21" s="964" t="s">
        <v>1982</v>
      </c>
      <c r="H21" s="965" t="s">
        <v>2005</v>
      </c>
      <c r="I21" s="965" t="s">
        <v>2006</v>
      </c>
      <c r="J21" s="965" t="s">
        <v>620</v>
      </c>
      <c r="K21" s="997" t="s">
        <v>2007</v>
      </c>
      <c r="L21" s="966" t="s">
        <v>2008</v>
      </c>
      <c r="M21" s="298"/>
    </row>
    <row r="22" spans="2:13" x14ac:dyDescent="0.25">
      <c r="B22" s="305"/>
      <c r="C22" s="973"/>
      <c r="D22" s="1001"/>
      <c r="E22" s="1002"/>
      <c r="F22" s="967"/>
      <c r="G22" s="964"/>
      <c r="H22" s="965"/>
      <c r="I22" s="965"/>
      <c r="J22" s="965"/>
      <c r="K22" s="997"/>
      <c r="L22" s="966"/>
      <c r="M22" s="298"/>
    </row>
    <row r="23" spans="2:13" x14ac:dyDescent="0.25">
      <c r="B23" s="305"/>
      <c r="C23" s="973"/>
      <c r="D23" s="1001"/>
      <c r="E23" s="1002"/>
      <c r="F23" s="967"/>
      <c r="G23" s="964"/>
      <c r="H23" s="965"/>
      <c r="I23" s="965"/>
      <c r="J23" s="965"/>
      <c r="K23" s="997"/>
      <c r="L23" s="966"/>
      <c r="M23" s="298"/>
    </row>
    <row r="24" spans="2:13" x14ac:dyDescent="0.25">
      <c r="B24" s="305"/>
      <c r="C24" s="973"/>
      <c r="D24" s="1001"/>
      <c r="E24" s="1002"/>
      <c r="F24" s="967"/>
      <c r="G24" s="964"/>
      <c r="H24" s="965"/>
      <c r="I24" s="965"/>
      <c r="J24" s="965"/>
      <c r="K24" s="997"/>
      <c r="L24" s="966"/>
      <c r="M24" s="298"/>
    </row>
    <row r="25" spans="2:13" x14ac:dyDescent="0.25">
      <c r="B25" s="305"/>
      <c r="C25" s="973"/>
      <c r="D25" s="1001"/>
      <c r="E25" s="1002"/>
      <c r="F25" s="967"/>
      <c r="G25" s="964"/>
      <c r="H25" s="965"/>
      <c r="I25" s="965"/>
      <c r="J25" s="965"/>
      <c r="K25" s="997"/>
      <c r="L25" s="966"/>
      <c r="M25" s="298"/>
    </row>
    <row r="26" spans="2:13" x14ac:dyDescent="0.25">
      <c r="B26" s="305"/>
      <c r="C26" s="1012"/>
      <c r="D26" s="1013"/>
      <c r="E26" s="1014"/>
      <c r="F26" s="1015"/>
      <c r="G26" s="1007"/>
      <c r="H26" s="1008"/>
      <c r="I26" s="1008"/>
      <c r="J26" s="1008"/>
      <c r="K26" s="1010"/>
      <c r="L26" s="1011"/>
      <c r="M26" s="298"/>
    </row>
    <row r="27" spans="2:13" ht="6.75" customHeight="1" thickBot="1" x14ac:dyDescent="0.3">
      <c r="B27" s="305"/>
      <c r="C27" s="1694"/>
      <c r="D27" s="1695"/>
      <c r="E27" s="1695"/>
      <c r="F27" s="1696"/>
      <c r="G27" s="1697"/>
      <c r="H27" s="1698"/>
      <c r="I27" s="1698"/>
      <c r="J27" s="1698"/>
      <c r="K27" s="1698"/>
      <c r="L27" s="1699"/>
      <c r="M27" s="298"/>
    </row>
    <row r="28" spans="2:13" ht="7.5" customHeight="1" x14ac:dyDescent="0.25">
      <c r="B28" s="305"/>
      <c r="C28" s="324"/>
      <c r="D28" s="324"/>
      <c r="E28" s="324"/>
      <c r="F28" s="650"/>
      <c r="G28" s="324"/>
      <c r="H28" s="651"/>
      <c r="I28" s="651"/>
      <c r="J28" s="651"/>
      <c r="K28" s="651"/>
      <c r="L28" s="651"/>
      <c r="M28" s="298"/>
    </row>
    <row r="29" spans="2:13" ht="16.5" thickBot="1" x14ac:dyDescent="0.3">
      <c r="B29" s="299"/>
      <c r="C29" s="314" t="s">
        <v>488</v>
      </c>
      <c r="D29" s="303"/>
      <c r="E29" s="304"/>
      <c r="F29" s="302"/>
      <c r="G29" s="302"/>
      <c r="H29" s="302"/>
      <c r="I29" s="302"/>
      <c r="J29" s="302"/>
      <c r="K29" s="302"/>
      <c r="L29" s="302"/>
      <c r="M29" s="301"/>
    </row>
    <row r="30" spans="2:13" ht="24.75" thickBot="1" x14ac:dyDescent="0.3">
      <c r="B30" s="305"/>
      <c r="C30" s="722" t="s">
        <v>489</v>
      </c>
      <c r="D30" s="976" t="s">
        <v>481</v>
      </c>
      <c r="E30" s="306" t="s">
        <v>482</v>
      </c>
      <c r="F30" s="307" t="s">
        <v>483</v>
      </c>
      <c r="G30" s="307" t="s">
        <v>484</v>
      </c>
      <c r="H30" s="307" t="s">
        <v>512</v>
      </c>
      <c r="I30" s="307" t="s">
        <v>607</v>
      </c>
      <c r="J30" s="307" t="s">
        <v>608</v>
      </c>
      <c r="K30" s="307" t="s">
        <v>515</v>
      </c>
      <c r="L30" s="308" t="s">
        <v>487</v>
      </c>
      <c r="M30" s="298"/>
    </row>
    <row r="31" spans="2:13" ht="26.25" x14ac:dyDescent="0.25">
      <c r="B31" s="309"/>
      <c r="C31" s="974" t="s">
        <v>2009</v>
      </c>
      <c r="D31" s="955" t="s">
        <v>610</v>
      </c>
      <c r="E31" s="956" t="s">
        <v>613</v>
      </c>
      <c r="F31" s="969" t="s">
        <v>1998</v>
      </c>
      <c r="G31" s="958" t="s">
        <v>2010</v>
      </c>
      <c r="H31" s="959" t="s">
        <v>2012</v>
      </c>
      <c r="I31" s="994" t="s">
        <v>604</v>
      </c>
      <c r="J31" s="959" t="s">
        <v>620</v>
      </c>
      <c r="K31" s="996" t="s">
        <v>2013</v>
      </c>
      <c r="L31" s="960" t="s">
        <v>2008</v>
      </c>
      <c r="M31" s="298"/>
    </row>
    <row r="32" spans="2:13" ht="51.75" x14ac:dyDescent="0.25">
      <c r="B32" s="305"/>
      <c r="C32" s="975" t="s">
        <v>2011</v>
      </c>
      <c r="D32" s="961" t="s">
        <v>610</v>
      </c>
      <c r="E32" s="962" t="s">
        <v>614</v>
      </c>
      <c r="F32" s="970" t="s">
        <v>1998</v>
      </c>
      <c r="G32" s="964" t="s">
        <v>1982</v>
      </c>
      <c r="H32" s="965" t="s">
        <v>2052</v>
      </c>
      <c r="I32" s="995" t="s">
        <v>604</v>
      </c>
      <c r="J32" s="965" t="s">
        <v>620</v>
      </c>
      <c r="K32" s="997" t="s">
        <v>2013</v>
      </c>
      <c r="L32" s="966" t="s">
        <v>2053</v>
      </c>
      <c r="M32" s="298"/>
    </row>
    <row r="33" spans="2:13" x14ac:dyDescent="0.25">
      <c r="B33" s="305"/>
      <c r="C33" s="975"/>
      <c r="D33" s="961"/>
      <c r="E33" s="962"/>
      <c r="F33" s="971"/>
      <c r="G33" s="964"/>
      <c r="H33" s="965"/>
      <c r="I33" s="995"/>
      <c r="J33" s="965"/>
      <c r="K33" s="997"/>
      <c r="L33" s="966"/>
      <c r="M33" s="298"/>
    </row>
    <row r="34" spans="2:13" x14ac:dyDescent="0.25">
      <c r="B34" s="305"/>
      <c r="C34" s="975"/>
      <c r="D34" s="961"/>
      <c r="E34" s="962"/>
      <c r="F34" s="971"/>
      <c r="G34" s="964"/>
      <c r="H34" s="965"/>
      <c r="I34" s="995"/>
      <c r="J34" s="965"/>
      <c r="K34" s="997"/>
      <c r="L34" s="966"/>
      <c r="M34" s="298"/>
    </row>
    <row r="35" spans="2:13" x14ac:dyDescent="0.25">
      <c r="B35" s="305"/>
      <c r="C35" s="975"/>
      <c r="D35" s="961"/>
      <c r="E35" s="962"/>
      <c r="F35" s="971"/>
      <c r="G35" s="964"/>
      <c r="H35" s="965"/>
      <c r="I35" s="995"/>
      <c r="J35" s="965"/>
      <c r="K35" s="997"/>
      <c r="L35" s="966"/>
      <c r="M35" s="298"/>
    </row>
    <row r="36" spans="2:13" x14ac:dyDescent="0.25">
      <c r="B36" s="305"/>
      <c r="C36" s="1003"/>
      <c r="D36" s="1004"/>
      <c r="E36" s="1005"/>
      <c r="F36" s="1006"/>
      <c r="G36" s="1007"/>
      <c r="H36" s="1008"/>
      <c r="I36" s="1009"/>
      <c r="J36" s="1008"/>
      <c r="K36" s="1010"/>
      <c r="L36" s="1011"/>
      <c r="M36" s="298"/>
    </row>
    <row r="37" spans="2:13" ht="7.5" customHeight="1" thickBot="1" x14ac:dyDescent="0.3">
      <c r="B37" s="305"/>
      <c r="C37" s="1700"/>
      <c r="D37" s="1696"/>
      <c r="E37" s="1696"/>
      <c r="F37" s="1697"/>
      <c r="G37" s="1697"/>
      <c r="H37" s="1698"/>
      <c r="I37" s="1701"/>
      <c r="J37" s="1698"/>
      <c r="K37" s="1698"/>
      <c r="L37" s="1699"/>
      <c r="M37" s="298"/>
    </row>
    <row r="38" spans="2:13" ht="9" customHeight="1" thickBot="1" x14ac:dyDescent="0.3">
      <c r="B38" s="311"/>
      <c r="C38" s="312"/>
      <c r="D38" s="312"/>
      <c r="E38" s="312"/>
      <c r="F38" s="312"/>
      <c r="G38" s="312"/>
      <c r="H38" s="312"/>
      <c r="I38" s="312"/>
      <c r="J38" s="312"/>
      <c r="K38" s="312"/>
      <c r="L38" s="312"/>
      <c r="M38" s="313"/>
    </row>
    <row r="43" spans="2:13" ht="14.25" customHeight="1" x14ac:dyDescent="0.25"/>
  </sheetData>
  <sheetProtection password="D666" sheet="1" objects="1" scenarios="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headerFooter>
    <oddFooter>&amp;LForm 9C
Project Sponsor Experience&amp;CCFA Forms&amp;REdition: 2016
Version: 1.0</oddFooter>
  </headerFooter>
  <drawing r:id="rId1"/>
  <legacyDrawing r:id="rId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topLeftCell="A16" workbookViewId="0">
      <selection activeCell="U35" sqref="U35"/>
    </sheetView>
  </sheetViews>
  <sheetFormatPr defaultColWidth="8.85546875" defaultRowHeight="15" x14ac:dyDescent="0.25"/>
  <cols>
    <col min="1" max="2" width="1.7109375" style="399" customWidth="1"/>
    <col min="3" max="3" width="27.140625" style="399" customWidth="1"/>
    <col min="4" max="5" width="8.85546875" style="399"/>
    <col min="6" max="6" width="15.28515625" style="399" customWidth="1"/>
    <col min="7" max="7" width="14.28515625" style="399" customWidth="1"/>
    <col min="8" max="9" width="16.42578125" style="399" customWidth="1"/>
    <col min="10" max="10" width="14.85546875" style="399" customWidth="1"/>
    <col min="11" max="11" width="17.140625" style="399" customWidth="1"/>
    <col min="12" max="12" width="1.7109375" style="399" customWidth="1"/>
    <col min="13" max="16384" width="8.85546875" style="399"/>
  </cols>
  <sheetData>
    <row r="14" spans="2:12" ht="7.5" customHeight="1" thickBot="1" x14ac:dyDescent="0.3">
      <c r="B14" s="648"/>
      <c r="C14" s="648"/>
      <c r="D14" s="648"/>
      <c r="E14" s="648"/>
      <c r="F14" s="648"/>
      <c r="G14" s="648"/>
      <c r="H14" s="648"/>
      <c r="I14" s="648"/>
      <c r="J14" s="648"/>
      <c r="K14" s="648"/>
      <c r="L14" s="648"/>
    </row>
    <row r="15" spans="2:12" ht="9" customHeight="1" x14ac:dyDescent="0.3">
      <c r="B15" s="293"/>
      <c r="C15" s="315"/>
      <c r="D15" s="294"/>
      <c r="E15" s="294"/>
      <c r="F15" s="294"/>
      <c r="G15" s="294"/>
      <c r="H15" s="294"/>
      <c r="I15" s="295"/>
      <c r="J15" s="294"/>
      <c r="K15" s="294"/>
      <c r="L15" s="296"/>
    </row>
    <row r="16" spans="2:12" ht="18.75" x14ac:dyDescent="0.3">
      <c r="B16" s="297"/>
      <c r="C16" s="1412" t="s">
        <v>544</v>
      </c>
      <c r="D16" s="710"/>
      <c r="E16" s="710"/>
      <c r="F16" s="710"/>
      <c r="G16" s="710"/>
      <c r="H16" s="710"/>
      <c r="I16" s="710"/>
      <c r="J16" s="710"/>
      <c r="K16" s="710"/>
      <c r="L16" s="298"/>
    </row>
    <row r="17" spans="2:12" ht="15" customHeight="1" x14ac:dyDescent="0.3">
      <c r="B17" s="297"/>
      <c r="C17" s="1403"/>
      <c r="D17" s="723"/>
      <c r="E17" s="723"/>
      <c r="F17" s="723"/>
      <c r="G17" s="723"/>
      <c r="H17" s="723"/>
      <c r="I17" s="723"/>
      <c r="J17" s="723"/>
      <c r="K17" s="723"/>
      <c r="L17" s="298"/>
    </row>
    <row r="18" spans="2:12" ht="15.75" thickBot="1" x14ac:dyDescent="0.3">
      <c r="B18" s="299"/>
      <c r="C18" s="2652" t="str">
        <f>IF('1'!G5="","Enter Project Name on Form 1",(CONCATENATE("Project Name: ",'1'!G5)))</f>
        <v>Project Name: Compass Broadview</v>
      </c>
      <c r="D18" s="2652"/>
      <c r="E18" s="2652"/>
      <c r="F18" s="2652"/>
      <c r="G18" s="2652"/>
      <c r="H18" s="2652"/>
      <c r="I18" s="2652"/>
      <c r="J18" s="2652"/>
      <c r="K18" s="493"/>
      <c r="L18" s="301"/>
    </row>
    <row r="19" spans="2:12" ht="22.5" customHeight="1" x14ac:dyDescent="0.25">
      <c r="B19" s="299"/>
      <c r="C19" s="192"/>
      <c r="D19" s="300"/>
      <c r="E19" s="300"/>
      <c r="F19" s="300"/>
      <c r="G19" s="300"/>
      <c r="H19" s="300"/>
      <c r="I19" s="300"/>
      <c r="J19" s="300"/>
      <c r="K19" s="302"/>
      <c r="L19" s="301"/>
    </row>
    <row r="20" spans="2:12" ht="15.75" customHeight="1" x14ac:dyDescent="0.25">
      <c r="B20" s="299"/>
      <c r="C20" s="319" t="s">
        <v>490</v>
      </c>
      <c r="D20" s="319"/>
      <c r="E20" s="319"/>
      <c r="F20" s="319"/>
      <c r="G20" s="319"/>
      <c r="H20" s="302"/>
      <c r="I20" s="302"/>
      <c r="J20" s="302"/>
      <c r="K20" s="302"/>
      <c r="L20" s="301"/>
    </row>
    <row r="21" spans="2:12" x14ac:dyDescent="0.25">
      <c r="B21" s="305"/>
      <c r="C21" s="1421" t="s">
        <v>491</v>
      </c>
      <c r="D21" s="320" t="str">
        <f>IF('1'!G15="","Enter Development Consultant Firm Name on Form 1A",'1'!G15)</f>
        <v>Bellwether Housing</v>
      </c>
      <c r="E21" s="321"/>
      <c r="F21" s="321"/>
      <c r="G21" s="321"/>
      <c r="H21" s="321"/>
      <c r="I21" s="1016"/>
      <c r="J21" s="322"/>
      <c r="K21" s="649"/>
      <c r="L21" s="316"/>
    </row>
    <row r="22" spans="2:12" ht="3.75" customHeight="1" thickBot="1" x14ac:dyDescent="0.3">
      <c r="B22" s="305"/>
      <c r="C22" s="317"/>
      <c r="D22" s="649"/>
      <c r="E22" s="649"/>
      <c r="F22" s="649"/>
      <c r="G22" s="649"/>
      <c r="H22" s="649"/>
      <c r="I22" s="649"/>
      <c r="J22" s="649"/>
      <c r="K22" s="649"/>
      <c r="L22" s="298"/>
    </row>
    <row r="23" spans="2:12" ht="24.75" thickBot="1" x14ac:dyDescent="0.3">
      <c r="B23" s="305"/>
      <c r="C23" s="323" t="s">
        <v>480</v>
      </c>
      <c r="D23" s="976" t="s">
        <v>481</v>
      </c>
      <c r="E23" s="306" t="s">
        <v>482</v>
      </c>
      <c r="F23" s="307" t="s">
        <v>484</v>
      </c>
      <c r="G23" s="307" t="s">
        <v>512</v>
      </c>
      <c r="H23" s="307" t="s">
        <v>485</v>
      </c>
      <c r="I23" s="976" t="s">
        <v>616</v>
      </c>
      <c r="J23" s="307" t="s">
        <v>486</v>
      </c>
      <c r="K23" s="308" t="s">
        <v>487</v>
      </c>
      <c r="L23" s="298"/>
    </row>
    <row r="24" spans="2:12" ht="26.25" x14ac:dyDescent="0.25">
      <c r="B24" s="309"/>
      <c r="C24" s="979" t="s">
        <v>1981</v>
      </c>
      <c r="D24" s="955" t="s">
        <v>610</v>
      </c>
      <c r="E24" s="956" t="s">
        <v>614</v>
      </c>
      <c r="F24" s="977" t="s">
        <v>1982</v>
      </c>
      <c r="G24" s="790">
        <v>50</v>
      </c>
      <c r="H24" s="2227">
        <v>41214</v>
      </c>
      <c r="I24" s="958" t="s">
        <v>620</v>
      </c>
      <c r="J24" s="959" t="s">
        <v>1983</v>
      </c>
      <c r="K24" s="960" t="s">
        <v>1984</v>
      </c>
      <c r="L24" s="298"/>
    </row>
    <row r="25" spans="2:12" x14ac:dyDescent="0.25">
      <c r="B25" s="305"/>
      <c r="C25" s="980" t="s">
        <v>1985</v>
      </c>
      <c r="D25" s="961" t="s">
        <v>610</v>
      </c>
      <c r="E25" s="962" t="s">
        <v>614</v>
      </c>
      <c r="F25" s="978" t="s">
        <v>1982</v>
      </c>
      <c r="G25" s="967">
        <v>82</v>
      </c>
      <c r="H25" s="2228">
        <v>40179</v>
      </c>
      <c r="I25" s="964" t="s">
        <v>620</v>
      </c>
      <c r="J25" s="965" t="s">
        <v>1986</v>
      </c>
      <c r="K25" s="966" t="s">
        <v>1987</v>
      </c>
      <c r="L25" s="298"/>
    </row>
    <row r="26" spans="2:12" ht="51.75" x14ac:dyDescent="0.25">
      <c r="B26" s="305"/>
      <c r="C26" s="753" t="s">
        <v>1988</v>
      </c>
      <c r="D26" s="961" t="s">
        <v>610</v>
      </c>
      <c r="E26" s="962" t="s">
        <v>613</v>
      </c>
      <c r="F26" s="978" t="s">
        <v>1982</v>
      </c>
      <c r="G26" s="967">
        <v>71</v>
      </c>
      <c r="H26" s="2228">
        <v>39142</v>
      </c>
      <c r="I26" s="964" t="s">
        <v>620</v>
      </c>
      <c r="J26" s="965" t="s">
        <v>1989</v>
      </c>
      <c r="K26" s="966" t="s">
        <v>1990</v>
      </c>
      <c r="L26" s="298"/>
    </row>
    <row r="27" spans="2:12" x14ac:dyDescent="0.25">
      <c r="B27" s="305"/>
      <c r="C27" s="753"/>
      <c r="D27" s="961"/>
      <c r="E27" s="962"/>
      <c r="F27" s="978"/>
      <c r="G27" s="967"/>
      <c r="H27" s="964"/>
      <c r="I27" s="964"/>
      <c r="J27" s="965"/>
      <c r="K27" s="966"/>
      <c r="L27" s="298"/>
    </row>
    <row r="28" spans="2:12" x14ac:dyDescent="0.25">
      <c r="B28" s="305"/>
      <c r="C28" s="753"/>
      <c r="D28" s="961"/>
      <c r="E28" s="962"/>
      <c r="F28" s="978"/>
      <c r="G28" s="967"/>
      <c r="H28" s="964"/>
      <c r="I28" s="964"/>
      <c r="J28" s="965"/>
      <c r="K28" s="966"/>
      <c r="L28" s="298"/>
    </row>
    <row r="29" spans="2:12" x14ac:dyDescent="0.25">
      <c r="B29" s="310"/>
      <c r="C29" s="753"/>
      <c r="D29" s="961"/>
      <c r="E29" s="962"/>
      <c r="F29" s="978"/>
      <c r="G29" s="967"/>
      <c r="H29" s="964"/>
      <c r="I29" s="964"/>
      <c r="J29" s="965"/>
      <c r="K29" s="966"/>
      <c r="L29" s="298"/>
    </row>
    <row r="30" spans="2:12" x14ac:dyDescent="0.25">
      <c r="B30" s="310"/>
      <c r="C30" s="753"/>
      <c r="D30" s="961"/>
      <c r="E30" s="962"/>
      <c r="F30" s="978"/>
      <c r="G30" s="967"/>
      <c r="H30" s="964"/>
      <c r="I30" s="964"/>
      <c r="J30" s="965"/>
      <c r="K30" s="966"/>
      <c r="L30" s="298"/>
    </row>
    <row r="31" spans="2:12" x14ac:dyDescent="0.25">
      <c r="B31" s="305"/>
      <c r="C31" s="753"/>
      <c r="D31" s="961"/>
      <c r="E31" s="962"/>
      <c r="F31" s="978"/>
      <c r="G31" s="967"/>
      <c r="H31" s="964"/>
      <c r="I31" s="964"/>
      <c r="J31" s="965"/>
      <c r="K31" s="966"/>
      <c r="L31" s="298"/>
    </row>
    <row r="32" spans="2:12" ht="7.5" customHeight="1" thickBot="1" x14ac:dyDescent="0.3">
      <c r="B32" s="305"/>
      <c r="C32" s="1553"/>
      <c r="D32" s="1702"/>
      <c r="E32" s="1703"/>
      <c r="F32" s="1704"/>
      <c r="G32" s="1705"/>
      <c r="H32" s="1706"/>
      <c r="I32" s="1706"/>
      <c r="J32" s="1707"/>
      <c r="K32" s="1708"/>
      <c r="L32" s="298"/>
    </row>
    <row r="33" spans="2:12" ht="7.5" customHeight="1" x14ac:dyDescent="0.25">
      <c r="B33" s="299"/>
      <c r="C33" s="317"/>
      <c r="D33" s="324"/>
      <c r="E33" s="324"/>
      <c r="F33" s="324"/>
      <c r="G33" s="324"/>
      <c r="H33" s="324"/>
      <c r="I33" s="324"/>
      <c r="J33" s="324"/>
      <c r="K33" s="324"/>
      <c r="L33" s="301"/>
    </row>
    <row r="34" spans="2:12" ht="16.5" customHeight="1" thickBot="1" x14ac:dyDescent="0.3">
      <c r="B34" s="299"/>
      <c r="C34" s="314" t="s">
        <v>492</v>
      </c>
      <c r="D34" s="314"/>
      <c r="E34" s="314"/>
      <c r="F34" s="314"/>
      <c r="G34" s="314"/>
      <c r="H34" s="302"/>
      <c r="I34" s="302"/>
      <c r="J34" s="302"/>
      <c r="K34" s="302"/>
      <c r="L34" s="301"/>
    </row>
    <row r="35" spans="2:12" ht="24.75" thickBot="1" x14ac:dyDescent="0.3">
      <c r="B35" s="305"/>
      <c r="C35" s="323" t="s">
        <v>489</v>
      </c>
      <c r="D35" s="976" t="s">
        <v>481</v>
      </c>
      <c r="E35" s="306" t="s">
        <v>482</v>
      </c>
      <c r="F35" s="307" t="s">
        <v>484</v>
      </c>
      <c r="G35" s="307" t="s">
        <v>512</v>
      </c>
      <c r="H35" s="307" t="s">
        <v>607</v>
      </c>
      <c r="I35" s="976" t="s">
        <v>616</v>
      </c>
      <c r="J35" s="307" t="s">
        <v>617</v>
      </c>
      <c r="K35" s="308" t="s">
        <v>487</v>
      </c>
      <c r="L35" s="298"/>
    </row>
    <row r="36" spans="2:12" ht="26.25" x14ac:dyDescent="0.25">
      <c r="B36" s="309"/>
      <c r="C36" s="979" t="s">
        <v>1993</v>
      </c>
      <c r="D36" s="981" t="s">
        <v>610</v>
      </c>
      <c r="E36" s="982" t="s">
        <v>613</v>
      </c>
      <c r="F36" s="956" t="s">
        <v>1982</v>
      </c>
      <c r="G36" s="969">
        <v>71</v>
      </c>
      <c r="H36" s="958" t="s">
        <v>603</v>
      </c>
      <c r="I36" s="958" t="s">
        <v>620</v>
      </c>
      <c r="J36" s="959" t="s">
        <v>1992</v>
      </c>
      <c r="K36" s="960" t="s">
        <v>1991</v>
      </c>
      <c r="L36" s="298"/>
    </row>
    <row r="37" spans="2:12" ht="51.75" x14ac:dyDescent="0.25">
      <c r="B37" s="305"/>
      <c r="C37" s="980" t="s">
        <v>1994</v>
      </c>
      <c r="D37" s="983" t="s">
        <v>610</v>
      </c>
      <c r="E37" s="984" t="s">
        <v>613</v>
      </c>
      <c r="F37" s="962" t="s">
        <v>1982</v>
      </c>
      <c r="G37" s="970">
        <v>133</v>
      </c>
      <c r="H37" s="964" t="s">
        <v>603</v>
      </c>
      <c r="I37" s="964" t="s">
        <v>620</v>
      </c>
      <c r="J37" s="965" t="s">
        <v>1995</v>
      </c>
      <c r="K37" s="966" t="s">
        <v>1996</v>
      </c>
      <c r="L37" s="298"/>
    </row>
    <row r="38" spans="2:12" x14ac:dyDescent="0.25">
      <c r="B38" s="305"/>
      <c r="C38" s="753"/>
      <c r="D38" s="983"/>
      <c r="E38" s="984"/>
      <c r="F38" s="962"/>
      <c r="G38" s="971"/>
      <c r="H38" s="964"/>
      <c r="I38" s="964"/>
      <c r="J38" s="965"/>
      <c r="K38" s="966"/>
      <c r="L38" s="298"/>
    </row>
    <row r="39" spans="2:12" x14ac:dyDescent="0.25">
      <c r="B39" s="305"/>
      <c r="C39" s="753"/>
      <c r="D39" s="983"/>
      <c r="E39" s="984"/>
      <c r="F39" s="962"/>
      <c r="G39" s="971"/>
      <c r="H39" s="964"/>
      <c r="I39" s="964"/>
      <c r="J39" s="965"/>
      <c r="K39" s="966"/>
      <c r="L39" s="298"/>
    </row>
    <row r="40" spans="2:12" x14ac:dyDescent="0.25">
      <c r="B40" s="305"/>
      <c r="C40" s="753"/>
      <c r="D40" s="983"/>
      <c r="E40" s="984"/>
      <c r="F40" s="962"/>
      <c r="G40" s="971"/>
      <c r="H40" s="964"/>
      <c r="I40" s="964"/>
      <c r="J40" s="965"/>
      <c r="K40" s="966"/>
      <c r="L40" s="298"/>
    </row>
    <row r="41" spans="2:12" x14ac:dyDescent="0.25">
      <c r="B41" s="305"/>
      <c r="C41" s="1018"/>
      <c r="D41" s="1019"/>
      <c r="E41" s="1020"/>
      <c r="F41" s="1005"/>
      <c r="G41" s="1006"/>
      <c r="H41" s="1007"/>
      <c r="I41" s="1007"/>
      <c r="J41" s="1008"/>
      <c r="K41" s="1011"/>
      <c r="L41" s="298"/>
    </row>
    <row r="42" spans="2:12" ht="7.5" customHeight="1" thickBot="1" x14ac:dyDescent="0.3">
      <c r="B42" s="305"/>
      <c r="C42" s="1553"/>
      <c r="D42" s="1709"/>
      <c r="E42" s="1710"/>
      <c r="F42" s="1703"/>
      <c r="G42" s="1706"/>
      <c r="H42" s="1706"/>
      <c r="I42" s="1706"/>
      <c r="J42" s="1707"/>
      <c r="K42" s="1708"/>
      <c r="L42" s="298"/>
    </row>
    <row r="43" spans="2:12" ht="9" customHeight="1" thickBot="1" x14ac:dyDescent="0.3">
      <c r="B43" s="311"/>
      <c r="C43" s="318"/>
      <c r="D43" s="312"/>
      <c r="E43" s="312"/>
      <c r="F43" s="312"/>
      <c r="G43" s="312"/>
      <c r="H43" s="312"/>
      <c r="I43" s="312"/>
      <c r="J43" s="312"/>
      <c r="K43" s="312"/>
      <c r="L43" s="313"/>
    </row>
  </sheetData>
  <sheetProtection password="D666" sheet="1" objects="1" scenarios="1" formatCells="0" formatColumns="0" formatRows="0" insertRows="0"/>
  <mergeCells count="1">
    <mergeCell ref="C18:J18"/>
  </mergeCells>
  <dataValidations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headerFooter>
    <oddFooter>&amp;LForm 9D
Project Development Consultant Experience&amp;CCFA Forms&amp;REdition: 2016
Version: 1.0</oddFooter>
  </headerFooter>
  <drawing r:id="rId1"/>
  <legacy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workbookViewId="0">
      <selection activeCell="I20" sqref="I20"/>
    </sheetView>
  </sheetViews>
  <sheetFormatPr defaultColWidth="8.85546875" defaultRowHeight="15" x14ac:dyDescent="0.25"/>
  <cols>
    <col min="1" max="2" width="1.7109375" style="399" customWidth="1"/>
    <col min="3" max="3" width="25.7109375" style="399" customWidth="1"/>
    <col min="4" max="4" width="14.28515625" style="399" customWidth="1"/>
    <col min="5" max="5" width="8.42578125" style="399" customWidth="1"/>
    <col min="6" max="6" width="22.85546875" style="399" customWidth="1"/>
    <col min="7" max="8" width="14.28515625" style="399" customWidth="1"/>
    <col min="9" max="9" width="12.85546875" style="399" customWidth="1"/>
    <col min="10" max="10" width="1.7109375" style="399" customWidth="1"/>
    <col min="11" max="16384" width="8.85546875" style="399"/>
  </cols>
  <sheetData>
    <row r="5" spans="2:10" ht="19.5" customHeight="1" x14ac:dyDescent="0.25"/>
    <row r="6" spans="2:10" ht="7.5" customHeight="1" thickBot="1" x14ac:dyDescent="0.3">
      <c r="B6" s="648"/>
      <c r="C6" s="648"/>
      <c r="D6" s="648"/>
      <c r="E6" s="648"/>
      <c r="F6" s="648"/>
      <c r="G6" s="648"/>
      <c r="H6" s="648"/>
      <c r="I6" s="648"/>
      <c r="J6" s="648"/>
    </row>
    <row r="7" spans="2:10" ht="9" customHeight="1" x14ac:dyDescent="0.25">
      <c r="B7" s="325"/>
      <c r="C7" s="294"/>
      <c r="D7" s="294"/>
      <c r="E7" s="294"/>
      <c r="F7" s="294"/>
      <c r="G7" s="294"/>
      <c r="H7" s="294"/>
      <c r="I7" s="294"/>
      <c r="J7" s="296"/>
    </row>
    <row r="8" spans="2:10" ht="18.75" x14ac:dyDescent="0.3">
      <c r="B8" s="326"/>
      <c r="C8" s="1412" t="s">
        <v>545</v>
      </c>
      <c r="D8" s="710"/>
      <c r="E8" s="710"/>
      <c r="F8" s="710"/>
      <c r="G8" s="710"/>
      <c r="H8" s="710"/>
      <c r="I8" s="710"/>
      <c r="J8" s="298"/>
    </row>
    <row r="9" spans="2:10" x14ac:dyDescent="0.25">
      <c r="B9" s="326"/>
      <c r="C9" s="723"/>
      <c r="D9" s="723"/>
      <c r="E9" s="723"/>
      <c r="F9" s="723"/>
      <c r="G9" s="723"/>
      <c r="H9" s="723"/>
      <c r="I9" s="723"/>
      <c r="J9" s="298"/>
    </row>
    <row r="10" spans="2:10" ht="15.75" thickBot="1" x14ac:dyDescent="0.3">
      <c r="B10" s="299"/>
      <c r="C10" s="2652" t="str">
        <f>IF('1'!G5="","Enter Project Name on Form 1",(CONCATENATE("Project Name: ",'1'!G5)))</f>
        <v>Project Name: Compass Broadview</v>
      </c>
      <c r="D10" s="2652"/>
      <c r="E10" s="2652"/>
      <c r="F10" s="2652"/>
      <c r="G10" s="2652"/>
      <c r="H10" s="367"/>
      <c r="I10" s="367"/>
      <c r="J10" s="301"/>
    </row>
    <row r="11" spans="2:10" x14ac:dyDescent="0.25">
      <c r="B11" s="305"/>
      <c r="C11" s="723"/>
      <c r="D11" s="649"/>
      <c r="E11" s="649"/>
      <c r="F11" s="649"/>
      <c r="G11" s="649"/>
      <c r="H11" s="327"/>
      <c r="I11" s="327"/>
      <c r="J11" s="316"/>
    </row>
    <row r="12" spans="2:10" x14ac:dyDescent="0.25">
      <c r="B12" s="305"/>
      <c r="C12" s="1884" t="s">
        <v>493</v>
      </c>
      <c r="D12" s="2653" t="str">
        <f>IF('9A'!D55="","Enter Property Management Firm Name on Form 9A",'9A'!D55)</f>
        <v>Compass Housing Alliance</v>
      </c>
      <c r="E12" s="2653"/>
      <c r="F12" s="2653"/>
      <c r="G12" s="2653"/>
      <c r="H12" s="2653"/>
      <c r="I12" s="2654"/>
      <c r="J12" s="316"/>
    </row>
    <row r="13" spans="2:10" ht="15.75" thickBot="1" x14ac:dyDescent="0.3">
      <c r="B13" s="305"/>
      <c r="C13" s="324"/>
      <c r="D13" s="324"/>
      <c r="E13" s="649"/>
      <c r="F13" s="649"/>
      <c r="G13" s="649"/>
      <c r="H13" s="649"/>
      <c r="I13" s="649"/>
      <c r="J13" s="298"/>
    </row>
    <row r="14" spans="2:10" ht="36.75" thickBot="1" x14ac:dyDescent="0.3">
      <c r="B14" s="305"/>
      <c r="C14" s="323" t="s">
        <v>494</v>
      </c>
      <c r="D14" s="307" t="s">
        <v>484</v>
      </c>
      <c r="E14" s="307" t="s">
        <v>512</v>
      </c>
      <c r="F14" s="307" t="s">
        <v>495</v>
      </c>
      <c r="G14" s="307" t="s">
        <v>496</v>
      </c>
      <c r="H14" s="307" t="s">
        <v>513</v>
      </c>
      <c r="I14" s="308" t="s">
        <v>514</v>
      </c>
      <c r="J14" s="298"/>
    </row>
    <row r="15" spans="2:10" ht="26.25" x14ac:dyDescent="0.25">
      <c r="B15" s="309"/>
      <c r="C15" s="1885" t="s">
        <v>2009</v>
      </c>
      <c r="D15" s="985" t="s">
        <v>2010</v>
      </c>
      <c r="E15" s="986" t="s">
        <v>2057</v>
      </c>
      <c r="F15" s="991" t="s">
        <v>2058</v>
      </c>
      <c r="G15" s="986" t="s">
        <v>2070</v>
      </c>
      <c r="H15" s="986" t="s">
        <v>2071</v>
      </c>
      <c r="I15" s="960" t="s">
        <v>2059</v>
      </c>
      <c r="J15" s="298"/>
    </row>
    <row r="16" spans="2:10" ht="26.25" x14ac:dyDescent="0.25">
      <c r="B16" s="305"/>
      <c r="C16" s="1883" t="s">
        <v>2060</v>
      </c>
      <c r="D16" s="987" t="s">
        <v>1982</v>
      </c>
      <c r="E16" s="988" t="s">
        <v>2056</v>
      </c>
      <c r="F16" s="992" t="s">
        <v>2058</v>
      </c>
      <c r="G16" s="988" t="s">
        <v>2054</v>
      </c>
      <c r="H16" s="988" t="s">
        <v>2071</v>
      </c>
      <c r="I16" s="966" t="s">
        <v>2061</v>
      </c>
      <c r="J16" s="298"/>
    </row>
    <row r="17" spans="2:10" ht="26.25" x14ac:dyDescent="0.25">
      <c r="B17" s="305"/>
      <c r="C17" s="1881" t="s">
        <v>2062</v>
      </c>
      <c r="D17" s="987" t="s">
        <v>1982</v>
      </c>
      <c r="E17" s="988" t="s">
        <v>1999</v>
      </c>
      <c r="F17" s="992" t="s">
        <v>2058</v>
      </c>
      <c r="G17" s="988" t="s">
        <v>2055</v>
      </c>
      <c r="H17" s="988" t="s">
        <v>2071</v>
      </c>
      <c r="I17" s="966" t="s">
        <v>2061</v>
      </c>
      <c r="J17" s="298"/>
    </row>
    <row r="18" spans="2:10" ht="26.25" x14ac:dyDescent="0.25">
      <c r="B18" s="305"/>
      <c r="C18" s="1881" t="s">
        <v>2004</v>
      </c>
      <c r="D18" s="987" t="s">
        <v>1982</v>
      </c>
      <c r="E18" s="988" t="s">
        <v>2005</v>
      </c>
      <c r="F18" s="992" t="s">
        <v>2063</v>
      </c>
      <c r="G18" s="988" t="s">
        <v>2055</v>
      </c>
      <c r="H18" s="988" t="s">
        <v>2071</v>
      </c>
      <c r="I18" s="966" t="s">
        <v>2061</v>
      </c>
      <c r="J18" s="298"/>
    </row>
    <row r="19" spans="2:10" ht="26.25" x14ac:dyDescent="0.25">
      <c r="B19" s="305"/>
      <c r="C19" s="1881" t="s">
        <v>2064</v>
      </c>
      <c r="D19" s="987" t="s">
        <v>1982</v>
      </c>
      <c r="E19" s="988" t="s">
        <v>2065</v>
      </c>
      <c r="F19" s="992" t="s">
        <v>2058</v>
      </c>
      <c r="G19" s="988" t="s">
        <v>2072</v>
      </c>
      <c r="H19" s="988" t="s">
        <v>2071</v>
      </c>
      <c r="I19" s="966" t="s">
        <v>2061</v>
      </c>
      <c r="J19" s="298"/>
    </row>
    <row r="20" spans="2:10" x14ac:dyDescent="0.25">
      <c r="B20" s="310"/>
      <c r="C20" s="1881"/>
      <c r="D20" s="987"/>
      <c r="E20" s="988"/>
      <c r="F20" s="992"/>
      <c r="G20" s="988"/>
      <c r="H20" s="988"/>
      <c r="I20" s="966"/>
      <c r="J20" s="298"/>
    </row>
    <row r="21" spans="2:10" x14ac:dyDescent="0.25">
      <c r="B21" s="310"/>
      <c r="C21" s="1881"/>
      <c r="D21" s="987"/>
      <c r="E21" s="988"/>
      <c r="F21" s="992"/>
      <c r="G21" s="988"/>
      <c r="H21" s="988"/>
      <c r="I21" s="966"/>
      <c r="J21" s="298"/>
    </row>
    <row r="22" spans="2:10" x14ac:dyDescent="0.25">
      <c r="B22" s="310"/>
      <c r="C22" s="1881"/>
      <c r="D22" s="987"/>
      <c r="E22" s="988"/>
      <c r="F22" s="992"/>
      <c r="G22" s="988"/>
      <c r="H22" s="988"/>
      <c r="I22" s="966"/>
      <c r="J22" s="298"/>
    </row>
    <row r="23" spans="2:10" x14ac:dyDescent="0.25">
      <c r="B23" s="305"/>
      <c r="C23" s="1881"/>
      <c r="D23" s="987"/>
      <c r="E23" s="988"/>
      <c r="F23" s="992"/>
      <c r="G23" s="988"/>
      <c r="H23" s="988"/>
      <c r="I23" s="966"/>
      <c r="J23" s="298"/>
    </row>
    <row r="24" spans="2:10" ht="15.75" thickBot="1" x14ac:dyDescent="0.3">
      <c r="B24" s="305"/>
      <c r="C24" s="1882"/>
      <c r="D24" s="989"/>
      <c r="E24" s="990"/>
      <c r="F24" s="993"/>
      <c r="G24" s="990"/>
      <c r="H24" s="990"/>
      <c r="I24" s="968"/>
      <c r="J24" s="298"/>
    </row>
    <row r="25" spans="2:10" ht="9" customHeight="1" thickBot="1" x14ac:dyDescent="0.3">
      <c r="B25" s="311"/>
      <c r="C25" s="312"/>
      <c r="D25" s="312"/>
      <c r="E25" s="312"/>
      <c r="F25" s="312"/>
      <c r="G25" s="312"/>
      <c r="H25" s="312"/>
      <c r="I25" s="312"/>
      <c r="J25" s="313"/>
    </row>
  </sheetData>
  <sheetProtection password="D666" sheet="1" objects="1" scenarios="1" formatCells="0" formatColumns="0" formatRows="0" insertRows="0"/>
  <mergeCells count="2">
    <mergeCell ref="C10:G10"/>
    <mergeCell ref="D12:I12"/>
  </mergeCells>
  <pageMargins left="0.7" right="0.7" top="0.75" bottom="0.75" header="0.3" footer="0.3"/>
  <pageSetup orientation="landscape"/>
  <headerFooter>
    <oddFooter>&amp;LForm 9E
Project Property Management Firm Experience&amp;CCFA Forms&amp;REdition: 2016
Version: 1.0</oddFooter>
  </headerFooter>
  <drawing r:id="rId1"/>
  <legacyDrawing r:id="rId2"/>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57"/>
  <sheetViews>
    <sheetView showGridLines="0" view="pageLayout" zoomScale="125" zoomScaleNormal="125" zoomScalePageLayoutView="125" workbookViewId="0">
      <selection activeCell="U35" sqref="U35"/>
    </sheetView>
  </sheetViews>
  <sheetFormatPr defaultColWidth="8.85546875" defaultRowHeight="15" x14ac:dyDescent="0.25"/>
  <cols>
    <col min="1" max="2" width="1.7109375" style="1424" customWidth="1"/>
    <col min="3" max="4" width="3.42578125" style="1424" customWidth="1"/>
    <col min="5" max="5" width="2.85546875" style="1424" customWidth="1"/>
    <col min="6" max="6" width="10.42578125" style="1424" customWidth="1"/>
    <col min="7" max="7" width="9.140625" style="1424" customWidth="1"/>
    <col min="8" max="8" width="10.85546875" style="1424" customWidth="1"/>
    <col min="9" max="9" width="12.28515625" style="1424" customWidth="1"/>
    <col min="10" max="10" width="9.85546875" style="1424" customWidth="1"/>
    <col min="11" max="11" width="7.42578125" style="1424" customWidth="1"/>
    <col min="12" max="12" width="15.42578125" style="1424" customWidth="1"/>
    <col min="13" max="13" width="12" style="1424" bestFit="1" customWidth="1"/>
    <col min="14" max="14" width="9.140625" style="1424" customWidth="1"/>
    <col min="15" max="16" width="1.7109375" style="1424" customWidth="1"/>
    <col min="17" max="16384" width="8.85546875" style="1424"/>
  </cols>
  <sheetData>
    <row r="1" spans="2:16" s="1425" customFormat="1" x14ac:dyDescent="0.25"/>
    <row r="2" spans="2:16" s="1425" customFormat="1" x14ac:dyDescent="0.25"/>
    <row r="3" spans="2:16" s="1425" customFormat="1" x14ac:dyDescent="0.25"/>
    <row r="4" spans="2:16" s="1425" customFormat="1" x14ac:dyDescent="0.25"/>
    <row r="5" spans="2:16" s="1425" customFormat="1" x14ac:dyDescent="0.25"/>
    <row r="6" spans="2:16" s="1425" customFormat="1" x14ac:dyDescent="0.25"/>
    <row r="7" spans="2:16" s="1425" customFormat="1" x14ac:dyDescent="0.25"/>
    <row r="8" spans="2:16" s="1425" customFormat="1" x14ac:dyDescent="0.25"/>
    <row r="9" spans="2:16" s="1425" customFormat="1" x14ac:dyDescent="0.25"/>
    <row r="10" spans="2:16" s="1425" customFormat="1" x14ac:dyDescent="0.25"/>
    <row r="11" spans="2:16" s="1425" customFormat="1" x14ac:dyDescent="0.25"/>
    <row r="12" spans="2:16" s="1425" customFormat="1" x14ac:dyDescent="0.25"/>
    <row r="13" spans="2:16" s="1425" customFormat="1" ht="4.5" customHeight="1" thickBot="1" x14ac:dyDescent="0.3"/>
    <row r="14" spans="2:16" s="1425" customFormat="1" x14ac:dyDescent="0.25">
      <c r="B14" s="1483"/>
      <c r="C14" s="1477"/>
      <c r="D14" s="1477"/>
      <c r="E14" s="1477"/>
      <c r="F14" s="1477"/>
      <c r="G14" s="1477"/>
      <c r="H14" s="1477"/>
      <c r="I14" s="1477"/>
      <c r="J14" s="1477"/>
      <c r="K14" s="1477"/>
      <c r="L14" s="1477"/>
      <c r="M14" s="1477"/>
      <c r="N14" s="1477"/>
      <c r="O14" s="1477"/>
      <c r="P14" s="1478"/>
    </row>
    <row r="15" spans="2:16" s="1425" customFormat="1" ht="18.75" x14ac:dyDescent="0.3">
      <c r="B15" s="1482"/>
      <c r="C15" s="2659" t="s">
        <v>1677</v>
      </c>
      <c r="D15" s="2659"/>
      <c r="E15" s="2659"/>
      <c r="F15" s="2659"/>
      <c r="G15" s="2659"/>
      <c r="H15" s="2659"/>
      <c r="I15" s="2659"/>
      <c r="J15" s="2659"/>
      <c r="K15" s="2659"/>
      <c r="L15" s="2659"/>
      <c r="M15" s="2659"/>
      <c r="N15" s="2659"/>
      <c r="O15" s="2659"/>
      <c r="P15" s="1473"/>
    </row>
    <row r="16" spans="2:16" s="1425" customFormat="1" ht="7.5" customHeight="1" x14ac:dyDescent="0.25">
      <c r="B16" s="1482"/>
      <c r="C16" s="1445"/>
      <c r="D16" s="1445"/>
      <c r="E16" s="1445"/>
      <c r="F16" s="1445"/>
      <c r="G16" s="1445"/>
      <c r="H16" s="1445"/>
      <c r="I16" s="1445"/>
      <c r="J16" s="1445"/>
      <c r="K16" s="1445"/>
      <c r="L16" s="1445"/>
      <c r="M16" s="1445"/>
      <c r="N16" s="1445"/>
      <c r="O16" s="1445"/>
      <c r="P16" s="1473"/>
    </row>
    <row r="17" spans="2:16" s="1425" customFormat="1" ht="15.75" thickBot="1" x14ac:dyDescent="0.3">
      <c r="B17" s="1482"/>
      <c r="C17" s="2701" t="str">
        <f>IF('1'!G5="","Enter Project Name on Form 1",(CONCATENATE("Project Name: ",'1'!G5)))</f>
        <v>Project Name: Compass Broadview</v>
      </c>
      <c r="D17" s="2701"/>
      <c r="E17" s="2701"/>
      <c r="F17" s="2701"/>
      <c r="G17" s="2701"/>
      <c r="H17" s="2701"/>
      <c r="I17" s="2701"/>
      <c r="J17" s="2701"/>
      <c r="K17" s="2701"/>
      <c r="L17" s="2701"/>
      <c r="M17"/>
      <c r="N17" s="1424"/>
      <c r="O17" s="1424"/>
      <c r="P17" s="1474"/>
    </row>
    <row r="18" spans="2:16" ht="15" customHeight="1" x14ac:dyDescent="0.25">
      <c r="B18" s="1479"/>
      <c r="C18" s="1448"/>
      <c r="D18" s="1448"/>
      <c r="E18" s="1448"/>
      <c r="F18" s="1448"/>
      <c r="G18" s="1448"/>
      <c r="H18" s="1448"/>
      <c r="I18" s="1448"/>
      <c r="J18" s="1448"/>
      <c r="K18" s="1448"/>
      <c r="L18" s="1448"/>
      <c r="M18" s="2655"/>
      <c r="N18" s="2657" t="s">
        <v>1166</v>
      </c>
      <c r="P18" s="1474"/>
    </row>
    <row r="19" spans="2:16" x14ac:dyDescent="0.25">
      <c r="B19" s="1479"/>
      <c r="C19" s="1448"/>
      <c r="D19" s="1448"/>
      <c r="E19" s="1448"/>
      <c r="F19" s="1454"/>
      <c r="G19" s="1448"/>
      <c r="H19" s="1448"/>
      <c r="I19" s="1448"/>
      <c r="J19" s="1448"/>
      <c r="K19" s="1448"/>
      <c r="L19" s="1448"/>
      <c r="M19" s="2656"/>
      <c r="N19" s="2658"/>
      <c r="P19" s="1474"/>
    </row>
    <row r="20" spans="2:16" x14ac:dyDescent="0.25">
      <c r="B20" s="1479"/>
      <c r="C20" s="1459">
        <v>1</v>
      </c>
      <c r="D20" s="1460" t="s">
        <v>1167</v>
      </c>
      <c r="E20" s="1460"/>
      <c r="F20" s="1461"/>
      <c r="G20" s="1462"/>
      <c r="H20" s="1462"/>
      <c r="I20" s="1462"/>
      <c r="J20" s="1462"/>
      <c r="K20" s="1462"/>
      <c r="L20" s="1462"/>
      <c r="M20" s="1463"/>
      <c r="N20" s="1711">
        <v>60</v>
      </c>
      <c r="P20" s="1474"/>
    </row>
    <row r="21" spans="2:16" ht="7.5" customHeight="1" x14ac:dyDescent="0.25">
      <c r="B21" s="1479"/>
      <c r="C21" s="1448"/>
      <c r="D21" s="1459"/>
      <c r="E21" s="1459"/>
      <c r="F21" s="1464"/>
      <c r="G21" s="1459"/>
      <c r="H21" s="1459"/>
      <c r="I21" s="1459"/>
      <c r="J21" s="1459"/>
      <c r="K21" s="1459"/>
      <c r="L21" s="1459"/>
      <c r="M21" s="1459"/>
      <c r="N21" s="1459"/>
      <c r="P21" s="1474"/>
    </row>
    <row r="22" spans="2:16" x14ac:dyDescent="0.25">
      <c r="B22" s="1479"/>
      <c r="C22" s="1448"/>
      <c r="D22" s="1459" t="s">
        <v>1168</v>
      </c>
      <c r="E22" s="1448"/>
      <c r="F22" s="1464"/>
      <c r="G22" s="1459"/>
      <c r="H22" s="1459"/>
      <c r="I22" s="1459"/>
      <c r="J22" s="1459"/>
      <c r="K22" s="1459"/>
      <c r="L22" s="1459"/>
      <c r="M22" s="1459"/>
      <c r="N22" s="1459"/>
      <c r="P22" s="1474"/>
    </row>
    <row r="23" spans="2:16" x14ac:dyDescent="0.25">
      <c r="B23" s="1479"/>
      <c r="C23" s="1448"/>
      <c r="D23" s="1459"/>
      <c r="E23" s="1485"/>
      <c r="F23" s="1454" t="s">
        <v>1169</v>
      </c>
      <c r="G23" s="1447"/>
      <c r="H23" s="1447"/>
      <c r="I23" s="2660" t="s">
        <v>1170</v>
      </c>
      <c r="J23" s="2661"/>
      <c r="K23" s="2661"/>
      <c r="L23" s="2661"/>
      <c r="M23" s="2661"/>
      <c r="N23" s="1486"/>
      <c r="P23" s="1474"/>
    </row>
    <row r="24" spans="2:16" x14ac:dyDescent="0.25">
      <c r="B24" s="1479"/>
      <c r="C24" s="1448"/>
      <c r="D24" s="1459"/>
      <c r="E24" s="1485"/>
      <c r="F24" s="1446" t="s">
        <v>1171</v>
      </c>
      <c r="G24" s="1447"/>
      <c r="H24" s="1447"/>
      <c r="I24" s="2660" t="s">
        <v>1172</v>
      </c>
      <c r="J24" s="2661"/>
      <c r="K24" s="2661"/>
      <c r="L24" s="2661"/>
      <c r="M24" s="2661"/>
      <c r="N24" s="1486"/>
      <c r="P24" s="1474"/>
    </row>
    <row r="25" spans="2:16" s="1425" customFormat="1" ht="4.5" customHeight="1" x14ac:dyDescent="0.25">
      <c r="B25" s="1482"/>
      <c r="C25" s="1358"/>
      <c r="D25" s="1358"/>
      <c r="E25" s="1358"/>
      <c r="F25" s="1358"/>
      <c r="G25" s="1358"/>
      <c r="H25" s="1358"/>
      <c r="I25" s="1358"/>
      <c r="J25" s="1358"/>
      <c r="K25" s="1358"/>
      <c r="L25" s="1358"/>
      <c r="M25" s="1358"/>
      <c r="N25" s="1358"/>
      <c r="P25" s="1484"/>
    </row>
    <row r="26" spans="2:16" x14ac:dyDescent="0.25">
      <c r="B26" s="1479"/>
      <c r="C26" s="1448"/>
      <c r="D26" s="1448"/>
      <c r="E26" s="1485"/>
      <c r="F26" s="1448" t="s">
        <v>1173</v>
      </c>
      <c r="G26" s="1448"/>
      <c r="H26" s="1448"/>
      <c r="I26" s="2660" t="s">
        <v>1294</v>
      </c>
      <c r="J26" s="2661"/>
      <c r="K26" s="2661"/>
      <c r="L26" s="2661"/>
      <c r="M26" s="2661"/>
      <c r="N26" s="1486"/>
      <c r="P26" s="1474"/>
    </row>
    <row r="27" spans="2:16" x14ac:dyDescent="0.25">
      <c r="B27" s="1479"/>
      <c r="C27" s="1448"/>
      <c r="D27" s="1459"/>
      <c r="E27" s="1485"/>
      <c r="F27" s="1446" t="s">
        <v>1171</v>
      </c>
      <c r="G27" s="1447"/>
      <c r="H27" s="1447"/>
      <c r="I27" s="2660" t="s">
        <v>1836</v>
      </c>
      <c r="J27" s="2661"/>
      <c r="K27" s="2661"/>
      <c r="L27" s="2661"/>
      <c r="M27" s="2661"/>
      <c r="N27" s="1486"/>
      <c r="P27" s="1474"/>
    </row>
    <row r="28" spans="2:16" x14ac:dyDescent="0.25">
      <c r="B28" s="1479"/>
      <c r="C28" s="1448"/>
      <c r="D28" s="1448"/>
      <c r="E28" s="1485"/>
      <c r="F28" s="1448"/>
      <c r="G28" s="1448"/>
      <c r="H28" s="1448"/>
      <c r="I28" s="1448"/>
      <c r="J28" s="1448"/>
      <c r="K28" s="1448"/>
      <c r="L28" s="1448"/>
      <c r="M28" s="1448"/>
      <c r="N28" s="1448"/>
      <c r="P28" s="1474"/>
    </row>
    <row r="29" spans="2:16" x14ac:dyDescent="0.25">
      <c r="B29" s="1479"/>
      <c r="C29" s="1448"/>
      <c r="D29" s="1448"/>
      <c r="E29" s="1448"/>
      <c r="F29" s="1497" t="s">
        <v>1175</v>
      </c>
      <c r="G29" s="1498"/>
      <c r="H29" s="1498"/>
      <c r="I29" s="1498"/>
      <c r="J29" s="1498"/>
      <c r="K29" s="1498"/>
      <c r="L29" s="1498"/>
      <c r="M29" s="1499"/>
      <c r="N29" s="1448"/>
      <c r="P29" s="1474"/>
    </row>
    <row r="30" spans="2:16" ht="28.5" customHeight="1" x14ac:dyDescent="0.25">
      <c r="B30" s="1479"/>
      <c r="C30" s="1448"/>
      <c r="D30" s="1448"/>
      <c r="E30" s="1448"/>
      <c r="F30" s="1500" t="s">
        <v>1176</v>
      </c>
      <c r="G30" s="1469"/>
      <c r="H30" s="1487" t="s">
        <v>1177</v>
      </c>
      <c r="I30" s="1469"/>
      <c r="J30" s="1487" t="s">
        <v>1178</v>
      </c>
      <c r="K30" s="1448"/>
      <c r="L30" s="1448"/>
      <c r="M30" s="1501"/>
      <c r="N30" s="1448"/>
      <c r="P30" s="1474"/>
    </row>
    <row r="31" spans="2:16" x14ac:dyDescent="0.25">
      <c r="B31" s="1479"/>
      <c r="C31" s="1448"/>
      <c r="D31" s="1448"/>
      <c r="E31" s="1448"/>
      <c r="F31" s="1712">
        <v>0</v>
      </c>
      <c r="G31" s="1488" t="s">
        <v>1179</v>
      </c>
      <c r="H31" s="1488" t="s">
        <v>1180</v>
      </c>
      <c r="I31" s="1488" t="s">
        <v>374</v>
      </c>
      <c r="J31" s="1714">
        <v>30</v>
      </c>
      <c r="K31" s="1448"/>
      <c r="L31" s="1448"/>
      <c r="M31" s="1501"/>
      <c r="N31" s="1448"/>
      <c r="P31" s="1474"/>
    </row>
    <row r="32" spans="2:16" x14ac:dyDescent="0.25">
      <c r="B32" s="1479"/>
      <c r="C32" s="1448"/>
      <c r="D32" s="1448"/>
      <c r="E32" s="1448"/>
      <c r="F32" s="1712">
        <v>0</v>
      </c>
      <c r="G32" s="1488" t="s">
        <v>1179</v>
      </c>
      <c r="H32" s="1488" t="s">
        <v>1181</v>
      </c>
      <c r="I32" s="1488" t="s">
        <v>374</v>
      </c>
      <c r="J32" s="1714">
        <v>0</v>
      </c>
      <c r="K32" s="1448"/>
      <c r="L32" s="1448"/>
      <c r="M32" s="1501"/>
      <c r="N32" s="1448"/>
      <c r="P32" s="1474"/>
    </row>
    <row r="33" spans="2:16" x14ac:dyDescent="0.25">
      <c r="B33" s="1479"/>
      <c r="C33" s="1448"/>
      <c r="D33" s="1448"/>
      <c r="E33" s="1448"/>
      <c r="F33" s="1713">
        <v>0</v>
      </c>
      <c r="G33" s="1489" t="s">
        <v>1179</v>
      </c>
      <c r="H33" s="1488" t="s">
        <v>1182</v>
      </c>
      <c r="I33" s="1488" t="s">
        <v>374</v>
      </c>
      <c r="J33" s="1714">
        <v>29</v>
      </c>
      <c r="K33" s="1448"/>
      <c r="L33" s="1448"/>
      <c r="M33" s="1501"/>
      <c r="N33" s="1448"/>
      <c r="P33" s="1474"/>
    </row>
    <row r="34" spans="2:16" x14ac:dyDescent="0.25">
      <c r="B34" s="1479"/>
      <c r="C34" s="1448"/>
      <c r="D34" s="1448"/>
      <c r="E34" s="1448"/>
      <c r="F34" s="1712">
        <v>0</v>
      </c>
      <c r="G34" s="1488" t="s">
        <v>1179</v>
      </c>
      <c r="H34" s="1488" t="s">
        <v>1183</v>
      </c>
      <c r="I34" s="1488" t="s">
        <v>374</v>
      </c>
      <c r="J34" s="1714">
        <v>0</v>
      </c>
      <c r="K34" s="1448"/>
      <c r="L34" s="1448"/>
      <c r="M34" s="1501"/>
      <c r="N34" s="1448"/>
      <c r="P34" s="1474"/>
    </row>
    <row r="35" spans="2:16" x14ac:dyDescent="0.25">
      <c r="B35" s="1479"/>
      <c r="C35" s="1448"/>
      <c r="D35" s="1448"/>
      <c r="E35" s="1448"/>
      <c r="F35" s="1502"/>
      <c r="G35" s="1503"/>
      <c r="H35" s="1503"/>
      <c r="I35" s="1503"/>
      <c r="J35" s="1504">
        <f>SUM(J31:J34)</f>
        <v>59</v>
      </c>
      <c r="K35" s="1505" t="s">
        <v>1184</v>
      </c>
      <c r="L35" s="1503"/>
      <c r="M35" s="1506"/>
      <c r="N35" s="1448"/>
      <c r="P35" s="1474"/>
    </row>
    <row r="36" spans="2:16" x14ac:dyDescent="0.25">
      <c r="B36" s="1479"/>
      <c r="C36" s="1448"/>
      <c r="D36" s="1448"/>
      <c r="E36" s="1448"/>
      <c r="F36" s="1448"/>
      <c r="G36" s="1448"/>
      <c r="H36" s="1448"/>
      <c r="I36" s="1448"/>
      <c r="J36" s="1490"/>
      <c r="K36" s="1464"/>
      <c r="L36" s="1448"/>
      <c r="M36" s="1448"/>
      <c r="N36" s="1448"/>
      <c r="P36" s="1474"/>
    </row>
    <row r="37" spans="2:16" x14ac:dyDescent="0.25">
      <c r="B37" s="1479"/>
      <c r="C37" s="1448"/>
      <c r="D37" s="1448"/>
      <c r="E37" s="1448"/>
      <c r="F37" s="1448"/>
      <c r="G37" s="1448"/>
      <c r="H37" s="1448"/>
      <c r="I37" s="1448"/>
      <c r="J37" s="1490"/>
      <c r="K37" s="1464"/>
      <c r="L37" s="1448"/>
      <c r="M37" s="1448"/>
      <c r="N37" s="1448"/>
      <c r="P37" s="1474"/>
    </row>
    <row r="38" spans="2:16" x14ac:dyDescent="0.25">
      <c r="B38" s="1479"/>
      <c r="C38" s="1459">
        <v>2</v>
      </c>
      <c r="D38" s="1460" t="s">
        <v>1185</v>
      </c>
      <c r="E38" s="1460"/>
      <c r="F38" s="1461"/>
      <c r="G38" s="1462"/>
      <c r="H38" s="1462"/>
      <c r="I38" s="1462"/>
      <c r="J38" s="1462"/>
      <c r="K38" s="1462"/>
      <c r="L38" s="1462"/>
      <c r="M38" s="1463"/>
      <c r="N38" s="1711">
        <v>44</v>
      </c>
      <c r="P38" s="1474"/>
    </row>
    <row r="39" spans="2:16" ht="7.5" customHeight="1" x14ac:dyDescent="0.25">
      <c r="B39" s="1479"/>
      <c r="C39" s="1448"/>
      <c r="D39" s="1459"/>
      <c r="E39" s="1459"/>
      <c r="F39" s="1464"/>
      <c r="G39" s="1459"/>
      <c r="H39" s="1459"/>
      <c r="I39" s="1459"/>
      <c r="J39" s="1459"/>
      <c r="K39" s="1459"/>
      <c r="L39" s="1459"/>
      <c r="M39" s="1465"/>
      <c r="N39" s="1459"/>
      <c r="P39" s="1474"/>
    </row>
    <row r="40" spans="2:16" x14ac:dyDescent="0.25">
      <c r="B40" s="1479"/>
      <c r="C40" s="1448"/>
      <c r="D40" s="1464" t="s">
        <v>1186</v>
      </c>
      <c r="E40" s="1464"/>
      <c r="F40" s="1448"/>
      <c r="G40" s="1448"/>
      <c r="H40" s="1448"/>
      <c r="I40" s="1448"/>
      <c r="J40" s="1448"/>
      <c r="K40" s="1448"/>
      <c r="L40" s="1448"/>
      <c r="M40" s="1448"/>
      <c r="N40" s="1448"/>
      <c r="P40" s="1474"/>
    </row>
    <row r="41" spans="2:16" ht="4.5" customHeight="1" x14ac:dyDescent="0.25">
      <c r="B41" s="1479"/>
      <c r="C41" s="1448"/>
      <c r="D41" s="1464"/>
      <c r="E41" s="1464"/>
      <c r="F41" s="1448"/>
      <c r="G41" s="1448"/>
      <c r="H41" s="1448"/>
      <c r="I41" s="1448"/>
      <c r="J41" s="1448"/>
      <c r="K41" s="1448"/>
      <c r="L41" s="1448"/>
      <c r="M41" s="1448"/>
      <c r="N41" s="1448"/>
      <c r="P41" s="1474"/>
    </row>
    <row r="42" spans="2:16" x14ac:dyDescent="0.25">
      <c r="B42" s="1479"/>
      <c r="C42" s="1448"/>
      <c r="D42" s="1448"/>
      <c r="E42" s="1448"/>
      <c r="F42" s="2662" t="s">
        <v>1399</v>
      </c>
      <c r="G42" s="2663"/>
      <c r="H42" s="1459"/>
      <c r="I42" s="1454"/>
      <c r="J42" s="1491"/>
      <c r="K42" s="1488"/>
      <c r="L42" s="1448"/>
      <c r="M42" s="1448"/>
      <c r="N42" s="1448"/>
      <c r="P42" s="1474"/>
    </row>
    <row r="43" spans="2:16" x14ac:dyDescent="0.25">
      <c r="B43" s="1479"/>
      <c r="C43" s="1448"/>
      <c r="D43" s="1448"/>
      <c r="E43" s="1448"/>
      <c r="F43" s="1449"/>
      <c r="G43" s="1449"/>
      <c r="H43" s="1459"/>
      <c r="I43" s="1454"/>
      <c r="J43" s="1491"/>
      <c r="K43" s="1488"/>
      <c r="L43" s="1448"/>
      <c r="M43" s="1448"/>
      <c r="N43" s="1448"/>
      <c r="P43" s="1474"/>
    </row>
    <row r="44" spans="2:16" x14ac:dyDescent="0.25">
      <c r="B44" s="1479"/>
      <c r="C44" s="1448"/>
      <c r="D44" s="1448"/>
      <c r="E44" s="1448"/>
      <c r="F44" s="1448"/>
      <c r="G44" s="1448"/>
      <c r="H44" s="1448"/>
      <c r="I44" s="1448"/>
      <c r="J44" s="1448"/>
      <c r="K44" s="1448"/>
      <c r="L44" s="1448"/>
      <c r="M44" s="1448"/>
      <c r="N44" s="1448"/>
      <c r="P44" s="1474"/>
    </row>
    <row r="45" spans="2:16" x14ac:dyDescent="0.25">
      <c r="B45" s="1479"/>
      <c r="C45" s="1459">
        <v>3</v>
      </c>
      <c r="D45" s="1460" t="s">
        <v>1188</v>
      </c>
      <c r="E45" s="1460"/>
      <c r="F45" s="1461"/>
      <c r="G45" s="1462"/>
      <c r="H45" s="1462"/>
      <c r="I45" s="1462"/>
      <c r="J45" s="1462"/>
      <c r="K45" s="1462"/>
      <c r="L45" s="1462"/>
      <c r="M45" s="1463"/>
      <c r="N45" s="1711">
        <v>20</v>
      </c>
      <c r="P45" s="1474"/>
    </row>
    <row r="46" spans="2:16" ht="7.5" customHeight="1" x14ac:dyDescent="0.25">
      <c r="B46" s="1479"/>
      <c r="C46" s="1448"/>
      <c r="D46" s="1459"/>
      <c r="E46" s="1459"/>
      <c r="F46" s="1464"/>
      <c r="G46" s="1459"/>
      <c r="H46" s="1459"/>
      <c r="I46" s="1459"/>
      <c r="J46" s="1459"/>
      <c r="K46" s="1459"/>
      <c r="L46" s="1459"/>
      <c r="M46" s="1459"/>
      <c r="N46" s="1459"/>
      <c r="P46" s="1474"/>
    </row>
    <row r="47" spans="2:16" ht="15" customHeight="1" x14ac:dyDescent="0.25">
      <c r="B47" s="1479"/>
      <c r="C47" s="1448"/>
      <c r="D47" s="2664" t="s">
        <v>1189</v>
      </c>
      <c r="E47" s="2664"/>
      <c r="F47" s="2664"/>
      <c r="G47" s="2664"/>
      <c r="H47" s="2664"/>
      <c r="I47" s="2664"/>
      <c r="J47" s="2664"/>
      <c r="K47" s="2664"/>
      <c r="L47" s="2664"/>
      <c r="M47" s="2664"/>
      <c r="N47" s="2664"/>
      <c r="O47" s="1426"/>
      <c r="P47" s="1474"/>
    </row>
    <row r="48" spans="2:16" ht="4.5" customHeight="1" x14ac:dyDescent="0.25">
      <c r="B48" s="1479"/>
      <c r="C48" s="1448"/>
      <c r="D48" s="1448"/>
      <c r="E48" s="1448"/>
      <c r="F48" s="1469"/>
      <c r="G48" s="1469"/>
      <c r="H48" s="1469"/>
      <c r="I48" s="1469"/>
      <c r="J48" s="1464" t="s">
        <v>313</v>
      </c>
      <c r="K48" s="1469"/>
      <c r="L48" s="1469"/>
      <c r="M48" s="1469"/>
      <c r="N48" s="1469"/>
      <c r="O48" s="1426"/>
      <c r="P48" s="1474"/>
    </row>
    <row r="49" spans="2:16" ht="16.350000000000001" customHeight="1" x14ac:dyDescent="0.25">
      <c r="B49" s="1479"/>
      <c r="C49" s="1448"/>
      <c r="D49" s="1464" t="s">
        <v>1190</v>
      </c>
      <c r="E49" s="1464"/>
      <c r="F49" s="1448"/>
      <c r="G49" s="1454"/>
      <c r="H49" s="1454"/>
      <c r="I49" s="1454"/>
      <c r="J49" s="1454"/>
      <c r="K49" s="1454"/>
      <c r="L49" s="1448"/>
      <c r="M49" s="1448"/>
      <c r="N49" s="1448"/>
      <c r="P49" s="1474"/>
    </row>
    <row r="50" spans="2:16" ht="16.350000000000001" customHeight="1" x14ac:dyDescent="0.25">
      <c r="B50" s="1479"/>
      <c r="C50" s="1448"/>
      <c r="D50" s="1448"/>
      <c r="E50" s="1448"/>
      <c r="F50" s="2665" t="s">
        <v>1187</v>
      </c>
      <c r="G50" s="2666"/>
      <c r="H50" s="2666"/>
      <c r="I50" s="2666"/>
      <c r="J50" s="2666"/>
      <c r="K50" s="2666"/>
      <c r="L50" s="2666"/>
      <c r="M50" s="2666"/>
      <c r="N50" s="1486"/>
      <c r="P50" s="1474"/>
    </row>
    <row r="51" spans="2:16" ht="5.25" customHeight="1" x14ac:dyDescent="0.25">
      <c r="B51" s="1479"/>
      <c r="C51" s="1448"/>
      <c r="D51" s="1448"/>
      <c r="E51" s="1448"/>
      <c r="F51" s="1449"/>
      <c r="G51" s="1449"/>
      <c r="H51" s="1449"/>
      <c r="I51" s="1449"/>
      <c r="J51" s="1449"/>
      <c r="K51" s="1449"/>
      <c r="L51" s="1449"/>
      <c r="M51" s="1449"/>
      <c r="N51" s="1449"/>
      <c r="P51" s="1474"/>
    </row>
    <row r="52" spans="2:16" ht="16.350000000000001" customHeight="1" x14ac:dyDescent="0.25">
      <c r="B52" s="1479"/>
      <c r="C52" s="1448"/>
      <c r="D52" s="1448"/>
      <c r="E52" s="1448"/>
      <c r="F52" s="1448"/>
      <c r="G52" s="1449" t="s">
        <v>1191</v>
      </c>
      <c r="H52" s="1449"/>
      <c r="I52" s="1449"/>
      <c r="J52" s="1448"/>
      <c r="K52" s="1449"/>
      <c r="L52" s="1449"/>
      <c r="M52" s="1715">
        <v>20</v>
      </c>
      <c r="N52" s="1449" t="s">
        <v>1192</v>
      </c>
      <c r="P52" s="1474"/>
    </row>
    <row r="53" spans="2:16" ht="16.350000000000001" customHeight="1" x14ac:dyDescent="0.25">
      <c r="B53" s="1479"/>
      <c r="C53" s="1448"/>
      <c r="D53" s="1448"/>
      <c r="E53" s="1448"/>
      <c r="F53" s="1449"/>
      <c r="G53" s="1449"/>
      <c r="H53" s="1449"/>
      <c r="I53" s="1449"/>
      <c r="J53" s="1449"/>
      <c r="K53" s="1449"/>
      <c r="L53" s="1449"/>
      <c r="M53" s="1449"/>
      <c r="N53" s="1449"/>
      <c r="P53" s="1474"/>
    </row>
    <row r="54" spans="2:16" ht="16.350000000000001" customHeight="1" x14ac:dyDescent="0.25">
      <c r="B54" s="1479"/>
      <c r="C54" s="1448"/>
      <c r="D54" s="1464" t="s">
        <v>1193</v>
      </c>
      <c r="E54" s="1464"/>
      <c r="F54" s="1448"/>
      <c r="G54" s="1454"/>
      <c r="H54" s="1454"/>
      <c r="I54" s="1454"/>
      <c r="J54" s="1454"/>
      <c r="K54" s="1454"/>
      <c r="L54" s="1448"/>
      <c r="M54" s="1448"/>
      <c r="N54" s="1448"/>
      <c r="P54" s="1474"/>
    </row>
    <row r="55" spans="2:16" ht="16.350000000000001" customHeight="1" x14ac:dyDescent="0.25">
      <c r="B55" s="1479"/>
      <c r="C55" s="1448"/>
      <c r="D55" s="1448"/>
      <c r="E55" s="1448"/>
      <c r="F55" s="2665" t="s">
        <v>1405</v>
      </c>
      <c r="G55" s="2666"/>
      <c r="H55" s="2666"/>
      <c r="I55" s="2666"/>
      <c r="J55" s="2666"/>
      <c r="K55" s="2666"/>
      <c r="L55" s="2666"/>
      <c r="M55" s="2666"/>
      <c r="N55" s="1486"/>
      <c r="P55" s="1474"/>
    </row>
    <row r="56" spans="2:16" ht="4.5" customHeight="1" x14ac:dyDescent="0.25">
      <c r="B56" s="1479"/>
      <c r="C56" s="1448"/>
      <c r="D56" s="1448"/>
      <c r="E56" s="1448"/>
      <c r="F56" s="1492"/>
      <c r="G56" s="1493"/>
      <c r="H56" s="1493"/>
      <c r="I56" s="1493"/>
      <c r="J56" s="1493"/>
      <c r="K56" s="1493"/>
      <c r="L56" s="1492"/>
      <c r="M56" s="1492"/>
      <c r="N56" s="1492"/>
      <c r="P56" s="1474"/>
    </row>
    <row r="57" spans="2:16" ht="16.350000000000001" customHeight="1" x14ac:dyDescent="0.25">
      <c r="B57" s="1479"/>
      <c r="C57" s="1448"/>
      <c r="D57" s="1448"/>
      <c r="E57" s="1448"/>
      <c r="F57" s="2665" t="s">
        <v>1406</v>
      </c>
      <c r="G57" s="2666"/>
      <c r="H57" s="2666"/>
      <c r="I57" s="2666"/>
      <c r="J57" s="2666"/>
      <c r="K57" s="2666"/>
      <c r="L57" s="2666"/>
      <c r="M57" s="2666"/>
      <c r="N57" s="1486"/>
      <c r="P57" s="1474"/>
    </row>
    <row r="58" spans="2:16" ht="16.350000000000001" customHeight="1" x14ac:dyDescent="0.25">
      <c r="B58" s="1479"/>
      <c r="C58" s="1448"/>
      <c r="D58" s="1448"/>
      <c r="E58" s="1448"/>
      <c r="F58" s="1449"/>
      <c r="G58" s="1449"/>
      <c r="H58" s="1449"/>
      <c r="I58" s="1449"/>
      <c r="J58" s="1449"/>
      <c r="K58" s="1449"/>
      <c r="L58" s="1449"/>
      <c r="M58" s="1449"/>
      <c r="N58" s="1449"/>
      <c r="P58" s="1474"/>
    </row>
    <row r="59" spans="2:16" ht="16.350000000000001" customHeight="1" x14ac:dyDescent="0.25">
      <c r="B59" s="1479"/>
      <c r="C59" s="1448"/>
      <c r="D59" s="1448"/>
      <c r="E59" s="1448"/>
      <c r="F59" s="1449"/>
      <c r="G59" s="1449" t="s">
        <v>1194</v>
      </c>
      <c r="H59" s="1449"/>
      <c r="I59" s="1449"/>
      <c r="J59" s="1449"/>
      <c r="K59" s="1449"/>
      <c r="L59" s="1449"/>
      <c r="M59" s="1715">
        <v>0</v>
      </c>
      <c r="N59" s="1449" t="s">
        <v>1192</v>
      </c>
      <c r="P59" s="1474"/>
    </row>
    <row r="60" spans="2:16" ht="16.350000000000001" customHeight="1" x14ac:dyDescent="0.25">
      <c r="B60" s="1479"/>
      <c r="C60" s="1448"/>
      <c r="D60" s="1448"/>
      <c r="E60" s="1448"/>
      <c r="F60" s="1449"/>
      <c r="G60" s="1454" t="s">
        <v>1195</v>
      </c>
      <c r="H60" s="1448"/>
      <c r="I60" s="1454"/>
      <c r="J60" s="1454"/>
      <c r="K60" s="1454"/>
      <c r="L60" s="1454"/>
      <c r="M60" s="1715">
        <v>0</v>
      </c>
      <c r="N60" s="1449" t="s">
        <v>1192</v>
      </c>
      <c r="P60" s="1474"/>
    </row>
    <row r="61" spans="2:16" ht="16.350000000000001" customHeight="1" x14ac:dyDescent="0.25">
      <c r="B61" s="1479"/>
      <c r="C61" s="1448"/>
      <c r="D61" s="1448"/>
      <c r="E61" s="1448"/>
      <c r="F61" s="1449"/>
      <c r="G61" s="1449" t="s">
        <v>1196</v>
      </c>
      <c r="H61" s="1448"/>
      <c r="I61" s="1449"/>
      <c r="J61" s="1449"/>
      <c r="K61" s="1449"/>
      <c r="L61" s="1449"/>
      <c r="M61" s="1715">
        <v>12</v>
      </c>
      <c r="N61" s="1449" t="s">
        <v>1192</v>
      </c>
      <c r="P61" s="1474"/>
    </row>
    <row r="62" spans="2:16" ht="16.350000000000001" customHeight="1" x14ac:dyDescent="0.25">
      <c r="B62" s="1479"/>
      <c r="C62" s="1448"/>
      <c r="D62" s="1448"/>
      <c r="E62" s="1448"/>
      <c r="F62" s="1449"/>
      <c r="G62" s="1449" t="s">
        <v>1197</v>
      </c>
      <c r="H62" s="1448"/>
      <c r="I62" s="1449"/>
      <c r="J62" s="1449"/>
      <c r="K62" s="1449"/>
      <c r="L62" s="1449"/>
      <c r="M62" s="1715">
        <v>0</v>
      </c>
      <c r="N62" s="1449" t="s">
        <v>1192</v>
      </c>
      <c r="P62" s="1474"/>
    </row>
    <row r="63" spans="2:16" ht="16.350000000000001" customHeight="1" x14ac:dyDescent="0.25">
      <c r="B63" s="1479"/>
      <c r="C63" s="1448"/>
      <c r="D63" s="1448"/>
      <c r="E63" s="1448"/>
      <c r="F63" s="1449"/>
      <c r="G63" s="1449" t="s">
        <v>1198</v>
      </c>
      <c r="H63" s="1448"/>
      <c r="I63" s="1449"/>
      <c r="J63" s="1449"/>
      <c r="K63" s="1449"/>
      <c r="L63" s="1449"/>
      <c r="M63" s="1715">
        <v>12</v>
      </c>
      <c r="N63" s="1449" t="s">
        <v>1192</v>
      </c>
      <c r="P63" s="1474"/>
    </row>
    <row r="64" spans="2:16" ht="16.350000000000001" customHeight="1" x14ac:dyDescent="0.25">
      <c r="B64" s="1479"/>
      <c r="C64" s="1448"/>
      <c r="D64" s="1448"/>
      <c r="E64" s="1448"/>
      <c r="F64" s="1449"/>
      <c r="G64" s="1449" t="s">
        <v>1199</v>
      </c>
      <c r="H64" s="1448"/>
      <c r="I64" s="1449"/>
      <c r="J64" s="1449"/>
      <c r="K64" s="1449"/>
      <c r="L64" s="1449"/>
      <c r="M64" s="1715">
        <v>0</v>
      </c>
      <c r="N64" s="1449" t="s">
        <v>1192</v>
      </c>
      <c r="P64" s="1474"/>
    </row>
    <row r="65" spans="2:16" ht="16.350000000000001" customHeight="1" x14ac:dyDescent="0.25">
      <c r="B65" s="1479"/>
      <c r="C65" s="1448"/>
      <c r="D65" s="1448"/>
      <c r="E65" s="1448"/>
      <c r="F65" s="1449"/>
      <c r="G65" s="1449"/>
      <c r="H65" s="1448"/>
      <c r="I65" s="1449"/>
      <c r="J65" s="1449"/>
      <c r="K65" s="1449"/>
      <c r="L65" s="1449"/>
      <c r="M65" s="1450"/>
      <c r="N65" s="1449"/>
      <c r="P65" s="1474"/>
    </row>
    <row r="66" spans="2:16" ht="16.350000000000001" customHeight="1" x14ac:dyDescent="0.25">
      <c r="B66" s="1479"/>
      <c r="C66" s="1448"/>
      <c r="D66" s="1448"/>
      <c r="E66" s="1448"/>
      <c r="F66" s="1449"/>
      <c r="G66" s="1449"/>
      <c r="H66" s="1448"/>
      <c r="I66" s="1449"/>
      <c r="J66" s="1449"/>
      <c r="K66" s="1449"/>
      <c r="L66" s="1449"/>
      <c r="M66" s="1450"/>
      <c r="N66" s="1449"/>
      <c r="P66" s="1474"/>
    </row>
    <row r="67" spans="2:16" x14ac:dyDescent="0.25">
      <c r="B67" s="1479"/>
      <c r="C67" s="1459">
        <v>4</v>
      </c>
      <c r="D67" s="1460" t="s">
        <v>1200</v>
      </c>
      <c r="E67" s="1460"/>
      <c r="F67" s="1461"/>
      <c r="G67" s="1462"/>
      <c r="H67" s="1462"/>
      <c r="I67" s="1462"/>
      <c r="J67" s="1462"/>
      <c r="K67" s="1462"/>
      <c r="L67" s="1462"/>
      <c r="M67" s="1463"/>
      <c r="N67" s="1711">
        <v>5</v>
      </c>
      <c r="P67" s="1474"/>
    </row>
    <row r="68" spans="2:16" ht="7.5" customHeight="1" x14ac:dyDescent="0.25">
      <c r="B68" s="1479"/>
      <c r="C68" s="1448"/>
      <c r="D68" s="1459"/>
      <c r="E68" s="1459"/>
      <c r="F68" s="1464"/>
      <c r="G68" s="1459"/>
      <c r="H68" s="1459"/>
      <c r="I68" s="1459"/>
      <c r="J68" s="1459"/>
      <c r="K68" s="1459"/>
      <c r="L68" s="1459"/>
      <c r="M68" s="1465"/>
      <c r="N68" s="1459"/>
      <c r="P68" s="1474"/>
    </row>
    <row r="69" spans="2:16" ht="29.25" customHeight="1" x14ac:dyDescent="0.25">
      <c r="B69" s="1479"/>
      <c r="C69" s="1448"/>
      <c r="D69" s="2664" t="s">
        <v>1201</v>
      </c>
      <c r="E69" s="2664"/>
      <c r="F69" s="2664"/>
      <c r="G69" s="2664"/>
      <c r="H69" s="2664"/>
      <c r="I69" s="2664"/>
      <c r="J69" s="2664"/>
      <c r="K69" s="2664"/>
      <c r="L69" s="2664"/>
      <c r="M69" s="2664"/>
      <c r="N69" s="2664"/>
      <c r="P69" s="1474"/>
    </row>
    <row r="70" spans="2:16" ht="4.5" customHeight="1" x14ac:dyDescent="0.25">
      <c r="B70" s="1479"/>
      <c r="C70" s="1448"/>
      <c r="D70" s="1464"/>
      <c r="E70" s="1464"/>
      <c r="F70" s="1448"/>
      <c r="G70" s="1448"/>
      <c r="H70" s="1448"/>
      <c r="I70" s="1448"/>
      <c r="J70" s="1448"/>
      <c r="K70" s="1448"/>
      <c r="L70" s="1448"/>
      <c r="M70" s="1448"/>
      <c r="N70" s="1448"/>
      <c r="P70" s="1474"/>
    </row>
    <row r="71" spans="2:16" x14ac:dyDescent="0.25">
      <c r="B71" s="1479"/>
      <c r="C71" s="1448"/>
      <c r="D71" s="1448"/>
      <c r="E71" s="1448"/>
      <c r="F71" s="1448" t="s">
        <v>1202</v>
      </c>
      <c r="G71" s="1448"/>
      <c r="H71" s="2662" t="s">
        <v>1413</v>
      </c>
      <c r="I71" s="2667"/>
      <c r="J71" s="2667"/>
      <c r="K71" s="2667"/>
      <c r="L71" s="2667"/>
      <c r="M71" s="2663"/>
      <c r="N71" s="1448"/>
      <c r="P71" s="1474"/>
    </row>
    <row r="72" spans="2:16" s="1425" customFormat="1" ht="4.5" customHeight="1" x14ac:dyDescent="0.25">
      <c r="B72" s="1482"/>
      <c r="C72" s="1358"/>
      <c r="D72" s="1358"/>
      <c r="E72" s="1358"/>
      <c r="F72" s="1358"/>
      <c r="G72" s="1358"/>
      <c r="H72" s="1358"/>
      <c r="I72" s="1358"/>
      <c r="J72" s="1358"/>
      <c r="K72" s="1358"/>
      <c r="L72" s="1358"/>
      <c r="M72" s="1358"/>
      <c r="N72" s="1358"/>
      <c r="P72" s="1484"/>
    </row>
    <row r="73" spans="2:16" x14ac:dyDescent="0.25">
      <c r="B73" s="1479"/>
      <c r="C73" s="1448"/>
      <c r="D73" s="1448"/>
      <c r="E73" s="1448"/>
      <c r="F73" s="1448" t="s">
        <v>1204</v>
      </c>
      <c r="G73" s="1448"/>
      <c r="H73" s="2662" t="s">
        <v>1837</v>
      </c>
      <c r="I73" s="2667"/>
      <c r="J73" s="2667"/>
      <c r="K73" s="2667"/>
      <c r="L73" s="2667"/>
      <c r="M73" s="2663"/>
      <c r="N73" s="1448"/>
      <c r="P73" s="1474"/>
    </row>
    <row r="74" spans="2:16" x14ac:dyDescent="0.25">
      <c r="B74" s="1479"/>
      <c r="C74" s="1448"/>
      <c r="D74" s="1448"/>
      <c r="E74" s="1448"/>
      <c r="F74" s="1448" t="s">
        <v>1206</v>
      </c>
      <c r="G74" s="1448"/>
      <c r="H74" s="2662" t="s">
        <v>1426</v>
      </c>
      <c r="I74" s="2667"/>
      <c r="J74" s="2667"/>
      <c r="K74" s="2667"/>
      <c r="L74" s="2667"/>
      <c r="M74" s="2663"/>
      <c r="N74" s="1448"/>
      <c r="P74" s="1474"/>
    </row>
    <row r="75" spans="2:16" x14ac:dyDescent="0.25">
      <c r="B75" s="1479"/>
      <c r="C75" s="1448"/>
      <c r="D75" s="1448"/>
      <c r="E75" s="1448"/>
      <c r="F75" s="1448" t="s">
        <v>1207</v>
      </c>
      <c r="G75" s="1448"/>
      <c r="H75" s="2662" t="s">
        <v>1435</v>
      </c>
      <c r="I75" s="2667"/>
      <c r="J75" s="2667"/>
      <c r="K75" s="2667"/>
      <c r="L75" s="2667"/>
      <c r="M75" s="2663"/>
      <c r="N75" s="1448"/>
      <c r="P75" s="1474"/>
    </row>
    <row r="76" spans="2:16" x14ac:dyDescent="0.25">
      <c r="B76" s="1479"/>
      <c r="C76" s="1448"/>
      <c r="D76" s="1448"/>
      <c r="E76" s="1448"/>
      <c r="F76" s="1448" t="s">
        <v>1208</v>
      </c>
      <c r="G76" s="1448"/>
      <c r="H76" s="2668">
        <f>'7A'!E26</f>
        <v>5680553</v>
      </c>
      <c r="I76" s="2669"/>
      <c r="J76" s="2669"/>
      <c r="K76" s="2669"/>
      <c r="L76" s="2669"/>
      <c r="M76" s="2670"/>
      <c r="N76" s="1448"/>
      <c r="P76" s="1474"/>
    </row>
    <row r="77" spans="2:16" ht="4.5" customHeight="1" x14ac:dyDescent="0.25">
      <c r="B77" s="1479"/>
      <c r="C77" s="1448"/>
      <c r="D77" s="1448"/>
      <c r="E77" s="1448"/>
      <c r="F77" s="1448"/>
      <c r="G77" s="1448"/>
      <c r="H77" s="1448"/>
      <c r="I77" s="1448"/>
      <c r="J77" s="1448"/>
      <c r="K77" s="1448"/>
      <c r="L77" s="1448"/>
      <c r="M77" s="1448"/>
      <c r="N77" s="1448"/>
      <c r="P77" s="1474"/>
    </row>
    <row r="78" spans="2:16" x14ac:dyDescent="0.25">
      <c r="B78" s="1479"/>
      <c r="C78" s="1448"/>
      <c r="D78" s="1448"/>
      <c r="E78" s="1448"/>
      <c r="F78" s="1448" t="s">
        <v>1209</v>
      </c>
      <c r="G78" s="1448"/>
      <c r="H78" s="2662" t="s">
        <v>1205</v>
      </c>
      <c r="I78" s="2667"/>
      <c r="J78" s="2667"/>
      <c r="K78" s="2667"/>
      <c r="L78" s="2667"/>
      <c r="M78" s="2663"/>
      <c r="N78" s="1448"/>
      <c r="P78" s="1474"/>
    </row>
    <row r="79" spans="2:16" x14ac:dyDescent="0.25">
      <c r="B79" s="1479"/>
      <c r="C79" s="1448"/>
      <c r="D79" s="1448"/>
      <c r="E79" s="1448"/>
      <c r="F79" s="1448" t="s">
        <v>1206</v>
      </c>
      <c r="G79" s="1448"/>
      <c r="H79" s="2662"/>
      <c r="I79" s="2667"/>
      <c r="J79" s="2667"/>
      <c r="K79" s="2667"/>
      <c r="L79" s="2667"/>
      <c r="M79" s="2663"/>
      <c r="N79" s="1448"/>
      <c r="P79" s="1474"/>
    </row>
    <row r="80" spans="2:16" ht="15.75" thickBot="1" x14ac:dyDescent="0.3">
      <c r="B80" s="1479"/>
      <c r="C80" s="1448"/>
      <c r="D80" s="1448"/>
      <c r="E80" s="1448"/>
      <c r="F80" s="1448"/>
      <c r="G80" s="1448"/>
      <c r="H80" s="1449"/>
      <c r="I80" s="1449"/>
      <c r="J80" s="1449"/>
      <c r="K80" s="1449"/>
      <c r="L80" s="1449"/>
      <c r="M80" s="1449"/>
      <c r="N80" s="1448"/>
      <c r="P80" s="1474"/>
    </row>
    <row r="81" spans="2:16" s="1425" customFormat="1" x14ac:dyDescent="0.25">
      <c r="B81" s="1483"/>
      <c r="C81" s="1477"/>
      <c r="D81" s="1477"/>
      <c r="E81" s="1477"/>
      <c r="F81" s="1477"/>
      <c r="G81" s="1477"/>
      <c r="H81" s="1477"/>
      <c r="I81" s="1477"/>
      <c r="J81" s="1477"/>
      <c r="K81" s="1477"/>
      <c r="L81" s="1477"/>
      <c r="M81" s="1477"/>
      <c r="N81" s="1477"/>
      <c r="O81" s="1477"/>
      <c r="P81" s="1478"/>
    </row>
    <row r="82" spans="2:16" s="1425" customFormat="1" ht="18.75" x14ac:dyDescent="0.3">
      <c r="B82" s="1482"/>
      <c r="C82" s="2659" t="s">
        <v>1677</v>
      </c>
      <c r="D82" s="2659"/>
      <c r="E82" s="2659"/>
      <c r="F82" s="2659"/>
      <c r="G82" s="2659"/>
      <c r="H82" s="2659"/>
      <c r="I82" s="2659"/>
      <c r="J82" s="2659"/>
      <c r="K82" s="2659"/>
      <c r="L82" s="2659"/>
      <c r="M82" s="2659"/>
      <c r="N82" s="2659"/>
      <c r="O82" s="2659"/>
      <c r="P82" s="1473"/>
    </row>
    <row r="83" spans="2:16" s="1425" customFormat="1" ht="7.5" customHeight="1" x14ac:dyDescent="0.25">
      <c r="B83" s="1482"/>
      <c r="C83" s="1445"/>
      <c r="D83" s="1445"/>
      <c r="E83" s="1445"/>
      <c r="F83" s="1445"/>
      <c r="G83" s="1445"/>
      <c r="H83" s="1445"/>
      <c r="I83" s="1445"/>
      <c r="J83" s="1445"/>
      <c r="K83" s="1445"/>
      <c r="L83" s="1445"/>
      <c r="M83" s="1445"/>
      <c r="N83" s="1445"/>
      <c r="O83" s="1445"/>
      <c r="P83" s="1473"/>
    </row>
    <row r="84" spans="2:16" s="1425" customFormat="1" ht="15.75" thickBot="1" x14ac:dyDescent="0.3">
      <c r="B84" s="1482"/>
      <c r="C84" s="2701" t="str">
        <f>C17</f>
        <v>Project Name: Compass Broadview</v>
      </c>
      <c r="D84" s="2701"/>
      <c r="E84" s="2701"/>
      <c r="F84" s="2701"/>
      <c r="G84" s="2701"/>
      <c r="H84" s="2701"/>
      <c r="I84" s="2701"/>
      <c r="J84" s="2701"/>
      <c r="K84" s="2701"/>
      <c r="L84" s="2701"/>
      <c r="M84" s="711"/>
      <c r="N84" s="1424"/>
      <c r="O84" s="1424"/>
      <c r="P84" s="1474"/>
    </row>
    <row r="85" spans="2:16" ht="15" customHeight="1" x14ac:dyDescent="0.25">
      <c r="B85" s="1479"/>
      <c r="C85" s="1448"/>
      <c r="D85" s="1448"/>
      <c r="E85" s="1448"/>
      <c r="F85" s="1448"/>
      <c r="G85" s="1448"/>
      <c r="H85" s="1448"/>
      <c r="I85" s="1448"/>
      <c r="J85" s="1448"/>
      <c r="K85" s="1448"/>
      <c r="L85" s="1448"/>
      <c r="M85" s="2655"/>
      <c r="N85" s="2657" t="s">
        <v>1166</v>
      </c>
      <c r="P85" s="1474"/>
    </row>
    <row r="86" spans="2:16" x14ac:dyDescent="0.25">
      <c r="B86" s="1479"/>
      <c r="C86" s="1448"/>
      <c r="D86" s="1448"/>
      <c r="E86" s="1448"/>
      <c r="F86" s="1454"/>
      <c r="G86" s="1448"/>
      <c r="H86" s="1448"/>
      <c r="I86" s="1448"/>
      <c r="J86" s="1448"/>
      <c r="K86" s="1448"/>
      <c r="L86" s="1448"/>
      <c r="M86" s="2656"/>
      <c r="N86" s="2658"/>
      <c r="P86" s="1474"/>
    </row>
    <row r="87" spans="2:16" x14ac:dyDescent="0.25">
      <c r="B87" s="1479"/>
      <c r="C87" s="1448"/>
      <c r="D87" s="1448"/>
      <c r="E87" s="1448"/>
      <c r="F87" s="1448" t="s">
        <v>1207</v>
      </c>
      <c r="G87" s="1448"/>
      <c r="H87" s="2662"/>
      <c r="I87" s="2667"/>
      <c r="J87" s="2667"/>
      <c r="K87" s="2667"/>
      <c r="L87" s="2667"/>
      <c r="M87" s="2663"/>
      <c r="N87" s="1448"/>
      <c r="P87" s="1474"/>
    </row>
    <row r="88" spans="2:16" x14ac:dyDescent="0.25">
      <c r="B88" s="1479"/>
      <c r="C88" s="1448"/>
      <c r="D88" s="1448"/>
      <c r="E88" s="1448"/>
      <c r="F88" s="1448" t="s">
        <v>1208</v>
      </c>
      <c r="G88" s="1448"/>
      <c r="H88" s="2668">
        <v>0</v>
      </c>
      <c r="I88" s="2669"/>
      <c r="J88" s="2669"/>
      <c r="K88" s="2669"/>
      <c r="L88" s="2669"/>
      <c r="M88" s="2670"/>
      <c r="N88" s="1448"/>
      <c r="P88" s="1474"/>
    </row>
    <row r="89" spans="2:16" x14ac:dyDescent="0.25">
      <c r="B89" s="1479"/>
      <c r="C89" s="1448"/>
      <c r="D89" s="1448"/>
      <c r="E89" s="1448"/>
      <c r="F89" s="1448"/>
      <c r="G89" s="1448"/>
      <c r="H89" s="1449"/>
      <c r="I89" s="1449"/>
      <c r="J89" s="1449"/>
      <c r="K89" s="1449"/>
      <c r="L89" s="1449"/>
      <c r="M89" s="1449"/>
      <c r="N89" s="1448"/>
      <c r="P89" s="1474"/>
    </row>
    <row r="90" spans="2:16" x14ac:dyDescent="0.25">
      <c r="B90" s="1479"/>
      <c r="C90" s="1448"/>
      <c r="D90" s="1448"/>
      <c r="E90" s="1448"/>
      <c r="F90" s="1448" t="s">
        <v>1210</v>
      </c>
      <c r="G90" s="1448"/>
      <c r="H90" s="1449"/>
      <c r="I90" s="1449"/>
      <c r="J90" s="1449"/>
      <c r="K90" s="1449"/>
      <c r="L90" s="1716">
        <f>H76+H88</f>
        <v>5680553</v>
      </c>
      <c r="M90" s="1449"/>
      <c r="N90" s="1448"/>
      <c r="P90" s="1474"/>
    </row>
    <row r="91" spans="2:16" x14ac:dyDescent="0.25">
      <c r="B91" s="1479"/>
      <c r="C91" s="1448"/>
      <c r="D91" s="1448"/>
      <c r="E91" s="1448"/>
      <c r="F91" s="1451" t="s">
        <v>1211</v>
      </c>
      <c r="G91" s="1448"/>
      <c r="H91" s="1449"/>
      <c r="I91" s="1449"/>
      <c r="J91" s="1449"/>
      <c r="K91" s="1449"/>
      <c r="L91" s="1449"/>
      <c r="M91" s="1449"/>
      <c r="N91" s="1448"/>
      <c r="P91" s="1474"/>
    </row>
    <row r="92" spans="2:16" x14ac:dyDescent="0.25">
      <c r="B92" s="1479"/>
      <c r="C92" s="1448"/>
      <c r="D92" s="1448"/>
      <c r="E92" s="1448"/>
      <c r="F92" s="1451"/>
      <c r="G92" s="1448"/>
      <c r="H92" s="1449"/>
      <c r="I92" s="1449"/>
      <c r="J92" s="1449"/>
      <c r="K92" s="1449"/>
      <c r="L92" s="1449"/>
      <c r="M92" s="1449"/>
      <c r="N92" s="1448"/>
      <c r="P92" s="1474"/>
    </row>
    <row r="93" spans="2:16" x14ac:dyDescent="0.25">
      <c r="B93" s="1479"/>
      <c r="C93" s="1448"/>
      <c r="D93" s="1448"/>
      <c r="E93" s="1448"/>
      <c r="F93" s="1448"/>
      <c r="G93" s="1448"/>
      <c r="H93" s="1449"/>
      <c r="I93" s="1449"/>
      <c r="J93" s="1449"/>
      <c r="K93" s="1449"/>
      <c r="L93" s="1449"/>
      <c r="M93" s="1449"/>
      <c r="N93" s="1448"/>
      <c r="P93" s="1474"/>
    </row>
    <row r="94" spans="2:16" x14ac:dyDescent="0.25">
      <c r="B94" s="1479"/>
      <c r="C94" s="1459">
        <v>5</v>
      </c>
      <c r="D94" s="1460" t="s">
        <v>1212</v>
      </c>
      <c r="E94" s="1460"/>
      <c r="F94" s="1461"/>
      <c r="G94" s="1462"/>
      <c r="H94" s="1462"/>
      <c r="I94" s="1462"/>
      <c r="J94" s="1462"/>
      <c r="K94" s="1462"/>
      <c r="L94" s="1462"/>
      <c r="M94" s="1463"/>
      <c r="N94" s="1711">
        <v>0</v>
      </c>
      <c r="P94" s="1474"/>
    </row>
    <row r="95" spans="2:16" ht="7.5" customHeight="1" x14ac:dyDescent="0.25">
      <c r="B95" s="1479"/>
      <c r="C95" s="1448"/>
      <c r="D95" s="1459"/>
      <c r="E95" s="1459"/>
      <c r="F95" s="1464"/>
      <c r="G95" s="1459"/>
      <c r="H95" s="1459"/>
      <c r="I95" s="1459"/>
      <c r="J95" s="1459"/>
      <c r="K95" s="1459"/>
      <c r="L95" s="1459"/>
      <c r="M95" s="1465"/>
      <c r="N95" s="1459"/>
      <c r="P95" s="1474"/>
    </row>
    <row r="96" spans="2:16" x14ac:dyDescent="0.25">
      <c r="B96" s="1479"/>
      <c r="C96" s="1448"/>
      <c r="D96" s="2664" t="s">
        <v>1213</v>
      </c>
      <c r="E96" s="2664"/>
      <c r="F96" s="2664"/>
      <c r="G96" s="2664"/>
      <c r="H96" s="2664"/>
      <c r="I96" s="2664"/>
      <c r="J96" s="2664"/>
      <c r="K96" s="2664"/>
      <c r="L96" s="2664"/>
      <c r="M96" s="2664"/>
      <c r="N96" s="2664"/>
      <c r="P96" s="1474"/>
    </row>
    <row r="97" spans="2:16" ht="6.75" customHeight="1" x14ac:dyDescent="0.25">
      <c r="B97" s="1479"/>
      <c r="C97" s="1448"/>
      <c r="D97" s="1464"/>
      <c r="E97" s="1464"/>
      <c r="F97" s="1448"/>
      <c r="G97" s="1448"/>
      <c r="H97" s="1448"/>
      <c r="I97" s="1448"/>
      <c r="J97" s="1448"/>
      <c r="K97" s="1448"/>
      <c r="L97" s="1448"/>
      <c r="M97" s="1448"/>
      <c r="N97" s="1448"/>
      <c r="P97" s="1474"/>
    </row>
    <row r="98" spans="2:16" x14ac:dyDescent="0.25">
      <c r="B98" s="1479"/>
      <c r="C98" s="1448"/>
      <c r="D98" s="1448"/>
      <c r="E98" s="1451" t="s">
        <v>1214</v>
      </c>
      <c r="F98" s="1448"/>
      <c r="G98" s="1448"/>
      <c r="H98" s="1448"/>
      <c r="I98" s="1448"/>
      <c r="J98" s="1448"/>
      <c r="K98" s="1448"/>
      <c r="L98" s="1448"/>
      <c r="M98" s="1448"/>
      <c r="N98" s="1448"/>
      <c r="P98" s="1474"/>
    </row>
    <row r="99" spans="2:16" x14ac:dyDescent="0.25">
      <c r="B99" s="1479"/>
      <c r="C99" s="1448"/>
      <c r="D99" s="1448"/>
      <c r="E99" s="1448"/>
      <c r="F99" s="1448" t="s">
        <v>1206</v>
      </c>
      <c r="G99" s="1448"/>
      <c r="H99" s="1448"/>
      <c r="I99" s="1448"/>
      <c r="J99" s="2674" t="s">
        <v>1172</v>
      </c>
      <c r="K99" s="2675"/>
      <c r="L99" s="2675"/>
      <c r="M99" s="2676"/>
      <c r="N99" s="1448"/>
      <c r="P99" s="1474"/>
    </row>
    <row r="100" spans="2:16" x14ac:dyDescent="0.25">
      <c r="B100" s="1479"/>
      <c r="C100" s="1448"/>
      <c r="D100" s="1448"/>
      <c r="E100" s="1448"/>
      <c r="F100" s="1448" t="s">
        <v>1208</v>
      </c>
      <c r="G100" s="1448"/>
      <c r="H100" s="1448"/>
      <c r="I100" s="1466"/>
      <c r="J100" s="2677">
        <v>0</v>
      </c>
      <c r="K100" s="2678"/>
      <c r="L100" s="2678"/>
      <c r="M100" s="2679"/>
      <c r="N100" s="1448"/>
      <c r="P100" s="1474"/>
    </row>
    <row r="101" spans="2:16" x14ac:dyDescent="0.25">
      <c r="B101" s="1479"/>
      <c r="C101" s="1448"/>
      <c r="D101" s="1448"/>
      <c r="E101" s="1448"/>
      <c r="F101" s="1448" t="s">
        <v>1678</v>
      </c>
      <c r="G101" s="1448"/>
      <c r="H101" s="1467"/>
      <c r="I101" s="1466"/>
      <c r="J101" s="2680">
        <f>'6A'!J120</f>
        <v>21663414.802096002</v>
      </c>
      <c r="K101" s="2681"/>
      <c r="L101" s="2681"/>
      <c r="M101" s="2682"/>
      <c r="N101" s="1448"/>
      <c r="P101" s="1474"/>
    </row>
    <row r="102" spans="2:16" x14ac:dyDescent="0.25">
      <c r="B102" s="1479"/>
      <c r="C102" s="1448"/>
      <c r="D102" s="1448"/>
      <c r="E102" s="1448"/>
      <c r="F102" s="1448" t="s">
        <v>1215</v>
      </c>
      <c r="G102" s="1448"/>
      <c r="H102" s="1467"/>
      <c r="I102" s="1466"/>
      <c r="J102" s="2683">
        <f>J100/J101</f>
        <v>0</v>
      </c>
      <c r="K102" s="2684"/>
      <c r="L102" s="2684"/>
      <c r="M102" s="2685"/>
      <c r="N102" s="1448"/>
      <c r="P102" s="1474"/>
    </row>
    <row r="103" spans="2:16" ht="15" customHeight="1" x14ac:dyDescent="0.25">
      <c r="B103" s="1479"/>
      <c r="C103" s="1448"/>
      <c r="D103" s="1448"/>
      <c r="E103" s="1448"/>
      <c r="F103" s="1448"/>
      <c r="G103" s="1448"/>
      <c r="H103" s="1448"/>
      <c r="I103" s="1448"/>
      <c r="J103" s="1448"/>
      <c r="K103" s="1448"/>
      <c r="L103" s="1448"/>
      <c r="M103" s="1448"/>
      <c r="N103" s="1448"/>
      <c r="P103" s="1474"/>
    </row>
    <row r="104" spans="2:16" x14ac:dyDescent="0.25">
      <c r="B104" s="1479"/>
      <c r="C104" s="1459">
        <v>6</v>
      </c>
      <c r="D104" s="1460" t="s">
        <v>1216</v>
      </c>
      <c r="E104" s="1460"/>
      <c r="F104" s="1461"/>
      <c r="G104" s="1462"/>
      <c r="H104" s="1462"/>
      <c r="I104" s="1462"/>
      <c r="J104" s="1462"/>
      <c r="K104" s="1462"/>
      <c r="L104" s="1462"/>
      <c r="M104" s="1463"/>
      <c r="N104" s="1711">
        <v>2</v>
      </c>
      <c r="P104" s="1474"/>
    </row>
    <row r="105" spans="2:16" ht="7.5" customHeight="1" x14ac:dyDescent="0.25">
      <c r="B105" s="1479"/>
      <c r="C105" s="1448"/>
      <c r="D105" s="1459"/>
      <c r="E105" s="1459"/>
      <c r="F105" s="1464"/>
      <c r="G105" s="1459"/>
      <c r="H105" s="1459"/>
      <c r="I105" s="1459"/>
      <c r="J105" s="1459"/>
      <c r="K105" s="1459"/>
      <c r="L105" s="1459"/>
      <c r="M105" s="1465"/>
      <c r="N105" s="1459"/>
      <c r="P105" s="1474"/>
    </row>
    <row r="106" spans="2:16" ht="26.25" customHeight="1" x14ac:dyDescent="0.25">
      <c r="B106" s="1479"/>
      <c r="C106" s="1448"/>
      <c r="D106" s="2664" t="s">
        <v>1217</v>
      </c>
      <c r="E106" s="2664"/>
      <c r="F106" s="2664"/>
      <c r="G106" s="2664"/>
      <c r="H106" s="2664"/>
      <c r="I106" s="2664"/>
      <c r="J106" s="2664"/>
      <c r="K106" s="2664"/>
      <c r="L106" s="2664"/>
      <c r="M106" s="2664"/>
      <c r="N106" s="2664"/>
      <c r="P106" s="1474"/>
    </row>
    <row r="107" spans="2:16" ht="6.75" customHeight="1" x14ac:dyDescent="0.25">
      <c r="B107" s="1479"/>
      <c r="C107" s="1448"/>
      <c r="D107" s="1464"/>
      <c r="E107" s="1464"/>
      <c r="F107" s="1448"/>
      <c r="G107" s="1448"/>
      <c r="H107" s="1448"/>
      <c r="I107" s="1448"/>
      <c r="J107" s="1448"/>
      <c r="K107" s="1448"/>
      <c r="L107" s="1448"/>
      <c r="M107" s="1448"/>
      <c r="N107" s="1448"/>
      <c r="P107" s="1474"/>
    </row>
    <row r="108" spans="2:16" x14ac:dyDescent="0.25">
      <c r="B108" s="1479"/>
      <c r="C108" s="1448"/>
      <c r="D108" s="1448"/>
      <c r="E108" s="1448"/>
      <c r="F108" s="1448" t="s">
        <v>1218</v>
      </c>
      <c r="G108" s="1448"/>
      <c r="H108" s="1448"/>
      <c r="I108" s="2674" t="s">
        <v>1448</v>
      </c>
      <c r="J108" s="2675"/>
      <c r="K108" s="2675"/>
      <c r="L108" s="2676"/>
      <c r="M108" s="1448"/>
      <c r="N108" s="1448"/>
      <c r="P108" s="1474"/>
    </row>
    <row r="109" spans="2:16" x14ac:dyDescent="0.25">
      <c r="B109" s="1479"/>
      <c r="C109" s="1448"/>
      <c r="D109" s="1448"/>
      <c r="E109" s="1448"/>
      <c r="F109" s="1448" t="s">
        <v>1219</v>
      </c>
      <c r="G109" s="1448"/>
      <c r="H109" s="1448"/>
      <c r="I109" s="1466"/>
      <c r="J109" s="1448"/>
      <c r="K109" s="1466"/>
      <c r="L109" s="1717">
        <f>'7A'!E27</f>
        <v>2250000</v>
      </c>
      <c r="M109" s="1448"/>
      <c r="N109" s="1448"/>
      <c r="P109" s="1474"/>
    </row>
    <row r="110" spans="2:16" x14ac:dyDescent="0.25">
      <c r="B110" s="1479"/>
      <c r="C110" s="1448"/>
      <c r="D110" s="1448"/>
      <c r="E110" s="1448"/>
      <c r="F110" s="1448"/>
      <c r="G110" s="1448"/>
      <c r="H110" s="1448"/>
      <c r="I110" s="1466"/>
      <c r="J110" s="1448"/>
      <c r="K110" s="1466"/>
      <c r="L110" s="1494"/>
      <c r="M110" s="1448"/>
      <c r="N110" s="1448"/>
      <c r="P110" s="1474"/>
    </row>
    <row r="111" spans="2:16" x14ac:dyDescent="0.25">
      <c r="B111" s="1479"/>
      <c r="C111" s="1459">
        <v>7</v>
      </c>
      <c r="D111" s="1460" t="s">
        <v>1220</v>
      </c>
      <c r="E111" s="1460"/>
      <c r="F111" s="1461"/>
      <c r="G111" s="1462"/>
      <c r="H111" s="1462"/>
      <c r="I111" s="1462"/>
      <c r="J111" s="1462"/>
      <c r="K111" s="1462"/>
      <c r="L111" s="1462"/>
      <c r="M111" s="1463"/>
      <c r="N111" s="1711">
        <v>2</v>
      </c>
      <c r="P111" s="1474"/>
    </row>
    <row r="112" spans="2:16" ht="7.5" customHeight="1" x14ac:dyDescent="0.25">
      <c r="B112" s="1479"/>
      <c r="C112" s="1448"/>
      <c r="D112" s="1459"/>
      <c r="E112" s="1459"/>
      <c r="F112" s="1464"/>
      <c r="G112" s="1459"/>
      <c r="H112" s="1459"/>
      <c r="I112" s="1459"/>
      <c r="J112" s="1459"/>
      <c r="K112" s="1459"/>
      <c r="L112" s="1459"/>
      <c r="M112" s="1465"/>
      <c r="N112" s="1459"/>
      <c r="P112" s="1474"/>
    </row>
    <row r="113" spans="2:16" x14ac:dyDescent="0.25">
      <c r="B113" s="1479"/>
      <c r="C113" s="1448"/>
      <c r="D113" s="1448"/>
      <c r="E113" s="1451" t="s">
        <v>1221</v>
      </c>
      <c r="F113" s="1448"/>
      <c r="G113" s="1448"/>
      <c r="H113" s="1448"/>
      <c r="I113" s="1448"/>
      <c r="J113" s="1448"/>
      <c r="K113" s="1448"/>
      <c r="L113" s="1448"/>
      <c r="M113" s="1448"/>
      <c r="N113" s="1448"/>
      <c r="P113" s="1474"/>
    </row>
    <row r="114" spans="2:16" ht="6.75" customHeight="1" x14ac:dyDescent="0.25">
      <c r="B114" s="1479"/>
      <c r="C114" s="1448"/>
      <c r="D114" s="1464"/>
      <c r="E114" s="1464"/>
      <c r="F114" s="1448"/>
      <c r="G114" s="1448"/>
      <c r="H114" s="1448"/>
      <c r="I114" s="1448"/>
      <c r="J114" s="1448"/>
      <c r="K114" s="1448"/>
      <c r="L114" s="1448"/>
      <c r="M114" s="1448"/>
      <c r="N114" s="1448"/>
      <c r="P114" s="1474"/>
    </row>
    <row r="115" spans="2:16" x14ac:dyDescent="0.25">
      <c r="B115" s="1479"/>
      <c r="C115" s="1448"/>
      <c r="D115" s="1448"/>
      <c r="E115" s="1448"/>
      <c r="F115" s="1448" t="s">
        <v>1222</v>
      </c>
      <c r="G115" s="1448"/>
      <c r="H115" s="1448"/>
      <c r="I115" s="1448"/>
      <c r="J115" s="2686" t="s">
        <v>843</v>
      </c>
      <c r="K115" s="2687"/>
      <c r="L115" s="2687"/>
      <c r="M115" s="2688"/>
      <c r="N115" s="1448"/>
      <c r="P115" s="1474"/>
    </row>
    <row r="116" spans="2:16" x14ac:dyDescent="0.25">
      <c r="B116" s="1479"/>
      <c r="C116" s="1448"/>
      <c r="D116" s="1448"/>
      <c r="E116" s="1448"/>
      <c r="F116" s="1448" t="s">
        <v>1223</v>
      </c>
      <c r="G116" s="1448"/>
      <c r="H116" s="1448"/>
      <c r="I116" s="1466"/>
      <c r="J116" s="2689">
        <v>30</v>
      </c>
      <c r="K116" s="2690"/>
      <c r="L116" s="2690"/>
      <c r="M116" s="2691"/>
      <c r="N116" s="1448"/>
      <c r="P116" s="1474"/>
    </row>
    <row r="117" spans="2:16" x14ac:dyDescent="0.25">
      <c r="B117" s="1479"/>
      <c r="C117" s="1448"/>
      <c r="D117" s="1448"/>
      <c r="E117" s="1448"/>
      <c r="F117" s="1448"/>
      <c r="G117" s="1448"/>
      <c r="H117" s="1467"/>
      <c r="I117" s="1466"/>
      <c r="J117" s="1470"/>
      <c r="K117" s="1470"/>
      <c r="L117" s="1452"/>
      <c r="M117" s="1452"/>
      <c r="N117" s="1448"/>
      <c r="P117" s="1474"/>
    </row>
    <row r="118" spans="2:16" x14ac:dyDescent="0.25">
      <c r="B118" s="1479"/>
      <c r="C118" s="1459">
        <v>8</v>
      </c>
      <c r="D118" s="1460" t="s">
        <v>1224</v>
      </c>
      <c r="E118" s="1460"/>
      <c r="F118" s="1461"/>
      <c r="G118" s="1462"/>
      <c r="H118" s="1462"/>
      <c r="I118" s="1462"/>
      <c r="J118" s="1462"/>
      <c r="K118" s="1462"/>
      <c r="L118" s="1462"/>
      <c r="M118" s="1463"/>
      <c r="N118" s="1711">
        <v>10</v>
      </c>
      <c r="P118" s="1474"/>
    </row>
    <row r="119" spans="2:16" ht="7.5" customHeight="1" x14ac:dyDescent="0.25">
      <c r="B119" s="1479"/>
      <c r="C119" s="1448"/>
      <c r="D119" s="1459"/>
      <c r="E119" s="1459"/>
      <c r="F119" s="1448"/>
      <c r="G119" s="1459"/>
      <c r="H119" s="1459"/>
      <c r="I119" s="1459"/>
      <c r="J119" s="1459"/>
      <c r="K119" s="1459"/>
      <c r="L119" s="1459"/>
      <c r="M119" s="1465"/>
      <c r="N119" s="1459"/>
      <c r="P119" s="1474"/>
    </row>
    <row r="120" spans="2:16" x14ac:dyDescent="0.25">
      <c r="B120" s="1479"/>
      <c r="C120" s="1448"/>
      <c r="D120" s="1464" t="s">
        <v>1225</v>
      </c>
      <c r="E120" s="1464"/>
      <c r="F120" s="1448"/>
      <c r="G120" s="1448"/>
      <c r="H120" s="1448"/>
      <c r="I120" s="1448"/>
      <c r="J120" s="1448"/>
      <c r="K120" s="1448"/>
      <c r="L120" s="1448"/>
      <c r="M120" s="1448"/>
      <c r="N120" s="1448"/>
      <c r="P120" s="1474"/>
    </row>
    <row r="121" spans="2:16" ht="4.5" customHeight="1" x14ac:dyDescent="0.25">
      <c r="B121" s="1479"/>
      <c r="C121" s="1448"/>
      <c r="D121" s="1464"/>
      <c r="E121" s="1464"/>
      <c r="F121" s="1448"/>
      <c r="G121" s="1448"/>
      <c r="H121" s="1448"/>
      <c r="I121" s="1448"/>
      <c r="J121" s="1448"/>
      <c r="K121" s="1448"/>
      <c r="L121" s="1448"/>
      <c r="M121" s="1448"/>
      <c r="N121" s="1448"/>
      <c r="P121" s="1474"/>
    </row>
    <row r="122" spans="2:16" x14ac:dyDescent="0.25">
      <c r="B122" s="1479"/>
      <c r="C122" s="1448"/>
      <c r="D122" s="1448"/>
      <c r="E122" s="1448"/>
      <c r="F122" s="2692" t="s">
        <v>1453</v>
      </c>
      <c r="G122" s="2693"/>
      <c r="H122" s="1448"/>
      <c r="I122" s="1448"/>
      <c r="J122" s="1448"/>
      <c r="K122" s="1448"/>
      <c r="L122" s="1448"/>
      <c r="M122" s="1448"/>
      <c r="N122" s="1448"/>
      <c r="P122" s="1474"/>
    </row>
    <row r="123" spans="2:16" s="1427" customFormat="1" x14ac:dyDescent="0.25">
      <c r="B123" s="1480"/>
      <c r="C123" s="1448"/>
      <c r="D123" s="1448"/>
      <c r="E123" s="1448"/>
      <c r="F123" s="1495"/>
      <c r="G123" s="1495"/>
      <c r="H123" s="1448"/>
      <c r="I123" s="1448"/>
      <c r="J123" s="1448"/>
      <c r="K123" s="1448"/>
      <c r="L123" s="1448"/>
      <c r="M123" s="1448"/>
      <c r="N123" s="1448"/>
      <c r="P123" s="1475"/>
    </row>
    <row r="124" spans="2:16" x14ac:dyDescent="0.25">
      <c r="B124" s="1479"/>
      <c r="C124" s="1448"/>
      <c r="D124" s="1448"/>
      <c r="E124" s="1448"/>
      <c r="F124" s="1448"/>
      <c r="G124" s="1448"/>
      <c r="H124" s="1448"/>
      <c r="I124" s="1448"/>
      <c r="J124" s="1448"/>
      <c r="K124" s="1448"/>
      <c r="L124" s="1448"/>
      <c r="M124" s="1448"/>
      <c r="N124" s="1448"/>
      <c r="P124" s="1474"/>
    </row>
    <row r="125" spans="2:16" x14ac:dyDescent="0.25">
      <c r="B125" s="1479"/>
      <c r="C125" s="1459">
        <v>9</v>
      </c>
      <c r="D125" s="1460" t="s">
        <v>1227</v>
      </c>
      <c r="E125" s="1460"/>
      <c r="F125" s="1461"/>
      <c r="G125" s="1462"/>
      <c r="H125" s="1462"/>
      <c r="I125" s="1462"/>
      <c r="J125" s="1462"/>
      <c r="K125" s="1462"/>
      <c r="L125" s="1462"/>
      <c r="M125" s="1463"/>
      <c r="N125" s="1711">
        <v>0</v>
      </c>
      <c r="P125" s="1474"/>
    </row>
    <row r="126" spans="2:16" ht="7.5" customHeight="1" x14ac:dyDescent="0.25">
      <c r="B126" s="1479"/>
      <c r="C126" s="1448"/>
      <c r="D126" s="1448"/>
      <c r="E126" s="1448"/>
      <c r="F126" s="1448"/>
      <c r="G126" s="1448"/>
      <c r="H126" s="1448"/>
      <c r="I126" s="1448"/>
      <c r="J126" s="1448"/>
      <c r="K126" s="1448"/>
      <c r="L126" s="1448"/>
      <c r="M126" s="1448"/>
      <c r="N126" s="1448"/>
      <c r="P126" s="1474"/>
    </row>
    <row r="127" spans="2:16" ht="27.75" customHeight="1" x14ac:dyDescent="0.25">
      <c r="B127" s="1479"/>
      <c r="C127" s="1448"/>
      <c r="D127" s="2664" t="s">
        <v>1228</v>
      </c>
      <c r="E127" s="2664"/>
      <c r="F127" s="2664"/>
      <c r="G127" s="2664"/>
      <c r="H127" s="2664"/>
      <c r="I127" s="2664"/>
      <c r="J127" s="2664"/>
      <c r="K127" s="2664"/>
      <c r="L127" s="2664"/>
      <c r="M127" s="2664"/>
      <c r="N127" s="2664"/>
      <c r="P127" s="1474"/>
    </row>
    <row r="128" spans="2:16" ht="4.5" customHeight="1" x14ac:dyDescent="0.25">
      <c r="B128" s="1479"/>
      <c r="C128" s="1448"/>
      <c r="D128" s="1464"/>
      <c r="E128" s="1464"/>
      <c r="F128" s="1464"/>
      <c r="G128" s="1464"/>
      <c r="H128" s="1464"/>
      <c r="I128" s="1464"/>
      <c r="J128" s="1464"/>
      <c r="K128" s="1464"/>
      <c r="L128" s="1464"/>
      <c r="M128" s="1464"/>
      <c r="N128" s="1464"/>
      <c r="P128" s="1474"/>
    </row>
    <row r="129" spans="2:16" x14ac:dyDescent="0.25">
      <c r="B129" s="1479"/>
      <c r="C129" s="1448"/>
      <c r="D129" s="1448"/>
      <c r="E129" s="1451" t="s">
        <v>1229</v>
      </c>
      <c r="F129" s="1448"/>
      <c r="G129" s="1448"/>
      <c r="H129" s="1448"/>
      <c r="I129" s="1448"/>
      <c r="J129" s="1448"/>
      <c r="K129" s="1448"/>
      <c r="L129" s="1448"/>
      <c r="M129" s="1448"/>
      <c r="N129" s="1448"/>
      <c r="P129" s="1474"/>
    </row>
    <row r="130" spans="2:16" x14ac:dyDescent="0.25">
      <c r="B130" s="1479"/>
      <c r="C130" s="1448"/>
      <c r="D130" s="1448"/>
      <c r="E130" s="1451"/>
      <c r="F130" s="1448" t="s">
        <v>1230</v>
      </c>
      <c r="G130" s="1448"/>
      <c r="H130" s="1448"/>
      <c r="I130" s="1448"/>
      <c r="J130" s="2671" t="s">
        <v>1231</v>
      </c>
      <c r="K130" s="2672"/>
      <c r="L130" s="2672"/>
      <c r="M130" s="2673"/>
      <c r="N130" s="1448"/>
      <c r="P130" s="1474"/>
    </row>
    <row r="131" spans="2:16" x14ac:dyDescent="0.25">
      <c r="B131" s="1479"/>
      <c r="C131" s="1448"/>
      <c r="D131" s="1448"/>
      <c r="E131" s="1448"/>
      <c r="F131" s="1448" t="s">
        <v>1232</v>
      </c>
      <c r="G131" s="1448"/>
      <c r="H131" s="1448"/>
      <c r="I131" s="1466"/>
      <c r="J131" s="2671" t="s">
        <v>1233</v>
      </c>
      <c r="K131" s="2672"/>
      <c r="L131" s="2672"/>
      <c r="M131" s="2673"/>
      <c r="N131" s="1448"/>
      <c r="P131" s="1474"/>
    </row>
    <row r="132" spans="2:16" x14ac:dyDescent="0.25">
      <c r="B132" s="1479"/>
      <c r="C132" s="1448"/>
      <c r="D132" s="1448"/>
      <c r="E132" s="1448"/>
      <c r="F132" s="1448" t="s">
        <v>1234</v>
      </c>
      <c r="G132" s="1448"/>
      <c r="H132" s="1448"/>
      <c r="I132" s="1466"/>
      <c r="J132" s="2671" t="s">
        <v>1235</v>
      </c>
      <c r="K132" s="2672"/>
      <c r="L132" s="2672"/>
      <c r="M132" s="2673"/>
      <c r="N132" s="1448"/>
      <c r="P132" s="1474"/>
    </row>
    <row r="133" spans="2:16" x14ac:dyDescent="0.25">
      <c r="B133" s="1479"/>
      <c r="C133" s="1448"/>
      <c r="D133" s="1448"/>
      <c r="E133" s="1448"/>
      <c r="F133" s="1448" t="s">
        <v>1236</v>
      </c>
      <c r="G133" s="1448"/>
      <c r="H133" s="1448"/>
      <c r="I133" s="1466"/>
      <c r="J133" s="2671" t="s">
        <v>1237</v>
      </c>
      <c r="K133" s="2672"/>
      <c r="L133" s="2672"/>
      <c r="M133" s="2673"/>
      <c r="N133" s="1448"/>
      <c r="P133" s="1474"/>
    </row>
    <row r="134" spans="2:16" x14ac:dyDescent="0.25">
      <c r="B134" s="1479"/>
      <c r="C134" s="1448"/>
      <c r="D134" s="1448"/>
      <c r="E134" s="1468"/>
      <c r="F134" s="1448"/>
      <c r="G134" s="1448"/>
      <c r="H134" s="1467"/>
      <c r="I134" s="1466"/>
      <c r="J134" s="1452"/>
      <c r="K134" s="1452"/>
      <c r="L134" s="1452"/>
      <c r="M134" s="1452"/>
      <c r="N134" s="1448"/>
      <c r="P134" s="1474"/>
    </row>
    <row r="135" spans="2:16" x14ac:dyDescent="0.25">
      <c r="B135" s="1479"/>
      <c r="C135" s="1459">
        <v>10</v>
      </c>
      <c r="D135" s="1460" t="s">
        <v>1238</v>
      </c>
      <c r="E135" s="1460"/>
      <c r="F135" s="1461"/>
      <c r="G135" s="1462"/>
      <c r="H135" s="1462"/>
      <c r="I135" s="1462"/>
      <c r="J135" s="1462"/>
      <c r="K135" s="1462"/>
      <c r="L135" s="1462"/>
      <c r="M135" s="1463"/>
      <c r="N135" s="1711">
        <v>0</v>
      </c>
      <c r="P135" s="1474"/>
    </row>
    <row r="136" spans="2:16" ht="7.5" customHeight="1" x14ac:dyDescent="0.25">
      <c r="B136" s="1479"/>
      <c r="C136" s="1448"/>
      <c r="D136" s="1448"/>
      <c r="E136" s="1448"/>
      <c r="F136" s="1448"/>
      <c r="G136" s="1448"/>
      <c r="H136" s="1448"/>
      <c r="I136" s="1448"/>
      <c r="J136" s="1448"/>
      <c r="K136" s="1448"/>
      <c r="L136" s="1448"/>
      <c r="M136" s="1448"/>
      <c r="N136" s="1448"/>
      <c r="P136" s="1474"/>
    </row>
    <row r="137" spans="2:16" ht="29.25" customHeight="1" x14ac:dyDescent="0.25">
      <c r="B137" s="1479"/>
      <c r="C137" s="1448"/>
      <c r="D137" s="2664" t="s">
        <v>1239</v>
      </c>
      <c r="E137" s="2664"/>
      <c r="F137" s="2664"/>
      <c r="G137" s="2664"/>
      <c r="H137" s="2664"/>
      <c r="I137" s="2664"/>
      <c r="J137" s="2664"/>
      <c r="K137" s="2664"/>
      <c r="L137" s="2664"/>
      <c r="M137" s="2664"/>
      <c r="N137" s="2664"/>
      <c r="P137" s="1474"/>
    </row>
    <row r="138" spans="2:16" ht="4.5" customHeight="1" x14ac:dyDescent="0.25">
      <c r="B138" s="1479"/>
      <c r="C138" s="1448"/>
      <c r="D138" s="1464"/>
      <c r="E138" s="1448"/>
      <c r="F138" s="1448"/>
      <c r="G138" s="1448"/>
      <c r="H138" s="1448"/>
      <c r="I138" s="1448"/>
      <c r="J138" s="1448"/>
      <c r="K138" s="1448"/>
      <c r="L138" s="1448"/>
      <c r="M138" s="1448"/>
      <c r="N138" s="1448"/>
      <c r="P138" s="1474"/>
    </row>
    <row r="139" spans="2:16" x14ac:dyDescent="0.25">
      <c r="B139" s="1479"/>
      <c r="C139" s="1448"/>
      <c r="D139" s="1448"/>
      <c r="E139" s="1448"/>
      <c r="F139" s="2662" t="s">
        <v>1240</v>
      </c>
      <c r="G139" s="2667"/>
      <c r="H139" s="2667"/>
      <c r="I139" s="2667"/>
      <c r="J139" s="2667"/>
      <c r="K139" s="2667"/>
      <c r="L139" s="2667"/>
      <c r="M139" s="2667"/>
      <c r="N139" s="2663"/>
      <c r="P139" s="1474"/>
    </row>
    <row r="140" spans="2:16" x14ac:dyDescent="0.25">
      <c r="B140" s="1479"/>
      <c r="C140" s="1448"/>
      <c r="D140" s="1448"/>
      <c r="E140" s="1448"/>
      <c r="F140" s="1448"/>
      <c r="G140" s="1449"/>
      <c r="H140" s="1449"/>
      <c r="I140" s="1449"/>
      <c r="J140" s="1449"/>
      <c r="K140" s="1449"/>
      <c r="L140" s="1449"/>
      <c r="M140" s="1449"/>
      <c r="N140" s="1449"/>
      <c r="P140" s="1474"/>
    </row>
    <row r="141" spans="2:16" x14ac:dyDescent="0.25">
      <c r="B141" s="1479"/>
      <c r="C141" s="1448"/>
      <c r="D141" s="1448"/>
      <c r="E141" s="1448"/>
      <c r="F141" s="1448"/>
      <c r="G141" s="1449" t="s">
        <v>1241</v>
      </c>
      <c r="H141" s="1449"/>
      <c r="I141" s="1449"/>
      <c r="J141" s="1449"/>
      <c r="K141" s="1449"/>
      <c r="L141" s="1449"/>
      <c r="M141" s="1715">
        <v>0</v>
      </c>
      <c r="N141" s="1449" t="s">
        <v>1192</v>
      </c>
      <c r="P141" s="1474"/>
    </row>
    <row r="142" spans="2:16" ht="4.5" customHeight="1" x14ac:dyDescent="0.25">
      <c r="B142" s="1479"/>
      <c r="C142" s="1448"/>
      <c r="D142" s="1448"/>
      <c r="E142" s="1448"/>
      <c r="F142" s="1449"/>
      <c r="G142" s="2694" t="s">
        <v>1242</v>
      </c>
      <c r="H142" s="2694"/>
      <c r="I142" s="2694"/>
      <c r="J142" s="2694"/>
      <c r="K142" s="2694"/>
      <c r="L142" s="2694"/>
      <c r="M142" s="1448"/>
      <c r="N142" s="1448"/>
      <c r="P142" s="1474"/>
    </row>
    <row r="143" spans="2:16" x14ac:dyDescent="0.25">
      <c r="B143" s="1479"/>
      <c r="C143" s="1448"/>
      <c r="D143" s="1448"/>
      <c r="E143" s="1448"/>
      <c r="F143" s="1449"/>
      <c r="G143" s="2694"/>
      <c r="H143" s="2694"/>
      <c r="I143" s="2694"/>
      <c r="J143" s="2694"/>
      <c r="K143" s="2694"/>
      <c r="L143" s="2694"/>
      <c r="M143" s="1715">
        <v>0</v>
      </c>
      <c r="N143" s="1449" t="s">
        <v>1192</v>
      </c>
      <c r="P143" s="1474"/>
    </row>
    <row r="144" spans="2:16" x14ac:dyDescent="0.25">
      <c r="B144" s="1479"/>
      <c r="C144" s="1448"/>
      <c r="D144" s="1448"/>
      <c r="E144" s="1448"/>
      <c r="F144" s="1448"/>
      <c r="G144" s="1448" t="s">
        <v>1243</v>
      </c>
      <c r="H144" s="1448"/>
      <c r="I144" s="1448"/>
      <c r="J144" s="1448"/>
      <c r="K144" s="1448"/>
      <c r="L144" s="1448"/>
      <c r="M144" s="1722" t="e">
        <f>M143/M141</f>
        <v>#DIV/0!</v>
      </c>
      <c r="N144" s="1449" t="s">
        <v>1244</v>
      </c>
      <c r="P144" s="1474"/>
    </row>
    <row r="145" spans="2:16" x14ac:dyDescent="0.25">
      <c r="B145" s="1479"/>
      <c r="C145" s="1448"/>
      <c r="D145" s="1448"/>
      <c r="E145" s="1448"/>
      <c r="F145" s="1448"/>
      <c r="G145" s="1448"/>
      <c r="H145" s="1448"/>
      <c r="I145" s="1448"/>
      <c r="J145" s="1448"/>
      <c r="K145" s="1448"/>
      <c r="L145" s="1448"/>
      <c r="M145" s="1450"/>
      <c r="N145" s="1449"/>
      <c r="P145" s="1474"/>
    </row>
    <row r="146" spans="2:16" ht="15.75" thickBot="1" x14ac:dyDescent="0.3">
      <c r="B146" s="1479"/>
      <c r="C146" s="1448"/>
      <c r="D146" s="1448"/>
      <c r="E146" s="1448"/>
      <c r="F146" s="1448"/>
      <c r="G146" s="1448"/>
      <c r="H146" s="1448"/>
      <c r="I146" s="1448"/>
      <c r="J146" s="1448"/>
      <c r="K146" s="1448"/>
      <c r="L146" s="1448"/>
      <c r="M146" s="1448"/>
      <c r="N146" s="1448"/>
      <c r="P146" s="1474"/>
    </row>
    <row r="147" spans="2:16" s="1425" customFormat="1" x14ac:dyDescent="0.25">
      <c r="B147" s="1483"/>
      <c r="C147" s="1477"/>
      <c r="D147" s="1477"/>
      <c r="E147" s="1477"/>
      <c r="F147" s="1477"/>
      <c r="G147" s="1477"/>
      <c r="H147" s="1477"/>
      <c r="I147" s="1477"/>
      <c r="J147" s="1477"/>
      <c r="K147" s="1477"/>
      <c r="L147" s="1477"/>
      <c r="M147" s="1477"/>
      <c r="N147" s="1477"/>
      <c r="O147" s="1477"/>
      <c r="P147" s="1478"/>
    </row>
    <row r="148" spans="2:16" s="1425" customFormat="1" ht="18.75" x14ac:dyDescent="0.3">
      <c r="B148" s="1482"/>
      <c r="C148" s="2659" t="s">
        <v>1677</v>
      </c>
      <c r="D148" s="2659"/>
      <c r="E148" s="2659"/>
      <c r="F148" s="2659"/>
      <c r="G148" s="2659"/>
      <c r="H148" s="2659"/>
      <c r="I148" s="2659"/>
      <c r="J148" s="2659"/>
      <c r="K148" s="2659"/>
      <c r="L148" s="2659"/>
      <c r="M148" s="2659"/>
      <c r="N148" s="2659"/>
      <c r="O148" s="2659"/>
      <c r="P148" s="1473"/>
    </row>
    <row r="149" spans="2:16" s="1425" customFormat="1" ht="7.5" customHeight="1" x14ac:dyDescent="0.25">
      <c r="B149" s="1482"/>
      <c r="C149" s="1445"/>
      <c r="D149" s="1445"/>
      <c r="E149" s="1445"/>
      <c r="F149" s="1445"/>
      <c r="G149" s="1445"/>
      <c r="H149" s="1445"/>
      <c r="I149" s="1445"/>
      <c r="J149" s="1445"/>
      <c r="K149" s="1445"/>
      <c r="L149" s="1445"/>
      <c r="M149" s="1445"/>
      <c r="N149" s="1445"/>
      <c r="O149" s="1445"/>
      <c r="P149" s="1473"/>
    </row>
    <row r="150" spans="2:16" s="1425" customFormat="1" ht="15.75" thickBot="1" x14ac:dyDescent="0.3">
      <c r="B150" s="1482"/>
      <c r="C150" s="2701" t="str">
        <f>C17</f>
        <v>Project Name: Compass Broadview</v>
      </c>
      <c r="D150" s="2701"/>
      <c r="E150" s="2701"/>
      <c r="F150" s="2701"/>
      <c r="G150" s="2701"/>
      <c r="H150" s="2701"/>
      <c r="I150" s="2701"/>
      <c r="J150" s="2701"/>
      <c r="K150" s="2701"/>
      <c r="L150" s="2701"/>
      <c r="M150" s="711"/>
      <c r="N150" s="1424"/>
      <c r="O150" s="1424"/>
      <c r="P150" s="1474"/>
    </row>
    <row r="151" spans="2:16" ht="15" customHeight="1" x14ac:dyDescent="0.25">
      <c r="B151" s="1479"/>
      <c r="C151" s="1448"/>
      <c r="D151" s="1448"/>
      <c r="E151" s="1448"/>
      <c r="F151" s="1448"/>
      <c r="G151" s="1448"/>
      <c r="H151" s="1448"/>
      <c r="I151" s="1448"/>
      <c r="J151" s="1448"/>
      <c r="K151" s="1448"/>
      <c r="L151" s="1448"/>
      <c r="M151" s="2655"/>
      <c r="N151" s="2657" t="s">
        <v>1166</v>
      </c>
      <c r="P151" s="1474"/>
    </row>
    <row r="152" spans="2:16" x14ac:dyDescent="0.25">
      <c r="B152" s="1479"/>
      <c r="C152" s="1448"/>
      <c r="D152" s="1448"/>
      <c r="E152" s="1448"/>
      <c r="F152" s="1454"/>
      <c r="G152" s="1448"/>
      <c r="H152" s="1448"/>
      <c r="I152" s="1448"/>
      <c r="J152" s="1448"/>
      <c r="K152" s="1448"/>
      <c r="L152" s="1448"/>
      <c r="M152" s="2656"/>
      <c r="N152" s="2658"/>
      <c r="P152" s="1474"/>
    </row>
    <row r="153" spans="2:16" x14ac:dyDescent="0.25">
      <c r="B153" s="1479"/>
      <c r="C153" s="1459">
        <v>11</v>
      </c>
      <c r="D153" s="1460" t="s">
        <v>1245</v>
      </c>
      <c r="E153" s="1460"/>
      <c r="F153" s="1461"/>
      <c r="G153" s="1462"/>
      <c r="H153" s="1462"/>
      <c r="I153" s="1462"/>
      <c r="J153" s="1462"/>
      <c r="K153" s="1462"/>
      <c r="L153" s="1462"/>
      <c r="M153" s="1463"/>
      <c r="N153" s="1711">
        <v>0</v>
      </c>
      <c r="P153" s="1474"/>
    </row>
    <row r="154" spans="2:16" ht="7.5" customHeight="1" x14ac:dyDescent="0.25">
      <c r="B154" s="1479"/>
      <c r="C154" s="1448"/>
      <c r="D154" s="1459"/>
      <c r="E154" s="1459"/>
      <c r="F154" s="1464"/>
      <c r="G154" s="1459"/>
      <c r="H154" s="1459"/>
      <c r="I154" s="1459"/>
      <c r="J154" s="1459"/>
      <c r="K154" s="1459"/>
      <c r="L154" s="1459"/>
      <c r="M154" s="1465"/>
      <c r="N154" s="1459"/>
      <c r="P154" s="1474"/>
    </row>
    <row r="155" spans="2:16" ht="27" customHeight="1" x14ac:dyDescent="0.25">
      <c r="B155" s="1479"/>
      <c r="C155" s="1448"/>
      <c r="D155" s="2664" t="s">
        <v>1246</v>
      </c>
      <c r="E155" s="2664"/>
      <c r="F155" s="2664"/>
      <c r="G155" s="2664"/>
      <c r="H155" s="2664"/>
      <c r="I155" s="2664"/>
      <c r="J155" s="2664"/>
      <c r="K155" s="2664"/>
      <c r="L155" s="2664"/>
      <c r="M155" s="2664"/>
      <c r="N155" s="2664"/>
      <c r="P155" s="1474"/>
    </row>
    <row r="156" spans="2:16" ht="4.5" customHeight="1" x14ac:dyDescent="0.25">
      <c r="B156" s="1479"/>
      <c r="C156" s="1448"/>
      <c r="D156" s="1469"/>
      <c r="E156" s="1469"/>
      <c r="F156" s="1469"/>
      <c r="G156" s="1469"/>
      <c r="H156" s="1469"/>
      <c r="I156" s="1469"/>
      <c r="J156" s="1469"/>
      <c r="K156" s="1469"/>
      <c r="L156" s="1469"/>
      <c r="M156" s="1469"/>
      <c r="N156" s="1469"/>
      <c r="P156" s="1474"/>
    </row>
    <row r="157" spans="2:16" x14ac:dyDescent="0.25">
      <c r="B157" s="1479"/>
      <c r="C157" s="1448"/>
      <c r="D157" s="1469"/>
      <c r="E157" s="1469"/>
      <c r="F157" s="1453" t="s">
        <v>1247</v>
      </c>
      <c r="G157" s="1469"/>
      <c r="H157" s="2662"/>
      <c r="I157" s="2667"/>
      <c r="J157" s="2663"/>
      <c r="K157" s="1449"/>
      <c r="L157" s="1449"/>
      <c r="M157" s="1469"/>
      <c r="N157" s="1469"/>
      <c r="P157" s="1474"/>
    </row>
    <row r="158" spans="2:16" x14ac:dyDescent="0.25">
      <c r="B158" s="1479"/>
      <c r="C158" s="1448"/>
      <c r="D158" s="1468"/>
      <c r="E158" s="1468" t="s">
        <v>1248</v>
      </c>
      <c r="F158" s="1448"/>
      <c r="G158" s="1448"/>
      <c r="H158" s="1448"/>
      <c r="I158" s="1448"/>
      <c r="J158" s="1448"/>
      <c r="K158" s="1459"/>
      <c r="L158" s="1471"/>
      <c r="M158" s="1465"/>
      <c r="N158" s="1459"/>
      <c r="P158" s="1474"/>
    </row>
    <row r="159" spans="2:16" x14ac:dyDescent="0.25">
      <c r="B159" s="1479"/>
      <c r="C159" s="1448"/>
      <c r="D159" s="1468"/>
      <c r="E159" s="1468"/>
      <c r="F159" s="1448"/>
      <c r="G159" s="1448"/>
      <c r="H159" s="1448"/>
      <c r="I159" s="1448"/>
      <c r="J159" s="1448"/>
      <c r="K159" s="1459"/>
      <c r="L159" s="1471"/>
      <c r="M159" s="1465"/>
      <c r="N159" s="1459"/>
      <c r="P159" s="1474"/>
    </row>
    <row r="160" spans="2:16" x14ac:dyDescent="0.25">
      <c r="B160" s="1479"/>
      <c r="C160" s="1448"/>
      <c r="D160" s="1459"/>
      <c r="E160" s="1459"/>
      <c r="F160" s="1449"/>
      <c r="G160" s="1449"/>
      <c r="H160" s="1449"/>
      <c r="I160" s="1449"/>
      <c r="J160" s="1449"/>
      <c r="K160" s="1459"/>
      <c r="L160" s="1471"/>
      <c r="M160" s="1465"/>
      <c r="N160" s="1459"/>
      <c r="P160" s="1474"/>
    </row>
    <row r="161" spans="2:16" x14ac:dyDescent="0.25">
      <c r="B161" s="1479"/>
      <c r="C161" s="1459">
        <v>12</v>
      </c>
      <c r="D161" s="1460" t="s">
        <v>1249</v>
      </c>
      <c r="E161" s="1460"/>
      <c r="F161" s="1461"/>
      <c r="G161" s="1462"/>
      <c r="H161" s="1462"/>
      <c r="I161" s="1462"/>
      <c r="J161" s="1462"/>
      <c r="K161" s="1462"/>
      <c r="L161" s="1462"/>
      <c r="M161" s="1463"/>
      <c r="N161" s="1711">
        <v>2</v>
      </c>
      <c r="P161" s="1474"/>
    </row>
    <row r="162" spans="2:16" ht="7.5" customHeight="1" x14ac:dyDescent="0.25">
      <c r="B162" s="1479"/>
      <c r="C162" s="1448"/>
      <c r="D162" s="1459"/>
      <c r="E162" s="1459"/>
      <c r="F162" s="1464"/>
      <c r="G162" s="1459"/>
      <c r="H162" s="1459"/>
      <c r="I162" s="1459"/>
      <c r="J162" s="1459"/>
      <c r="K162" s="1459"/>
      <c r="L162" s="1459"/>
      <c r="M162" s="1465"/>
      <c r="N162" s="1459"/>
      <c r="P162" s="1474"/>
    </row>
    <row r="163" spans="2:16" ht="27" customHeight="1" x14ac:dyDescent="0.25">
      <c r="B163" s="1479"/>
      <c r="C163" s="1448"/>
      <c r="D163" s="2664" t="s">
        <v>1250</v>
      </c>
      <c r="E163" s="2664"/>
      <c r="F163" s="2664"/>
      <c r="G163" s="2664"/>
      <c r="H163" s="2664"/>
      <c r="I163" s="2664"/>
      <c r="J163" s="2664"/>
      <c r="K163" s="2664"/>
      <c r="L163" s="2664"/>
      <c r="M163" s="2664"/>
      <c r="N163" s="2664"/>
      <c r="P163" s="1474"/>
    </row>
    <row r="164" spans="2:16" ht="4.5" customHeight="1" x14ac:dyDescent="0.25">
      <c r="B164" s="1479"/>
      <c r="C164" s="1448"/>
      <c r="D164" s="1469"/>
      <c r="E164" s="1469"/>
      <c r="F164" s="1469"/>
      <c r="G164" s="1469"/>
      <c r="H164" s="1469"/>
      <c r="I164" s="1469"/>
      <c r="J164" s="1469"/>
      <c r="K164" s="1469"/>
      <c r="L164" s="1469"/>
      <c r="M164" s="1469"/>
      <c r="N164" s="1469"/>
      <c r="P164" s="1474"/>
    </row>
    <row r="165" spans="2:16" x14ac:dyDescent="0.25">
      <c r="B165" s="1479"/>
      <c r="C165" s="1448"/>
      <c r="D165" s="1469"/>
      <c r="E165" s="1469"/>
      <c r="F165" s="1453" t="s">
        <v>1251</v>
      </c>
      <c r="G165" s="1469"/>
      <c r="H165" s="2662" t="s">
        <v>1840</v>
      </c>
      <c r="I165" s="2667"/>
      <c r="J165" s="2667"/>
      <c r="K165" s="2667"/>
      <c r="L165" s="2667"/>
      <c r="M165" s="2663"/>
      <c r="N165" s="1469"/>
      <c r="P165" s="1474"/>
    </row>
    <row r="166" spans="2:16" x14ac:dyDescent="0.25">
      <c r="B166" s="1479"/>
      <c r="C166" s="1448"/>
      <c r="D166" s="1459"/>
      <c r="E166" s="1459"/>
      <c r="F166" s="1448"/>
      <c r="G166" s="1448"/>
      <c r="H166" s="1448"/>
      <c r="I166" s="1448"/>
      <c r="J166" s="1448"/>
      <c r="K166" s="1459"/>
      <c r="L166" s="1471"/>
      <c r="M166" s="1465"/>
      <c r="N166" s="1459"/>
      <c r="P166" s="1474"/>
    </row>
    <row r="167" spans="2:16" x14ac:dyDescent="0.25">
      <c r="B167" s="1479"/>
      <c r="C167" s="1448"/>
      <c r="D167" s="1459"/>
      <c r="E167" s="1459"/>
      <c r="F167" s="1449"/>
      <c r="G167" s="1449"/>
      <c r="H167" s="1449"/>
      <c r="I167" s="1449"/>
      <c r="J167" s="1449"/>
      <c r="K167" s="1459"/>
      <c r="L167" s="1471"/>
      <c r="M167" s="1465"/>
      <c r="N167" s="1459"/>
      <c r="P167" s="1474"/>
    </row>
    <row r="168" spans="2:16" x14ac:dyDescent="0.25">
      <c r="B168" s="1479"/>
      <c r="C168" s="1459">
        <v>13</v>
      </c>
      <c r="D168" s="1460" t="s">
        <v>1252</v>
      </c>
      <c r="E168" s="1460"/>
      <c r="F168" s="1461"/>
      <c r="G168" s="1462"/>
      <c r="H168" s="1462"/>
      <c r="I168" s="1462"/>
      <c r="J168" s="1462"/>
      <c r="K168" s="1462"/>
      <c r="L168" s="1462"/>
      <c r="M168" s="1463"/>
      <c r="N168" s="1711">
        <v>0</v>
      </c>
      <c r="P168" s="1474"/>
    </row>
    <row r="169" spans="2:16" ht="7.5" customHeight="1" x14ac:dyDescent="0.25">
      <c r="B169" s="1479"/>
      <c r="C169" s="1448"/>
      <c r="D169" s="1459"/>
      <c r="E169" s="1459"/>
      <c r="F169" s="1464"/>
      <c r="G169" s="1459"/>
      <c r="H169" s="1459"/>
      <c r="I169" s="1459"/>
      <c r="J169" s="1459"/>
      <c r="K169" s="1459"/>
      <c r="L169" s="1459"/>
      <c r="M169" s="1465"/>
      <c r="N169" s="1459"/>
      <c r="P169" s="1474"/>
    </row>
    <row r="170" spans="2:16" ht="15" customHeight="1" x14ac:dyDescent="0.25">
      <c r="B170" s="1479"/>
      <c r="C170" s="1448"/>
      <c r="D170" s="2664" t="s">
        <v>1253</v>
      </c>
      <c r="E170" s="2664"/>
      <c r="F170" s="2664"/>
      <c r="G170" s="2664"/>
      <c r="H170" s="2664"/>
      <c r="I170" s="2664"/>
      <c r="J170" s="2664"/>
      <c r="K170" s="2664"/>
      <c r="L170" s="2664"/>
      <c r="M170" s="2664"/>
      <c r="N170" s="2664"/>
      <c r="P170" s="1474"/>
    </row>
    <row r="171" spans="2:16" x14ac:dyDescent="0.25">
      <c r="B171" s="1479"/>
      <c r="C171" s="1448"/>
      <c r="D171" s="2664"/>
      <c r="E171" s="2664"/>
      <c r="F171" s="2664"/>
      <c r="G171" s="2664"/>
      <c r="H171" s="2664"/>
      <c r="I171" s="2664"/>
      <c r="J171" s="2664"/>
      <c r="K171" s="2664"/>
      <c r="L171" s="2664"/>
      <c r="M171" s="2664"/>
      <c r="N171" s="2664"/>
      <c r="P171" s="1474"/>
    </row>
    <row r="172" spans="2:16" ht="4.5" customHeight="1" x14ac:dyDescent="0.25">
      <c r="B172" s="1479"/>
      <c r="C172" s="1448"/>
      <c r="D172" s="1469"/>
      <c r="E172" s="1469"/>
      <c r="F172" s="1469"/>
      <c r="G172" s="1469"/>
      <c r="H172" s="1469"/>
      <c r="I172" s="1469"/>
      <c r="J172" s="1469"/>
      <c r="K172" s="1469"/>
      <c r="L172" s="1469"/>
      <c r="M172" s="1469"/>
      <c r="N172" s="1469"/>
      <c r="P172" s="1474"/>
    </row>
    <row r="173" spans="2:16" x14ac:dyDescent="0.25">
      <c r="B173" s="1479"/>
      <c r="C173" s="1448"/>
      <c r="D173" s="1448"/>
      <c r="E173" s="1448"/>
      <c r="F173" s="1448" t="s">
        <v>1202</v>
      </c>
      <c r="G173" s="1448"/>
      <c r="H173" s="2662" t="s">
        <v>1203</v>
      </c>
      <c r="I173" s="2667"/>
      <c r="J173" s="2667"/>
      <c r="K173" s="2667"/>
      <c r="L173" s="2667"/>
      <c r="M173" s="2663"/>
      <c r="N173" s="1448"/>
      <c r="P173" s="1474"/>
    </row>
    <row r="174" spans="2:16" x14ac:dyDescent="0.25">
      <c r="B174" s="1479"/>
      <c r="C174" s="1448"/>
      <c r="D174" s="1448"/>
      <c r="E174" s="1448"/>
      <c r="F174" s="1448"/>
      <c r="G174" s="1448"/>
      <c r="H174" s="1449"/>
      <c r="I174" s="1449"/>
      <c r="J174" s="1449"/>
      <c r="K174" s="1449"/>
      <c r="L174" s="1449"/>
      <c r="M174" s="1449"/>
      <c r="N174" s="1448"/>
      <c r="P174" s="1474"/>
    </row>
    <row r="175" spans="2:16" x14ac:dyDescent="0.25">
      <c r="B175" s="1479"/>
      <c r="C175" s="1448"/>
      <c r="D175" s="1469"/>
      <c r="E175" s="1469"/>
      <c r="F175" s="1469"/>
      <c r="G175" s="1469"/>
      <c r="H175" s="1469"/>
      <c r="I175" s="1469"/>
      <c r="J175" s="1469"/>
      <c r="K175" s="1469"/>
      <c r="L175" s="1469"/>
      <c r="M175" s="1469"/>
      <c r="N175" s="1469"/>
      <c r="P175" s="1474"/>
    </row>
    <row r="176" spans="2:16" x14ac:dyDescent="0.25">
      <c r="B176" s="1479"/>
      <c r="C176" s="1459">
        <v>14</v>
      </c>
      <c r="D176" s="1460" t="s">
        <v>1254</v>
      </c>
      <c r="E176" s="1460"/>
      <c r="F176" s="1461"/>
      <c r="G176" s="1462"/>
      <c r="H176" s="1462"/>
      <c r="I176" s="1462"/>
      <c r="J176" s="1462"/>
      <c r="K176" s="1462"/>
      <c r="L176" s="1462"/>
      <c r="M176" s="1463"/>
      <c r="N176" s="1711">
        <v>0</v>
      </c>
      <c r="P176" s="1474"/>
    </row>
    <row r="177" spans="2:16" ht="7.5" customHeight="1" x14ac:dyDescent="0.25">
      <c r="B177" s="1479"/>
      <c r="C177" s="1448"/>
      <c r="D177" s="1459"/>
      <c r="E177" s="1459"/>
      <c r="F177" s="1464"/>
      <c r="G177" s="1459"/>
      <c r="H177" s="1459"/>
      <c r="I177" s="1459"/>
      <c r="J177" s="1459"/>
      <c r="K177" s="1459"/>
      <c r="L177" s="1459"/>
      <c r="M177" s="1465"/>
      <c r="N177" s="1459"/>
      <c r="P177" s="1474"/>
    </row>
    <row r="178" spans="2:16" ht="15" customHeight="1" x14ac:dyDescent="0.25">
      <c r="B178" s="1479"/>
      <c r="C178" s="1448"/>
      <c r="D178" s="2664" t="s">
        <v>1255</v>
      </c>
      <c r="E178" s="2664"/>
      <c r="F178" s="2664"/>
      <c r="G178" s="2664"/>
      <c r="H178" s="2664"/>
      <c r="I178" s="2664"/>
      <c r="J178" s="2664"/>
      <c r="K178" s="2664"/>
      <c r="L178" s="2664"/>
      <c r="M178" s="2664"/>
      <c r="N178" s="2664"/>
      <c r="P178" s="1474"/>
    </row>
    <row r="179" spans="2:16" x14ac:dyDescent="0.25">
      <c r="B179" s="1479"/>
      <c r="C179" s="1448"/>
      <c r="D179" s="2664"/>
      <c r="E179" s="2664"/>
      <c r="F179" s="2664"/>
      <c r="G179" s="2664"/>
      <c r="H179" s="2664"/>
      <c r="I179" s="2664"/>
      <c r="J179" s="2664"/>
      <c r="K179" s="2664"/>
      <c r="L179" s="2664"/>
      <c r="M179" s="2664"/>
      <c r="N179" s="2664"/>
      <c r="P179" s="1474"/>
    </row>
    <row r="180" spans="2:16" ht="4.5" customHeight="1" x14ac:dyDescent="0.25">
      <c r="B180" s="1479"/>
      <c r="C180" s="1448"/>
      <c r="D180" s="1469"/>
      <c r="E180" s="1469"/>
      <c r="F180" s="1469"/>
      <c r="G180" s="1469"/>
      <c r="H180" s="1469"/>
      <c r="I180" s="1469"/>
      <c r="J180" s="1469"/>
      <c r="K180" s="1469"/>
      <c r="L180" s="1469"/>
      <c r="M180" s="1469"/>
      <c r="N180" s="1469"/>
      <c r="P180" s="1474"/>
    </row>
    <row r="181" spans="2:16" x14ac:dyDescent="0.25">
      <c r="B181" s="1479"/>
      <c r="C181" s="1448"/>
      <c r="D181" s="1448"/>
      <c r="E181" s="1448"/>
      <c r="F181" s="1448" t="s">
        <v>1202</v>
      </c>
      <c r="G181" s="1448"/>
      <c r="H181" s="2662" t="s">
        <v>1203</v>
      </c>
      <c r="I181" s="2667"/>
      <c r="J181" s="2667"/>
      <c r="K181" s="2667"/>
      <c r="L181" s="2667"/>
      <c r="M181" s="2663"/>
      <c r="N181" s="1448"/>
      <c r="P181" s="1474"/>
    </row>
    <row r="182" spans="2:16" x14ac:dyDescent="0.25">
      <c r="B182" s="1479"/>
      <c r="C182" s="1448"/>
      <c r="D182" s="1448"/>
      <c r="E182" s="1448"/>
      <c r="F182" s="1448"/>
      <c r="G182" s="1448"/>
      <c r="H182" s="1449"/>
      <c r="I182" s="1449"/>
      <c r="J182" s="1449"/>
      <c r="K182" s="1449"/>
      <c r="L182" s="1449"/>
      <c r="M182" s="1449"/>
      <c r="N182" s="1448"/>
      <c r="P182" s="1474"/>
    </row>
    <row r="183" spans="2:16" x14ac:dyDescent="0.25">
      <c r="B183" s="1479"/>
      <c r="C183" s="1448"/>
      <c r="D183" s="1469"/>
      <c r="E183" s="1469"/>
      <c r="F183" s="1469"/>
      <c r="G183" s="1469"/>
      <c r="H183" s="1469"/>
      <c r="I183" s="1469"/>
      <c r="J183" s="1469"/>
      <c r="K183" s="1469"/>
      <c r="L183" s="1469"/>
      <c r="M183" s="1469"/>
      <c r="N183" s="1469"/>
      <c r="P183" s="1474"/>
    </row>
    <row r="184" spans="2:16" x14ac:dyDescent="0.25">
      <c r="B184" s="1479"/>
      <c r="C184" s="1459">
        <v>15</v>
      </c>
      <c r="D184" s="1460" t="s">
        <v>1256</v>
      </c>
      <c r="E184" s="1460"/>
      <c r="F184" s="1461"/>
      <c r="G184" s="1462"/>
      <c r="H184" s="1462"/>
      <c r="I184" s="1462"/>
      <c r="J184" s="1462"/>
      <c r="K184" s="1462"/>
      <c r="L184" s="1462"/>
      <c r="M184" s="1463"/>
      <c r="N184" s="1711">
        <v>0</v>
      </c>
      <c r="P184" s="1474"/>
    </row>
    <row r="185" spans="2:16" ht="7.5" customHeight="1" x14ac:dyDescent="0.25">
      <c r="B185" s="1479"/>
      <c r="C185" s="1448"/>
      <c r="D185" s="1459"/>
      <c r="E185" s="1459"/>
      <c r="F185" s="1464"/>
      <c r="G185" s="1459"/>
      <c r="H185" s="1459"/>
      <c r="I185" s="1459"/>
      <c r="J185" s="1459"/>
      <c r="K185" s="1459"/>
      <c r="L185" s="1459"/>
      <c r="M185" s="1465"/>
      <c r="N185" s="1459"/>
      <c r="P185" s="1474"/>
    </row>
    <row r="186" spans="2:16" ht="15" customHeight="1" x14ac:dyDescent="0.25">
      <c r="B186" s="1479"/>
      <c r="C186" s="1448"/>
      <c r="D186" s="2664" t="s">
        <v>1257</v>
      </c>
      <c r="E186" s="2664"/>
      <c r="F186" s="2664"/>
      <c r="G186" s="2664"/>
      <c r="H186" s="2664"/>
      <c r="I186" s="2664"/>
      <c r="J186" s="2664"/>
      <c r="K186" s="2664"/>
      <c r="L186" s="2664"/>
      <c r="M186" s="2664"/>
      <c r="N186" s="2664"/>
      <c r="P186" s="1474"/>
    </row>
    <row r="187" spans="2:16" x14ac:dyDescent="0.25">
      <c r="B187" s="1479"/>
      <c r="C187" s="1448"/>
      <c r="D187" s="2664"/>
      <c r="E187" s="2664"/>
      <c r="F187" s="2664"/>
      <c r="G187" s="2664"/>
      <c r="H187" s="2664"/>
      <c r="I187" s="2664"/>
      <c r="J187" s="2664"/>
      <c r="K187" s="2664"/>
      <c r="L187" s="2664"/>
      <c r="M187" s="2664"/>
      <c r="N187" s="2664"/>
      <c r="P187" s="1474"/>
    </row>
    <row r="188" spans="2:16" x14ac:dyDescent="0.25">
      <c r="B188" s="1479"/>
      <c r="C188" s="1448"/>
      <c r="D188" s="1469"/>
      <c r="E188" s="1469"/>
      <c r="F188" s="1469"/>
      <c r="G188" s="1469"/>
      <c r="H188" s="1469"/>
      <c r="I188" s="1469"/>
      <c r="J188" s="1469"/>
      <c r="K188" s="1469"/>
      <c r="L188" s="1469"/>
      <c r="M188" s="1469"/>
      <c r="N188" s="1469"/>
      <c r="P188" s="1474"/>
    </row>
    <row r="189" spans="2:16" x14ac:dyDescent="0.25">
      <c r="B189" s="1479"/>
      <c r="C189" s="1448"/>
      <c r="D189" s="1448"/>
      <c r="E189" s="1448"/>
      <c r="F189" s="1448" t="s">
        <v>1202</v>
      </c>
      <c r="G189" s="1448"/>
      <c r="H189" s="2662"/>
      <c r="I189" s="2667"/>
      <c r="J189" s="2667"/>
      <c r="K189" s="2667"/>
      <c r="L189" s="2667"/>
      <c r="M189" s="2663"/>
      <c r="N189" s="1448"/>
      <c r="P189" s="1474"/>
    </row>
    <row r="190" spans="2:16" x14ac:dyDescent="0.25">
      <c r="B190" s="1479"/>
      <c r="C190" s="1448"/>
      <c r="D190" s="1448"/>
      <c r="E190" s="1448"/>
      <c r="F190" s="1448"/>
      <c r="G190" s="1448"/>
      <c r="H190" s="1449"/>
      <c r="I190" s="1449"/>
      <c r="J190" s="1449"/>
      <c r="K190" s="1449"/>
      <c r="L190" s="1449"/>
      <c r="M190" s="1449"/>
      <c r="N190" s="1448"/>
      <c r="P190" s="1474"/>
    </row>
    <row r="191" spans="2:16" x14ac:dyDescent="0.25">
      <c r="B191" s="1479"/>
      <c r="C191" s="1448"/>
      <c r="D191" s="1448"/>
      <c r="E191" s="1448"/>
      <c r="F191" s="1448"/>
      <c r="G191" s="1448"/>
      <c r="H191" s="1449"/>
      <c r="I191" s="1449"/>
      <c r="J191" s="1449"/>
      <c r="K191" s="1449"/>
      <c r="L191" s="1449"/>
      <c r="M191" s="1449"/>
      <c r="N191" s="1448"/>
      <c r="P191" s="1474"/>
    </row>
    <row r="192" spans="2:16" x14ac:dyDescent="0.25">
      <c r="B192" s="1479"/>
      <c r="C192" s="1459">
        <v>16</v>
      </c>
      <c r="D192" s="1460" t="s">
        <v>1258</v>
      </c>
      <c r="E192" s="1460"/>
      <c r="F192" s="1461"/>
      <c r="G192" s="1462"/>
      <c r="H192" s="1462"/>
      <c r="I192" s="1462"/>
      <c r="J192" s="1462"/>
      <c r="K192" s="1462"/>
      <c r="L192" s="1462"/>
      <c r="M192" s="1463"/>
      <c r="N192" s="1711">
        <v>0</v>
      </c>
      <c r="P192" s="1474"/>
    </row>
    <row r="193" spans="2:16" ht="7.5" customHeight="1" x14ac:dyDescent="0.25">
      <c r="B193" s="1479"/>
      <c r="C193" s="1448"/>
      <c r="D193" s="1459"/>
      <c r="E193" s="1459"/>
      <c r="F193" s="1464"/>
      <c r="G193" s="1459"/>
      <c r="H193" s="1459"/>
      <c r="I193" s="1459"/>
      <c r="J193" s="1459"/>
      <c r="K193" s="1459"/>
      <c r="L193" s="1459"/>
      <c r="M193" s="1465"/>
      <c r="N193" s="1459"/>
      <c r="P193" s="1474"/>
    </row>
    <row r="194" spans="2:16" ht="15" customHeight="1" x14ac:dyDescent="0.25">
      <c r="B194" s="1479"/>
      <c r="C194" s="1448"/>
      <c r="D194" s="2664" t="s">
        <v>1259</v>
      </c>
      <c r="E194" s="2664"/>
      <c r="F194" s="2664"/>
      <c r="G194" s="2664"/>
      <c r="H194" s="2664"/>
      <c r="I194" s="2664"/>
      <c r="J194" s="2664"/>
      <c r="K194" s="2664"/>
      <c r="L194" s="2664"/>
      <c r="M194" s="2664"/>
      <c r="N194" s="2664"/>
      <c r="P194" s="1474"/>
    </row>
    <row r="195" spans="2:16" x14ac:dyDescent="0.25">
      <c r="B195" s="1479"/>
      <c r="C195" s="1448"/>
      <c r="D195" s="2664"/>
      <c r="E195" s="2664"/>
      <c r="F195" s="2664"/>
      <c r="G195" s="2664"/>
      <c r="H195" s="2664"/>
      <c r="I195" s="2664"/>
      <c r="J195" s="2664"/>
      <c r="K195" s="2664"/>
      <c r="L195" s="2664"/>
      <c r="M195" s="2664"/>
      <c r="N195" s="2664"/>
      <c r="P195" s="1474"/>
    </row>
    <row r="196" spans="2:16" x14ac:dyDescent="0.25">
      <c r="B196" s="1479"/>
      <c r="C196" s="1448"/>
      <c r="D196" s="1469"/>
      <c r="E196" s="1469"/>
      <c r="F196" s="1469"/>
      <c r="G196" s="1469"/>
      <c r="H196" s="1469"/>
      <c r="I196" s="1469"/>
      <c r="J196" s="1469"/>
      <c r="K196" s="1469"/>
      <c r="L196" s="1469"/>
      <c r="M196" s="1469"/>
      <c r="N196" s="1469"/>
      <c r="P196" s="1474"/>
    </row>
    <row r="197" spans="2:16" x14ac:dyDescent="0.25">
      <c r="B197" s="1479"/>
      <c r="C197" s="1448"/>
      <c r="D197" s="1448"/>
      <c r="E197" s="1448"/>
      <c r="F197" s="1448" t="s">
        <v>1202</v>
      </c>
      <c r="G197" s="1448"/>
      <c r="H197" s="2662" t="s">
        <v>1487</v>
      </c>
      <c r="I197" s="2667"/>
      <c r="J197" s="2667"/>
      <c r="K197" s="2667"/>
      <c r="L197" s="2667"/>
      <c r="M197" s="2663"/>
      <c r="N197" s="1448"/>
      <c r="P197" s="1474"/>
    </row>
    <row r="198" spans="2:16" x14ac:dyDescent="0.25">
      <c r="B198" s="1479"/>
      <c r="C198" s="1448"/>
      <c r="D198" s="1448"/>
      <c r="E198" s="1448"/>
      <c r="F198" s="1448"/>
      <c r="G198" s="1448"/>
      <c r="H198" s="1449"/>
      <c r="I198" s="1449"/>
      <c r="J198" s="1449"/>
      <c r="K198" s="1449"/>
      <c r="L198" s="1449"/>
      <c r="M198" s="1449"/>
      <c r="N198" s="1448"/>
      <c r="P198" s="1474"/>
    </row>
    <row r="199" spans="2:16" x14ac:dyDescent="0.25">
      <c r="B199" s="1479"/>
      <c r="C199" s="1448"/>
      <c r="D199" s="1448"/>
      <c r="E199" s="1448"/>
      <c r="F199" s="1448"/>
      <c r="G199" s="1448"/>
      <c r="H199" s="1449"/>
      <c r="I199" s="1449"/>
      <c r="J199" s="1449"/>
      <c r="K199" s="1449"/>
      <c r="L199" s="1449"/>
      <c r="M199" s="1449"/>
      <c r="N199" s="1448"/>
      <c r="P199" s="1474"/>
    </row>
    <row r="200" spans="2:16" x14ac:dyDescent="0.25">
      <c r="B200" s="1479"/>
      <c r="C200" s="1459">
        <v>17</v>
      </c>
      <c r="D200" s="1460" t="s">
        <v>1260</v>
      </c>
      <c r="E200" s="1460"/>
      <c r="F200" s="1461"/>
      <c r="G200" s="1462"/>
      <c r="H200" s="1462"/>
      <c r="I200" s="1462"/>
      <c r="J200" s="1462"/>
      <c r="K200" s="1462"/>
      <c r="L200" s="1462"/>
      <c r="M200" s="1463"/>
      <c r="N200" s="1711">
        <v>0</v>
      </c>
      <c r="P200" s="1474"/>
    </row>
    <row r="201" spans="2:16" ht="7.5" customHeight="1" x14ac:dyDescent="0.25">
      <c r="B201" s="1479"/>
      <c r="C201" s="1448"/>
      <c r="D201" s="1459"/>
      <c r="E201" s="1459"/>
      <c r="F201" s="1464"/>
      <c r="G201" s="1459"/>
      <c r="H201" s="1459"/>
      <c r="I201" s="1459"/>
      <c r="J201" s="1459"/>
      <c r="K201" s="1459"/>
      <c r="L201" s="1459"/>
      <c r="M201" s="1465"/>
      <c r="N201" s="1459"/>
      <c r="P201" s="1474"/>
    </row>
    <row r="202" spans="2:16" x14ac:dyDescent="0.25">
      <c r="B202" s="1479"/>
      <c r="C202" s="1448"/>
      <c r="D202" s="2705" t="s">
        <v>1261</v>
      </c>
      <c r="E202" s="2705"/>
      <c r="F202" s="2705"/>
      <c r="G202" s="2705"/>
      <c r="H202" s="2705"/>
      <c r="I202" s="2705"/>
      <c r="J202" s="2705"/>
      <c r="K202" s="2705"/>
      <c r="L202" s="2705"/>
      <c r="M202" s="2705"/>
      <c r="N202" s="2705"/>
      <c r="P202" s="1474"/>
    </row>
    <row r="203" spans="2:16" x14ac:dyDescent="0.25">
      <c r="B203" s="1479"/>
      <c r="C203" s="1448"/>
      <c r="D203" s="1469"/>
      <c r="E203" s="1469"/>
      <c r="F203" s="1469"/>
      <c r="G203" s="1469"/>
      <c r="H203" s="1469"/>
      <c r="I203" s="1469"/>
      <c r="J203" s="1469"/>
      <c r="K203" s="1469"/>
      <c r="L203" s="1469"/>
      <c r="M203" s="1469"/>
      <c r="N203" s="1469"/>
      <c r="P203" s="1474"/>
    </row>
    <row r="204" spans="2:16" x14ac:dyDescent="0.25">
      <c r="B204" s="1479"/>
      <c r="C204" s="1448"/>
      <c r="D204" s="1469"/>
      <c r="E204" s="1469"/>
      <c r="F204" s="1453" t="s">
        <v>1262</v>
      </c>
      <c r="G204" s="1469"/>
      <c r="H204" s="2702" t="s">
        <v>1263</v>
      </c>
      <c r="I204" s="2703"/>
      <c r="J204" s="2704"/>
      <c r="K204" s="1469"/>
      <c r="L204" s="2702" t="s">
        <v>1264</v>
      </c>
      <c r="M204" s="2704"/>
      <c r="N204" s="1469"/>
      <c r="P204" s="1474"/>
    </row>
    <row r="205" spans="2:16" x14ac:dyDescent="0.25">
      <c r="B205" s="1479"/>
      <c r="C205" s="1448"/>
      <c r="D205" s="1469"/>
      <c r="E205" s="1469"/>
      <c r="F205" s="1469"/>
      <c r="G205" s="1469"/>
      <c r="H205" s="1469"/>
      <c r="I205" s="1469"/>
      <c r="J205" s="1469"/>
      <c r="K205" s="1469"/>
      <c r="L205" s="1469"/>
      <c r="M205" s="1469"/>
      <c r="N205" s="1469"/>
      <c r="P205" s="1474"/>
    </row>
    <row r="206" spans="2:16" x14ac:dyDescent="0.25">
      <c r="B206" s="1479"/>
      <c r="C206" s="1448"/>
      <c r="D206" s="1448"/>
      <c r="E206" s="1448"/>
      <c r="F206" s="1448"/>
      <c r="G206" s="1448"/>
      <c r="H206" s="1449"/>
      <c r="I206" s="1449"/>
      <c r="J206" s="1449"/>
      <c r="K206" s="1449"/>
      <c r="L206" s="1449"/>
      <c r="M206" s="1449"/>
      <c r="N206" s="1448"/>
      <c r="P206" s="1474"/>
    </row>
    <row r="207" spans="2:16" x14ac:dyDescent="0.25">
      <c r="B207" s="1479"/>
      <c r="C207" s="1459">
        <v>18</v>
      </c>
      <c r="D207" s="1460" t="s">
        <v>1265</v>
      </c>
      <c r="E207" s="1460"/>
      <c r="F207" s="1461"/>
      <c r="G207" s="1462"/>
      <c r="H207" s="1462"/>
      <c r="I207" s="1462"/>
      <c r="J207" s="1462"/>
      <c r="K207" s="1462"/>
      <c r="L207" s="1462"/>
      <c r="M207" s="1463"/>
      <c r="N207" s="1711">
        <v>5</v>
      </c>
      <c r="P207" s="1474"/>
    </row>
    <row r="208" spans="2:16" x14ac:dyDescent="0.25">
      <c r="B208" s="1479"/>
      <c r="C208" s="1448"/>
      <c r="D208" s="1459"/>
      <c r="E208" s="1459"/>
      <c r="F208" s="1464"/>
      <c r="G208" s="1459"/>
      <c r="H208" s="1459"/>
      <c r="I208" s="1459"/>
      <c r="J208" s="1459"/>
      <c r="K208" s="1459"/>
      <c r="L208" s="1459"/>
      <c r="M208" s="1465"/>
      <c r="N208" s="1459"/>
      <c r="P208" s="1474"/>
    </row>
    <row r="209" spans="2:16" x14ac:dyDescent="0.25">
      <c r="B209" s="1479"/>
      <c r="C209" s="1448"/>
      <c r="D209" s="2664" t="s">
        <v>1266</v>
      </c>
      <c r="E209" s="2664"/>
      <c r="F209" s="2664"/>
      <c r="G209" s="2664"/>
      <c r="H209" s="2664"/>
      <c r="I209" s="2664"/>
      <c r="J209" s="2664"/>
      <c r="K209" s="2664"/>
      <c r="L209" s="2664"/>
      <c r="M209" s="2664"/>
      <c r="N209" s="2664"/>
      <c r="P209" s="1474"/>
    </row>
    <row r="210" spans="2:16" x14ac:dyDescent="0.25">
      <c r="B210" s="1479"/>
      <c r="C210" s="1448"/>
      <c r="D210" s="2664"/>
      <c r="E210" s="2664"/>
      <c r="F210" s="2664"/>
      <c r="G210" s="2664"/>
      <c r="H210" s="2664"/>
      <c r="I210" s="2664"/>
      <c r="J210" s="2664"/>
      <c r="K210" s="2664"/>
      <c r="L210" s="2664"/>
      <c r="M210" s="2664"/>
      <c r="N210" s="2664"/>
      <c r="P210" s="1474"/>
    </row>
    <row r="211" spans="2:16" x14ac:dyDescent="0.25">
      <c r="B211" s="1479"/>
      <c r="C211" s="1448"/>
      <c r="D211" s="1469"/>
      <c r="E211" s="1469"/>
      <c r="F211" s="1469"/>
      <c r="G211" s="1469"/>
      <c r="H211" s="1469"/>
      <c r="I211" s="1469"/>
      <c r="J211" s="1469"/>
      <c r="K211" s="1469"/>
      <c r="L211" s="1469"/>
      <c r="M211" s="1469"/>
      <c r="N211" s="1469"/>
      <c r="P211" s="1474"/>
    </row>
    <row r="212" spans="2:16" x14ac:dyDescent="0.25">
      <c r="B212" s="1479"/>
      <c r="C212" s="1448"/>
      <c r="D212" s="1459"/>
      <c r="E212" s="1459"/>
      <c r="F212" s="2662" t="s">
        <v>1544</v>
      </c>
      <c r="G212" s="2667"/>
      <c r="H212" s="2667"/>
      <c r="I212" s="2667"/>
      <c r="J212" s="2663"/>
      <c r="K212" s="1459"/>
      <c r="L212" s="1471"/>
      <c r="M212" s="1465"/>
      <c r="N212" s="1459"/>
      <c r="P212" s="1474"/>
    </row>
    <row r="213" spans="2:16" ht="15.75" thickBot="1" x14ac:dyDescent="0.3">
      <c r="B213" s="1479"/>
      <c r="C213" s="1448"/>
      <c r="D213" s="1459"/>
      <c r="E213" s="1459"/>
      <c r="F213" s="1449"/>
      <c r="G213" s="1449"/>
      <c r="H213" s="1449"/>
      <c r="I213" s="1449"/>
      <c r="J213" s="1449"/>
      <c r="K213" s="1459"/>
      <c r="L213" s="1471"/>
      <c r="M213" s="1465"/>
      <c r="N213" s="1459"/>
      <c r="P213" s="1474"/>
    </row>
    <row r="214" spans="2:16" s="1425" customFormat="1" x14ac:dyDescent="0.25">
      <c r="B214" s="1483"/>
      <c r="C214" s="1477"/>
      <c r="D214" s="1477"/>
      <c r="E214" s="1477"/>
      <c r="F214" s="1477"/>
      <c r="G214" s="1477"/>
      <c r="H214" s="1477"/>
      <c r="I214" s="1477"/>
      <c r="J214" s="1477"/>
      <c r="K214" s="1477"/>
      <c r="L214" s="1477"/>
      <c r="M214" s="1477"/>
      <c r="N214" s="1477"/>
      <c r="O214" s="1477"/>
      <c r="P214" s="1478"/>
    </row>
    <row r="215" spans="2:16" s="1425" customFormat="1" ht="18.75" x14ac:dyDescent="0.3">
      <c r="B215" s="1482"/>
      <c r="C215" s="2659" t="s">
        <v>1677</v>
      </c>
      <c r="D215" s="2659"/>
      <c r="E215" s="2659"/>
      <c r="F215" s="2659"/>
      <c r="G215" s="2659"/>
      <c r="H215" s="2659"/>
      <c r="I215" s="2659"/>
      <c r="J215" s="2659"/>
      <c r="K215" s="2659"/>
      <c r="L215" s="2659"/>
      <c r="M215" s="2659"/>
      <c r="N215" s="2659"/>
      <c r="O215" s="2659"/>
      <c r="P215" s="1473"/>
    </row>
    <row r="216" spans="2:16" s="1425" customFormat="1" ht="7.5" customHeight="1" x14ac:dyDescent="0.25">
      <c r="B216" s="1482"/>
      <c r="C216" s="1445"/>
      <c r="D216" s="1445"/>
      <c r="E216" s="1445"/>
      <c r="F216" s="1445"/>
      <c r="G216" s="1445"/>
      <c r="H216" s="1445"/>
      <c r="I216" s="1445"/>
      <c r="J216" s="1445"/>
      <c r="K216" s="1445"/>
      <c r="L216" s="1445"/>
      <c r="M216" s="1445"/>
      <c r="N216" s="1445"/>
      <c r="O216" s="1445"/>
      <c r="P216" s="1473"/>
    </row>
    <row r="217" spans="2:16" s="1425" customFormat="1" ht="15.75" thickBot="1" x14ac:dyDescent="0.3">
      <c r="B217" s="1482"/>
      <c r="C217" s="2701" t="str">
        <f>C17</f>
        <v>Project Name: Compass Broadview</v>
      </c>
      <c r="D217" s="2701"/>
      <c r="E217" s="2701"/>
      <c r="F217" s="2701"/>
      <c r="G217" s="2701"/>
      <c r="H217" s="2701"/>
      <c r="I217" s="2701"/>
      <c r="J217" s="2701"/>
      <c r="K217" s="2701"/>
      <c r="L217" s="2701"/>
      <c r="M217" s="711"/>
      <c r="N217" s="1424"/>
      <c r="O217" s="1424"/>
      <c r="P217" s="1474"/>
    </row>
    <row r="218" spans="2:16" ht="15" customHeight="1" x14ac:dyDescent="0.25">
      <c r="B218" s="1479"/>
      <c r="C218" s="1448"/>
      <c r="D218" s="1448"/>
      <c r="E218" s="1448"/>
      <c r="F218" s="1448"/>
      <c r="G218" s="1448"/>
      <c r="H218" s="1448"/>
      <c r="I218" s="1448"/>
      <c r="J218" s="1448"/>
      <c r="K218" s="1448"/>
      <c r="L218" s="1448"/>
      <c r="M218" s="2655"/>
      <c r="N218" s="2657" t="s">
        <v>1166</v>
      </c>
      <c r="P218" s="1474"/>
    </row>
    <row r="219" spans="2:16" x14ac:dyDescent="0.25">
      <c r="B219" s="1479"/>
      <c r="C219" s="1448"/>
      <c r="D219" s="1448"/>
      <c r="E219" s="1448"/>
      <c r="F219" s="1454"/>
      <c r="G219" s="1448"/>
      <c r="H219" s="1448"/>
      <c r="I219" s="1448"/>
      <c r="J219" s="1448"/>
      <c r="K219" s="1448"/>
      <c r="L219" s="1448"/>
      <c r="M219" s="2656"/>
      <c r="N219" s="2658"/>
      <c r="P219" s="1474"/>
    </row>
    <row r="220" spans="2:16" x14ac:dyDescent="0.25">
      <c r="B220" s="1479"/>
      <c r="C220" s="1459">
        <v>19</v>
      </c>
      <c r="D220" s="1460" t="s">
        <v>1267</v>
      </c>
      <c r="E220" s="1460"/>
      <c r="F220" s="1461"/>
      <c r="G220" s="1462"/>
      <c r="H220" s="1462"/>
      <c r="I220" s="1462"/>
      <c r="J220" s="1462"/>
      <c r="K220" s="1462"/>
      <c r="L220" s="1462"/>
      <c r="M220" s="1463"/>
      <c r="N220" s="1711">
        <v>5</v>
      </c>
      <c r="P220" s="1474"/>
    </row>
    <row r="221" spans="2:16" ht="7.5" customHeight="1" x14ac:dyDescent="0.25">
      <c r="B221" s="1479"/>
      <c r="C221" s="1448"/>
      <c r="D221" s="1459"/>
      <c r="E221" s="1459"/>
      <c r="F221" s="1464"/>
      <c r="G221" s="1459"/>
      <c r="H221" s="1459"/>
      <c r="I221" s="1459"/>
      <c r="J221" s="1459"/>
      <c r="K221" s="1459"/>
      <c r="L221" s="1459"/>
      <c r="M221" s="1465"/>
      <c r="N221" s="1459"/>
      <c r="P221" s="1474"/>
    </row>
    <row r="222" spans="2:16" ht="26.25" customHeight="1" x14ac:dyDescent="0.25">
      <c r="B222" s="1479"/>
      <c r="C222" s="1448"/>
      <c r="D222" s="2664" t="s">
        <v>1268</v>
      </c>
      <c r="E222" s="2664"/>
      <c r="F222" s="2664"/>
      <c r="G222" s="2664"/>
      <c r="H222" s="2664"/>
      <c r="I222" s="2664"/>
      <c r="J222" s="2664"/>
      <c r="K222" s="2664"/>
      <c r="L222" s="2664"/>
      <c r="M222" s="2664"/>
      <c r="N222" s="2664"/>
      <c r="P222" s="1474"/>
    </row>
    <row r="223" spans="2:16" x14ac:dyDescent="0.25">
      <c r="B223" s="1479"/>
      <c r="C223" s="1448"/>
      <c r="D223" s="1469"/>
      <c r="E223" s="1469"/>
      <c r="F223" s="1464" t="s">
        <v>1269</v>
      </c>
      <c r="G223" s="1469"/>
      <c r="H223" s="1469"/>
      <c r="I223" s="1469"/>
      <c r="J223" s="1469"/>
      <c r="K223" s="1469"/>
      <c r="L223" s="1469"/>
      <c r="M223" s="1469"/>
      <c r="N223" s="1469"/>
      <c r="P223" s="1474"/>
    </row>
    <row r="224" spans="2:16" x14ac:dyDescent="0.25">
      <c r="B224" s="1479"/>
      <c r="C224" s="1448"/>
      <c r="D224" s="1448"/>
      <c r="E224" s="1448"/>
      <c r="F224" s="1496" t="s">
        <v>1270</v>
      </c>
      <c r="G224" s="1448"/>
      <c r="H224" s="1448"/>
      <c r="I224" s="1448"/>
      <c r="J224" s="1448"/>
      <c r="K224" s="1448"/>
      <c r="L224" s="1448"/>
      <c r="M224" s="1448"/>
      <c r="N224" s="1448"/>
      <c r="P224" s="1474"/>
    </row>
    <row r="225" spans="2:16" x14ac:dyDescent="0.25">
      <c r="B225" s="1479"/>
      <c r="C225" s="1448"/>
      <c r="D225" s="1448"/>
      <c r="E225" s="1448"/>
      <c r="F225" s="1496"/>
      <c r="G225" s="1448"/>
      <c r="H225" s="1448"/>
      <c r="I225" s="1448"/>
      <c r="J225" s="1448"/>
      <c r="K225" s="1448"/>
      <c r="L225" s="1448"/>
      <c r="M225" s="1448"/>
      <c r="N225" s="1448"/>
      <c r="P225" s="1474"/>
    </row>
    <row r="226" spans="2:16" x14ac:dyDescent="0.25">
      <c r="B226" s="1479"/>
      <c r="C226" s="1448"/>
      <c r="D226" s="1448"/>
      <c r="E226" s="1448"/>
      <c r="F226" s="1496"/>
      <c r="G226" s="1448"/>
      <c r="H226" s="1448"/>
      <c r="I226" s="1448"/>
      <c r="J226" s="1448"/>
      <c r="K226" s="1448"/>
      <c r="L226" s="1448"/>
      <c r="M226" s="1448"/>
      <c r="N226" s="1448"/>
      <c r="P226" s="1474"/>
    </row>
    <row r="227" spans="2:16" x14ac:dyDescent="0.25">
      <c r="B227" s="1479"/>
      <c r="C227" s="1459">
        <v>20</v>
      </c>
      <c r="D227" s="1460" t="s">
        <v>1271</v>
      </c>
      <c r="E227" s="1460"/>
      <c r="F227" s="1461"/>
      <c r="G227" s="1462"/>
      <c r="H227" s="1462"/>
      <c r="I227" s="1462"/>
      <c r="J227" s="1462"/>
      <c r="K227" s="1462"/>
      <c r="L227" s="1462"/>
      <c r="M227" s="1463"/>
      <c r="N227" s="1711">
        <v>0</v>
      </c>
      <c r="P227" s="1474"/>
    </row>
    <row r="228" spans="2:16" ht="7.5" customHeight="1" x14ac:dyDescent="0.25">
      <c r="B228" s="1479"/>
      <c r="C228" s="1448"/>
      <c r="D228" s="1459"/>
      <c r="E228" s="1459"/>
      <c r="F228" s="1464"/>
      <c r="G228" s="1459"/>
      <c r="H228" s="1459"/>
      <c r="I228" s="1459"/>
      <c r="J228" s="1459"/>
      <c r="K228" s="1459"/>
      <c r="L228" s="1459"/>
      <c r="M228" s="1465"/>
      <c r="N228" s="1459"/>
      <c r="P228" s="1474"/>
    </row>
    <row r="229" spans="2:16" ht="15" customHeight="1" x14ac:dyDescent="0.25">
      <c r="B229" s="1479"/>
      <c r="C229" s="1448"/>
      <c r="D229" s="2664" t="s">
        <v>1272</v>
      </c>
      <c r="E229" s="2664"/>
      <c r="F229" s="2664"/>
      <c r="G229" s="2664"/>
      <c r="H229" s="2664"/>
      <c r="I229" s="2664"/>
      <c r="J229" s="2664"/>
      <c r="K229" s="2664"/>
      <c r="L229" s="2664"/>
      <c r="M229" s="2664"/>
      <c r="N229" s="2664"/>
      <c r="P229" s="1474"/>
    </row>
    <row r="230" spans="2:16" x14ac:dyDescent="0.25">
      <c r="B230" s="1479"/>
      <c r="C230" s="1448"/>
      <c r="D230" s="2664"/>
      <c r="E230" s="2664"/>
      <c r="F230" s="2664"/>
      <c r="G230" s="2664"/>
      <c r="H230" s="2664"/>
      <c r="I230" s="2664"/>
      <c r="J230" s="2664"/>
      <c r="K230" s="2664"/>
      <c r="L230" s="2664"/>
      <c r="M230" s="2664"/>
      <c r="N230" s="2664"/>
      <c r="P230" s="1474"/>
    </row>
    <row r="231" spans="2:16" x14ac:dyDescent="0.25">
      <c r="B231" s="1479"/>
      <c r="C231" s="1448"/>
      <c r="D231" s="1469"/>
      <c r="E231" s="1469"/>
      <c r="F231" s="1469"/>
      <c r="G231" s="1469"/>
      <c r="H231" s="1469"/>
      <c r="I231" s="1469"/>
      <c r="J231" s="1469"/>
      <c r="K231" s="1469"/>
      <c r="L231" s="1469"/>
      <c r="M231" s="1469"/>
      <c r="N231" s="1469"/>
      <c r="P231" s="1474"/>
    </row>
    <row r="232" spans="2:16" x14ac:dyDescent="0.25">
      <c r="B232" s="1479"/>
      <c r="C232" s="1448"/>
      <c r="D232" s="1469"/>
      <c r="E232" s="1469"/>
      <c r="F232" s="1469"/>
      <c r="G232" s="1469"/>
      <c r="H232" s="1469"/>
      <c r="I232" s="1469"/>
      <c r="J232" s="1469"/>
      <c r="K232" s="1469"/>
      <c r="L232" s="1469"/>
      <c r="M232" s="1469"/>
      <c r="N232" s="1469"/>
      <c r="P232" s="1474"/>
    </row>
    <row r="233" spans="2:16" x14ac:dyDescent="0.25">
      <c r="B233" s="1479"/>
      <c r="C233" s="1459">
        <v>21</v>
      </c>
      <c r="D233" s="1460" t="s">
        <v>1273</v>
      </c>
      <c r="E233" s="1460"/>
      <c r="F233" s="1461"/>
      <c r="G233" s="1462"/>
      <c r="H233" s="1462"/>
      <c r="I233" s="1462"/>
      <c r="J233" s="1462"/>
      <c r="K233" s="1462"/>
      <c r="L233" s="1462"/>
      <c r="M233" s="1463"/>
      <c r="N233" s="1711">
        <v>2</v>
      </c>
      <c r="P233" s="1474"/>
    </row>
    <row r="234" spans="2:16" ht="7.5" customHeight="1" x14ac:dyDescent="0.25">
      <c r="B234" s="1479"/>
      <c r="C234" s="1448"/>
      <c r="D234" s="1459"/>
      <c r="E234" s="1459"/>
      <c r="F234" s="1464"/>
      <c r="G234" s="1459"/>
      <c r="H234" s="1459"/>
      <c r="I234" s="1459"/>
      <c r="J234" s="1459"/>
      <c r="K234" s="1459"/>
      <c r="L234" s="1459"/>
      <c r="M234" s="1465"/>
      <c r="N234" s="1459"/>
      <c r="P234" s="1474"/>
    </row>
    <row r="235" spans="2:16" ht="15" customHeight="1" x14ac:dyDescent="0.25">
      <c r="B235" s="1479"/>
      <c r="C235" s="1448"/>
      <c r="D235" s="1464" t="s">
        <v>1274</v>
      </c>
      <c r="E235" s="1464"/>
      <c r="F235" s="1464"/>
      <c r="G235" s="1464"/>
      <c r="H235" s="1464"/>
      <c r="I235" s="1464"/>
      <c r="J235" s="1464"/>
      <c r="K235" s="1464"/>
      <c r="L235" s="1464"/>
      <c r="M235" s="1464"/>
      <c r="N235" s="1464"/>
      <c r="P235" s="1474"/>
    </row>
    <row r="236" spans="2:16" x14ac:dyDescent="0.25">
      <c r="B236" s="1479"/>
      <c r="C236" s="1448"/>
      <c r="D236" s="1469"/>
      <c r="E236" s="1469"/>
      <c r="F236" s="1469"/>
      <c r="G236" s="1469"/>
      <c r="H236" s="1469"/>
      <c r="I236" s="1469"/>
      <c r="J236" s="1469"/>
      <c r="K236" s="1469"/>
      <c r="L236" s="1469"/>
      <c r="M236" s="1469"/>
      <c r="N236" s="1469"/>
      <c r="P236" s="1474"/>
    </row>
    <row r="237" spans="2:16" x14ac:dyDescent="0.25">
      <c r="B237" s="1479"/>
      <c r="C237" s="1448"/>
      <c r="D237" s="1469"/>
      <c r="E237" s="1469"/>
      <c r="F237" s="1469"/>
      <c r="G237" s="1469"/>
      <c r="H237" s="1469"/>
      <c r="I237" s="1469"/>
      <c r="J237" s="1469"/>
      <c r="K237" s="1469"/>
      <c r="L237" s="1469"/>
      <c r="M237" s="1469"/>
      <c r="N237" s="1469"/>
      <c r="P237" s="1474"/>
    </row>
    <row r="238" spans="2:16" x14ac:dyDescent="0.25">
      <c r="B238" s="1479"/>
      <c r="C238" s="1459" t="s">
        <v>1275</v>
      </c>
      <c r="D238" s="1460" t="s">
        <v>1276</v>
      </c>
      <c r="E238" s="1460"/>
      <c r="F238" s="1461"/>
      <c r="G238" s="1462"/>
      <c r="H238" s="1462"/>
      <c r="I238" s="1462"/>
      <c r="J238" s="1462"/>
      <c r="K238" s="1462"/>
      <c r="L238" s="1462"/>
      <c r="M238" s="1463"/>
      <c r="N238" s="1711">
        <v>0</v>
      </c>
      <c r="P238" s="1474"/>
    </row>
    <row r="239" spans="2:16" ht="7.5" customHeight="1" x14ac:dyDescent="0.25">
      <c r="B239" s="1479"/>
      <c r="C239" s="1448"/>
      <c r="D239" s="1459"/>
      <c r="E239" s="1459"/>
      <c r="F239" s="1464"/>
      <c r="G239" s="1459"/>
      <c r="H239" s="1459"/>
      <c r="I239" s="1459"/>
      <c r="J239" s="1459"/>
      <c r="K239" s="1459"/>
      <c r="L239" s="1459"/>
      <c r="M239" s="1465"/>
      <c r="N239" s="1459"/>
      <c r="P239" s="1474"/>
    </row>
    <row r="240" spans="2:16" ht="15" customHeight="1" x14ac:dyDescent="0.25">
      <c r="B240" s="1479"/>
      <c r="C240" s="1448"/>
      <c r="D240" s="2697" t="s">
        <v>1277</v>
      </c>
      <c r="E240" s="2697"/>
      <c r="F240" s="2697"/>
      <c r="G240" s="2697"/>
      <c r="H240" s="2697"/>
      <c r="I240" s="2697"/>
      <c r="J240" s="2697"/>
      <c r="K240" s="2697"/>
      <c r="L240" s="2697"/>
      <c r="M240" s="2697"/>
      <c r="N240" s="2697"/>
      <c r="P240" s="1474"/>
    </row>
    <row r="241" spans="2:16" x14ac:dyDescent="0.25">
      <c r="B241" s="1479"/>
      <c r="C241" s="1448"/>
      <c r="D241" s="1469"/>
      <c r="E241" s="1469"/>
      <c r="F241" s="1469"/>
      <c r="G241" s="1469"/>
      <c r="H241" s="1469"/>
      <c r="I241" s="1469"/>
      <c r="J241" s="1469"/>
      <c r="K241" s="1469"/>
      <c r="L241" s="1469"/>
      <c r="M241" s="1469"/>
      <c r="N241" s="1469"/>
      <c r="P241" s="1474"/>
    </row>
    <row r="242" spans="2:16" x14ac:dyDescent="0.25">
      <c r="B242" s="1479"/>
      <c r="C242" s="1448"/>
      <c r="D242" s="1453" t="s">
        <v>1278</v>
      </c>
      <c r="E242" s="1469"/>
      <c r="F242" s="1469"/>
      <c r="G242" s="1469"/>
      <c r="H242" s="1469"/>
      <c r="I242" s="1469"/>
      <c r="J242" s="2698">
        <v>0</v>
      </c>
      <c r="K242" s="2699"/>
      <c r="L242" s="2700"/>
      <c r="M242" s="1469"/>
      <c r="N242" s="1469"/>
      <c r="P242" s="1474"/>
    </row>
    <row r="243" spans="2:16" x14ac:dyDescent="0.25">
      <c r="B243" s="1479"/>
      <c r="C243" s="1448"/>
      <c r="D243" s="1453" t="s">
        <v>1279</v>
      </c>
      <c r="E243" s="1453"/>
      <c r="F243" s="1448"/>
      <c r="G243" s="1448"/>
      <c r="H243" s="1448"/>
      <c r="I243" s="1448"/>
      <c r="J243" s="1448"/>
      <c r="K243" s="1448"/>
      <c r="L243" s="1718">
        <v>0</v>
      </c>
      <c r="M243" s="1448"/>
      <c r="N243" s="1448"/>
      <c r="P243" s="1474"/>
    </row>
    <row r="244" spans="2:16" x14ac:dyDescent="0.25">
      <c r="B244" s="1479"/>
      <c r="C244" s="1448"/>
      <c r="D244" s="1453" t="s">
        <v>1280</v>
      </c>
      <c r="E244" s="1453"/>
      <c r="F244" s="1448"/>
      <c r="G244" s="1448"/>
      <c r="H244" s="1448"/>
      <c r="I244" s="1448"/>
      <c r="J244" s="1448"/>
      <c r="K244" s="1448"/>
      <c r="L244" s="1719" t="e">
        <f>1-L243/J242</f>
        <v>#DIV/0!</v>
      </c>
      <c r="M244" s="1448"/>
      <c r="N244" s="1448"/>
      <c r="P244" s="1474"/>
    </row>
    <row r="245" spans="2:16" ht="15" customHeight="1" thickBot="1" x14ac:dyDescent="0.3">
      <c r="B245" s="1479"/>
      <c r="C245" s="1448"/>
      <c r="D245" s="1448"/>
      <c r="E245" s="1448"/>
      <c r="F245" s="1448"/>
      <c r="G245" s="1448"/>
      <c r="H245" s="1448"/>
      <c r="I245" s="1448"/>
      <c r="J245" s="1448"/>
      <c r="K245" s="1448"/>
      <c r="L245" s="1448"/>
      <c r="M245" s="1448"/>
      <c r="N245" s="1448"/>
      <c r="P245" s="1474"/>
    </row>
    <row r="246" spans="2:16" ht="19.5" customHeight="1" thickTop="1" thickBot="1" x14ac:dyDescent="0.3">
      <c r="B246" s="1479"/>
      <c r="C246" s="2695" t="s">
        <v>1281</v>
      </c>
      <c r="D246" s="2696"/>
      <c r="E246" s="2696"/>
      <c r="F246" s="2696"/>
      <c r="G246" s="2696"/>
      <c r="H246" s="2696"/>
      <c r="I246" s="2696"/>
      <c r="J246" s="2696"/>
      <c r="K246" s="2696"/>
      <c r="L246" s="2696"/>
      <c r="M246" s="2696"/>
      <c r="N246" s="1720">
        <f>N20+N38+N45+N67+N94+N104+N111+N118+N125+N135+N153+N161+N168+N176+N184+N192+N200+N207+N220+N227+N233+N238</f>
        <v>157</v>
      </c>
      <c r="P246" s="1474"/>
    </row>
    <row r="247" spans="2:16" x14ac:dyDescent="0.25">
      <c r="B247" s="1479"/>
      <c r="C247" s="1448"/>
      <c r="D247" s="1448"/>
      <c r="E247" s="1448"/>
      <c r="F247" s="1448"/>
      <c r="G247" s="1448"/>
      <c r="H247" s="1448"/>
      <c r="I247" s="1448"/>
      <c r="J247" s="1448"/>
      <c r="K247" s="1448"/>
      <c r="L247" s="1448"/>
      <c r="M247" s="1448"/>
      <c r="N247" s="1448"/>
      <c r="P247" s="1474"/>
    </row>
    <row r="248" spans="2:16" x14ac:dyDescent="0.25">
      <c r="B248" s="1479"/>
      <c r="C248" s="1459" t="s">
        <v>1282</v>
      </c>
      <c r="D248" s="1460" t="s">
        <v>1276</v>
      </c>
      <c r="E248" s="1460"/>
      <c r="F248" s="1461"/>
      <c r="G248" s="1462"/>
      <c r="H248" s="1462"/>
      <c r="I248" s="1462"/>
      <c r="J248" s="1462"/>
      <c r="K248" s="1462"/>
      <c r="L248" s="1462"/>
      <c r="M248" s="1463"/>
      <c r="N248" s="1711">
        <v>0</v>
      </c>
      <c r="P248" s="1474"/>
    </row>
    <row r="249" spans="2:16" ht="7.5" customHeight="1" x14ac:dyDescent="0.25">
      <c r="B249" s="1479"/>
      <c r="C249" s="1448"/>
      <c r="D249" s="1459"/>
      <c r="E249" s="1459"/>
      <c r="F249" s="1464"/>
      <c r="G249" s="1459"/>
      <c r="H249" s="1459"/>
      <c r="I249" s="1459"/>
      <c r="J249" s="1459"/>
      <c r="K249" s="1459"/>
      <c r="L249" s="1459"/>
      <c r="M249" s="1465"/>
      <c r="N249" s="1459"/>
      <c r="P249" s="1474"/>
    </row>
    <row r="250" spans="2:16" ht="15" customHeight="1" x14ac:dyDescent="0.25">
      <c r="B250" s="1479"/>
      <c r="C250" s="1448"/>
      <c r="D250" s="2697" t="s">
        <v>1283</v>
      </c>
      <c r="E250" s="2697"/>
      <c r="F250" s="2697"/>
      <c r="G250" s="2697"/>
      <c r="H250" s="2697"/>
      <c r="I250" s="2697"/>
      <c r="J250" s="2697"/>
      <c r="K250" s="2697"/>
      <c r="L250" s="2697"/>
      <c r="M250" s="2697"/>
      <c r="N250" s="2697"/>
      <c r="P250" s="1474"/>
    </row>
    <row r="251" spans="2:16" x14ac:dyDescent="0.25">
      <c r="B251" s="1479"/>
      <c r="C251" s="1448"/>
      <c r="D251" s="1469"/>
      <c r="E251" s="1469"/>
      <c r="F251" s="1469"/>
      <c r="G251" s="1469"/>
      <c r="H251" s="1469"/>
      <c r="I251" s="1469"/>
      <c r="J251" s="1469"/>
      <c r="K251" s="1469"/>
      <c r="L251" s="1469"/>
      <c r="M251" s="1469"/>
      <c r="N251" s="1469"/>
      <c r="P251" s="1474"/>
    </row>
    <row r="252" spans="2:16" x14ac:dyDescent="0.25">
      <c r="B252" s="1479"/>
      <c r="C252" s="1448"/>
      <c r="D252" s="1453" t="s">
        <v>1279</v>
      </c>
      <c r="E252" s="1453"/>
      <c r="F252" s="1448"/>
      <c r="G252" s="1448"/>
      <c r="H252" s="1448"/>
      <c r="I252" s="1448"/>
      <c r="J252" s="1448"/>
      <c r="K252" s="1448"/>
      <c r="L252" s="1718">
        <f>'6A'!K120</f>
        <v>21313414.802096002</v>
      </c>
      <c r="M252" s="1448"/>
      <c r="N252" s="1448"/>
      <c r="P252" s="1474"/>
    </row>
    <row r="253" spans="2:16" x14ac:dyDescent="0.25">
      <c r="B253" s="1479"/>
      <c r="C253" s="1448"/>
      <c r="D253" s="1453" t="s">
        <v>1284</v>
      </c>
      <c r="E253" s="1453"/>
      <c r="F253" s="1448"/>
      <c r="G253" s="1448"/>
      <c r="H253" s="1448"/>
      <c r="I253" s="1448"/>
      <c r="J253" s="1448"/>
      <c r="K253" s="1448"/>
      <c r="L253" s="2174">
        <f>'2B'!K34</f>
        <v>59570</v>
      </c>
      <c r="M253" s="1448"/>
      <c r="N253" s="1448"/>
      <c r="P253" s="1474"/>
    </row>
    <row r="254" spans="2:16" x14ac:dyDescent="0.25">
      <c r="B254" s="1479"/>
      <c r="C254" s="1448"/>
      <c r="D254" s="1453" t="s">
        <v>1285</v>
      </c>
      <c r="E254" s="1453"/>
      <c r="F254" s="1448"/>
      <c r="G254" s="1448"/>
      <c r="H254" s="1448"/>
      <c r="I254" s="1448"/>
      <c r="J254" s="1448"/>
      <c r="K254" s="1448"/>
      <c r="L254" s="1721">
        <f>L252/L253</f>
        <v>357.78772540030218</v>
      </c>
      <c r="M254" s="1448"/>
      <c r="N254" s="1448"/>
      <c r="P254" s="1474"/>
    </row>
    <row r="255" spans="2:16" ht="15.75" thickBot="1" x14ac:dyDescent="0.3">
      <c r="B255" s="1479"/>
      <c r="C255" s="1448"/>
      <c r="D255" s="1448"/>
      <c r="E255" s="1448"/>
      <c r="F255" s="1448"/>
      <c r="G255" s="1448"/>
      <c r="H255" s="1448"/>
      <c r="I255" s="1448"/>
      <c r="J255" s="1448"/>
      <c r="K255" s="1448"/>
      <c r="L255" s="1448"/>
      <c r="M255" s="1448"/>
      <c r="N255" s="1448"/>
      <c r="P255" s="1474"/>
    </row>
    <row r="256" spans="2:16" ht="19.5" customHeight="1" thickTop="1" thickBot="1" x14ac:dyDescent="0.3">
      <c r="B256" s="1479"/>
      <c r="C256" s="2695" t="s">
        <v>1286</v>
      </c>
      <c r="D256" s="2696"/>
      <c r="E256" s="2696"/>
      <c r="F256" s="2696"/>
      <c r="G256" s="2696"/>
      <c r="H256" s="2696"/>
      <c r="I256" s="2696"/>
      <c r="J256" s="2696"/>
      <c r="K256" s="2696"/>
      <c r="L256" s="2696"/>
      <c r="M256" s="2696"/>
      <c r="N256" s="1720"/>
      <c r="P256" s="1474"/>
    </row>
    <row r="257" spans="2:16" ht="15.75" thickBot="1" x14ac:dyDescent="0.3">
      <c r="B257" s="1481"/>
      <c r="C257" s="1472"/>
      <c r="D257" s="1472"/>
      <c r="E257" s="1472"/>
      <c r="F257" s="1472"/>
      <c r="G257" s="1472"/>
      <c r="H257" s="1472"/>
      <c r="I257" s="1472"/>
      <c r="J257" s="1472"/>
      <c r="K257" s="1472"/>
      <c r="L257" s="1472"/>
      <c r="M257" s="1472"/>
      <c r="N257" s="1472"/>
      <c r="O257" s="1472"/>
      <c r="P257" s="1476"/>
    </row>
  </sheetData>
  <sheetProtection password="D666" sheet="1" objects="1" scenarios="1"/>
  <mergeCells count="77">
    <mergeCell ref="C246:M246"/>
    <mergeCell ref="C82:O82"/>
    <mergeCell ref="C84:L84"/>
    <mergeCell ref="M85:M86"/>
    <mergeCell ref="N85:N86"/>
    <mergeCell ref="C148:O148"/>
    <mergeCell ref="C150:L150"/>
    <mergeCell ref="M151:M152"/>
    <mergeCell ref="N151:N152"/>
    <mergeCell ref="C215:O215"/>
    <mergeCell ref="H181:M181"/>
    <mergeCell ref="D186:N187"/>
    <mergeCell ref="H189:M189"/>
    <mergeCell ref="D194:N195"/>
    <mergeCell ref="H197:M197"/>
    <mergeCell ref="D202:N202"/>
    <mergeCell ref="C256:M256"/>
    <mergeCell ref="D240:N240"/>
    <mergeCell ref="J242:L242"/>
    <mergeCell ref="D250:N250"/>
    <mergeCell ref="C17:L17"/>
    <mergeCell ref="F55:M55"/>
    <mergeCell ref="F57:M57"/>
    <mergeCell ref="H204:J204"/>
    <mergeCell ref="L204:M204"/>
    <mergeCell ref="D209:N210"/>
    <mergeCell ref="F212:J212"/>
    <mergeCell ref="D222:N222"/>
    <mergeCell ref="D229:N230"/>
    <mergeCell ref="C217:L217"/>
    <mergeCell ref="M218:M219"/>
    <mergeCell ref="N218:N219"/>
    <mergeCell ref="D178:N179"/>
    <mergeCell ref="J132:M132"/>
    <mergeCell ref="J133:M133"/>
    <mergeCell ref="D137:N137"/>
    <mergeCell ref="F139:N139"/>
    <mergeCell ref="G142:L143"/>
    <mergeCell ref="D155:N155"/>
    <mergeCell ref="H157:J157"/>
    <mergeCell ref="D163:N163"/>
    <mergeCell ref="H165:M165"/>
    <mergeCell ref="D170:N171"/>
    <mergeCell ref="H173:M173"/>
    <mergeCell ref="J131:M131"/>
    <mergeCell ref="J99:M99"/>
    <mergeCell ref="J100:M100"/>
    <mergeCell ref="J101:M101"/>
    <mergeCell ref="J102:M102"/>
    <mergeCell ref="D106:N106"/>
    <mergeCell ref="I108:L108"/>
    <mergeCell ref="J115:M115"/>
    <mergeCell ref="J116:M116"/>
    <mergeCell ref="F122:G122"/>
    <mergeCell ref="D127:N127"/>
    <mergeCell ref="J130:M130"/>
    <mergeCell ref="D96:N96"/>
    <mergeCell ref="D69:N69"/>
    <mergeCell ref="H71:M71"/>
    <mergeCell ref="H73:M73"/>
    <mergeCell ref="H74:M74"/>
    <mergeCell ref="H75:M75"/>
    <mergeCell ref="H76:M76"/>
    <mergeCell ref="H78:M78"/>
    <mergeCell ref="H79:M79"/>
    <mergeCell ref="H87:M87"/>
    <mergeCell ref="H88:M88"/>
    <mergeCell ref="F42:G42"/>
    <mergeCell ref="D47:N47"/>
    <mergeCell ref="F50:M50"/>
    <mergeCell ref="I26:M26"/>
    <mergeCell ref="I27:M27"/>
    <mergeCell ref="M18:M19"/>
    <mergeCell ref="N18:N19"/>
    <mergeCell ref="C15:O15"/>
    <mergeCell ref="I23:M23"/>
    <mergeCell ref="I24:M24"/>
  </mergeCells>
  <dataValidations count="24">
    <dataValidation type="list" allowBlank="1" showInputMessage="1" showErrorMessage="1" sqref="H197:M197">
      <formula1>LIHTC_KC_OppArea</formula1>
    </dataValidation>
    <dataValidation type="list" allowBlank="1" showInputMessage="1" showErrorMessage="1" sqref="I108:L108">
      <formula1>LIHTC_KC_HTF</formula1>
    </dataValidation>
    <dataValidation type="decimal" operator="notBetween" allowBlank="1" showInputMessage="1" showErrorMessage="1" error="Award must be at least $750,000." sqref="L109">
      <formula1>1</formula1>
      <formula2>749999</formula2>
    </dataValidation>
    <dataValidation type="list" allowBlank="1" showErrorMessage="1" prompt="_x000a_" sqref="I24 N24">
      <formula1>LIHTC_Inc_Lower</formula1>
    </dataValidation>
    <dataValidation type="list" allowBlank="1" showErrorMessage="1" prompt="Select Set-Aside Combination_x000a_" sqref="I23 N23">
      <formula1>LIHTC_lower_income</formula1>
    </dataValidation>
    <dataValidation type="list" allowBlank="1" showInputMessage="1" showErrorMessage="1" sqref="L204:M204">
      <formula1>LIHTC_job_centers</formula1>
    </dataValidation>
    <dataValidation type="list" allowBlank="1" showInputMessage="1" showErrorMessage="1" sqref="H204">
      <formula1>LIHTC_in_within</formula1>
    </dataValidation>
    <dataValidation type="list" allowBlank="1" showInputMessage="1" showErrorMessage="1" sqref="H189:M189">
      <formula1>LIHTC_KC_only</formula1>
    </dataValidation>
    <dataValidation type="list" allowBlank="1" showInputMessage="1" showErrorMessage="1" sqref="H165:M165">
      <formula1>LIHTC_location_eff</formula1>
    </dataValidation>
    <dataValidation type="list" allowBlank="1" showInputMessage="1" showErrorMessage="1" sqref="H157">
      <formula1>LIHTC_eligible_tribes</formula1>
    </dataValidation>
    <dataValidation type="list" allowBlank="1" showInputMessage="1" showErrorMessage="1" sqref="J99">
      <formula1>LIHTC_federal_funding_sources</formula1>
    </dataValidation>
    <dataValidation type="list" allowBlank="1" showInputMessage="1" showErrorMessage="1" sqref="H75:M75 H87:M87">
      <formula1>LIHTC_local_funding_types</formula1>
    </dataValidation>
    <dataValidation type="list" allowBlank="1" showInputMessage="1" showErrorMessage="1" sqref="H74:M74 H79:M80">
      <formula1>LIHTC_local_funding_sources</formula1>
    </dataValidation>
    <dataValidation type="list" allowBlank="1" showInputMessage="1" showErrorMessage="1" sqref="H71:M72 H173:M173 H181:M181">
      <formula1>LIHTC_local_funding_counties</formula1>
    </dataValidation>
    <dataValidation type="list" allowBlank="1" showInputMessage="1" showErrorMessage="1" sqref="I26 N26">
      <formula1>LIHTC_higher_income</formula1>
    </dataValidation>
    <dataValidation type="list" allowBlank="1" showInputMessage="1" showErrorMessage="1" sqref="F55 F57">
      <formula1>LIHTC_SpecNeeds20</formula1>
    </dataValidation>
    <dataValidation type="list" allowBlank="1" showInputMessage="1" showErrorMessage="1" sqref="F50">
      <formula1>LIHTC_Homeless75</formula1>
    </dataValidation>
    <dataValidation type="list" allowBlank="1" showInputMessage="1" showErrorMessage="1" sqref="F31:F32 F34">
      <formula1>LIHTC_Inc_percent</formula1>
    </dataValidation>
    <dataValidation type="list" allowBlank="1" showInputMessage="1" showErrorMessage="1" sqref="I27 N27">
      <formula1>LIHTC_Inc_Higher</formula1>
    </dataValidation>
    <dataValidation type="list" allowBlank="1" showInputMessage="1" showErrorMessage="1" sqref="I25">
      <formula1>LIHTC_Inc_Lower</formula1>
    </dataValidation>
    <dataValidation type="list" allowBlank="1" showInputMessage="1" showErrorMessage="1" sqref="F139:N139">
      <formula1>LIHTC_Historic</formula1>
    </dataValidation>
    <dataValidation type="list" allowBlank="1" showInputMessage="1" showErrorMessage="1" sqref="F122:G123">
      <formula1>LIHTC_DevFees</formula1>
    </dataValidation>
    <dataValidation type="list" allowBlank="1" showInputMessage="1" showErrorMessage="1" sqref="F212:G212">
      <formula1>LIHTC_NPSponsor</formula1>
    </dataValidation>
    <dataValidation type="list" allowBlank="1" showInputMessage="1" sqref="F42:G42">
      <formula1>LIHTC_Years</formula1>
    </dataValidation>
  </dataValidations>
  <pageMargins left="0.25" right="0.25" top="0.75" bottom="0.75" header="0.3" footer="0.3"/>
  <pageSetup scale="75" firstPageNumber="2" orientation="portrait" r:id="rId1"/>
  <headerFooter>
    <oddFooter>&amp;LForm 11A
9% LIHTC Scoring Synopsis&amp;REdition: 2016
Version 1.0</oddFooter>
  </headerFooter>
  <rowBreaks count="2" manualBreakCount="2">
    <brk id="80" min="1" max="15" man="1"/>
    <brk id="146" min="1" max="15" man="1"/>
  </rowBreaks>
  <drawing r:id="rId2"/>
  <legacyDrawing r:id="rId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84"/>
  <sheetViews>
    <sheetView showGridLines="0" workbookViewId="0">
      <selection activeCell="U35" sqref="U35"/>
    </sheetView>
  </sheetViews>
  <sheetFormatPr defaultColWidth="8.85546875" defaultRowHeight="15" x14ac:dyDescent="0.25"/>
  <cols>
    <col min="1" max="2" width="1.7109375" style="1724" customWidth="1"/>
    <col min="3" max="3" width="3.42578125" style="1724" customWidth="1"/>
    <col min="4" max="4" width="2.140625" style="1724" customWidth="1"/>
    <col min="5" max="5" width="2.85546875" style="1724" customWidth="1"/>
    <col min="6" max="6" width="10.42578125" style="1724" customWidth="1"/>
    <col min="7" max="7" width="9.140625" style="1724" customWidth="1"/>
    <col min="8" max="8" width="10.85546875" style="1724" customWidth="1"/>
    <col min="9" max="9" width="11.42578125" style="1724" customWidth="1"/>
    <col min="10" max="10" width="9.85546875" style="1724" customWidth="1"/>
    <col min="11" max="11" width="7.42578125" style="1724" customWidth="1"/>
    <col min="12" max="12" width="15.42578125" style="1724" customWidth="1"/>
    <col min="13" max="13" width="12" style="1724" bestFit="1" customWidth="1"/>
    <col min="14" max="14" width="9.140625" style="1724" customWidth="1"/>
    <col min="15" max="15" width="3.28515625" style="1724" customWidth="1"/>
    <col min="16" max="16384" width="8.85546875" style="1724"/>
  </cols>
  <sheetData>
    <row r="1" spans="2:15" s="1723" customFormat="1" ht="18.75" customHeight="1" x14ac:dyDescent="0.2"/>
    <row r="10" spans="2:15" ht="4.5" customHeight="1" thickBot="1" x14ac:dyDescent="0.3"/>
    <row r="11" spans="2:15" s="1725" customFormat="1" ht="15" customHeight="1" x14ac:dyDescent="0.25">
      <c r="B11" s="1733"/>
      <c r="C11" s="1734"/>
      <c r="D11" s="1734"/>
      <c r="E11" s="1734"/>
      <c r="F11" s="1734"/>
      <c r="G11" s="1734"/>
      <c r="H11" s="1734"/>
      <c r="I11" s="1734"/>
      <c r="J11" s="1734"/>
      <c r="K11" s="1734"/>
      <c r="L11" s="1734"/>
      <c r="M11" s="1734"/>
      <c r="N11" s="1734"/>
      <c r="O11" s="1735"/>
    </row>
    <row r="12" spans="2:15" s="1725" customFormat="1" ht="18.75" customHeight="1" x14ac:dyDescent="0.3">
      <c r="B12" s="1736"/>
      <c r="C12" s="2718" t="s">
        <v>1674</v>
      </c>
      <c r="D12" s="2718"/>
      <c r="E12" s="2718"/>
      <c r="F12" s="2718"/>
      <c r="G12" s="2718"/>
      <c r="H12" s="2718"/>
      <c r="I12" s="2718"/>
      <c r="J12" s="2718"/>
      <c r="K12" s="2718"/>
      <c r="L12" s="2718"/>
      <c r="M12" s="2718"/>
      <c r="N12" s="2718"/>
      <c r="O12" s="1737"/>
    </row>
    <row r="13" spans="2:15" s="1725" customFormat="1" ht="6.75" customHeight="1" x14ac:dyDescent="0.25">
      <c r="B13" s="1736"/>
      <c r="C13" s="1738"/>
      <c r="D13" s="1738"/>
      <c r="E13" s="1738"/>
      <c r="F13" s="1738"/>
      <c r="G13" s="1738"/>
      <c r="H13" s="1738"/>
      <c r="I13" s="1738"/>
      <c r="J13" s="1738"/>
      <c r="K13" s="1738"/>
      <c r="L13" s="1738"/>
      <c r="M13" s="1738"/>
      <c r="N13" s="1738"/>
      <c r="O13" s="1737"/>
    </row>
    <row r="14" spans="2:15" ht="15.75" customHeight="1" thickBot="1" x14ac:dyDescent="0.3">
      <c r="B14" s="1739"/>
      <c r="C14" s="2719" t="str">
        <f>IF('1'!G5="","Enter Project Name on Form 1",(CONCATENATE("Project Name: ",'1'!G5)))</f>
        <v>Project Name: Compass Broadview</v>
      </c>
      <c r="D14" s="2719"/>
      <c r="E14" s="2719"/>
      <c r="F14" s="2719"/>
      <c r="G14" s="2719"/>
      <c r="H14" s="2719"/>
      <c r="I14" s="2719"/>
      <c r="J14" s="2719"/>
      <c r="K14" s="2719"/>
      <c r="L14" s="2719"/>
      <c r="M14" s="1740"/>
      <c r="N14" s="1740"/>
      <c r="O14" s="1741"/>
    </row>
    <row r="15" spans="2:15" ht="15" customHeight="1" x14ac:dyDescent="0.25">
      <c r="B15" s="1739"/>
      <c r="C15" s="1740"/>
      <c r="D15" s="1740"/>
      <c r="E15" s="1740"/>
      <c r="F15" s="1740"/>
      <c r="G15" s="1740"/>
      <c r="H15" s="1740"/>
      <c r="I15" s="1740"/>
      <c r="J15" s="1740"/>
      <c r="K15" s="1740"/>
      <c r="L15" s="1740"/>
      <c r="M15" s="2707"/>
      <c r="N15" s="2709" t="s">
        <v>1166</v>
      </c>
      <c r="O15" s="1741"/>
    </row>
    <row r="16" spans="2:15" x14ac:dyDescent="0.25">
      <c r="B16" s="1739"/>
      <c r="C16" s="1740"/>
      <c r="D16" s="1740"/>
      <c r="E16" s="1740"/>
      <c r="F16" s="1742"/>
      <c r="G16" s="1740"/>
      <c r="H16" s="1740"/>
      <c r="I16" s="1740"/>
      <c r="J16" s="1740"/>
      <c r="K16" s="1740"/>
      <c r="L16" s="1740"/>
      <c r="M16" s="2708"/>
      <c r="N16" s="2710"/>
      <c r="O16" s="1741"/>
    </row>
    <row r="17" spans="2:15" x14ac:dyDescent="0.25">
      <c r="B17" s="1739"/>
      <c r="C17" s="1743">
        <v>1</v>
      </c>
      <c r="D17" s="1744" t="s">
        <v>1167</v>
      </c>
      <c r="E17" s="1744"/>
      <c r="F17" s="1745"/>
      <c r="G17" s="1746"/>
      <c r="H17" s="1746"/>
      <c r="I17" s="1746"/>
      <c r="J17" s="1746"/>
      <c r="K17" s="1746"/>
      <c r="L17" s="1746"/>
      <c r="M17" s="1747"/>
      <c r="N17" s="1711">
        <v>0</v>
      </c>
      <c r="O17" s="1741"/>
    </row>
    <row r="18" spans="2:15" ht="7.5" customHeight="1" x14ac:dyDescent="0.25">
      <c r="B18" s="1739"/>
      <c r="C18" s="1740"/>
      <c r="D18" s="1743"/>
      <c r="E18" s="1743"/>
      <c r="F18" s="1748"/>
      <c r="G18" s="1743"/>
      <c r="H18" s="1743"/>
      <c r="I18" s="1743"/>
      <c r="J18" s="1743"/>
      <c r="K18" s="1743"/>
      <c r="L18" s="1743"/>
      <c r="M18" s="1749"/>
      <c r="N18" s="1743"/>
      <c r="O18" s="1741"/>
    </row>
    <row r="19" spans="2:15" x14ac:dyDescent="0.25">
      <c r="B19" s="1739"/>
      <c r="C19" s="1740"/>
      <c r="D19" s="1743" t="s">
        <v>1168</v>
      </c>
      <c r="E19" s="1740"/>
      <c r="F19" s="1748"/>
      <c r="G19" s="1743"/>
      <c r="H19" s="1743"/>
      <c r="I19" s="1743"/>
      <c r="J19" s="1743"/>
      <c r="K19" s="1743"/>
      <c r="L19" s="1743"/>
      <c r="M19" s="1749"/>
      <c r="N19" s="1743"/>
      <c r="O19" s="1741"/>
    </row>
    <row r="20" spans="2:15" ht="6.75" customHeight="1" x14ac:dyDescent="0.25">
      <c r="B20" s="1739"/>
      <c r="C20" s="1740"/>
      <c r="D20" s="1743"/>
      <c r="E20" s="1740"/>
      <c r="F20" s="1748"/>
      <c r="G20" s="1743"/>
      <c r="H20" s="1743"/>
      <c r="I20" s="1743"/>
      <c r="J20" s="1743"/>
      <c r="K20" s="1743"/>
      <c r="L20" s="1743"/>
      <c r="M20" s="1749"/>
      <c r="N20" s="1743"/>
      <c r="O20" s="1741"/>
    </row>
    <row r="21" spans="2:15" x14ac:dyDescent="0.25">
      <c r="B21" s="1739"/>
      <c r="C21" s="1740"/>
      <c r="D21" s="1750"/>
      <c r="E21" s="1751"/>
      <c r="F21" s="2711" t="s">
        <v>1547</v>
      </c>
      <c r="G21" s="2712"/>
      <c r="H21" s="2712"/>
      <c r="I21" s="2712"/>
      <c r="J21" s="2712"/>
      <c r="K21" s="2712"/>
      <c r="L21" s="2712"/>
      <c r="M21" s="2713"/>
      <c r="N21" s="1752"/>
      <c r="O21" s="1741"/>
    </row>
    <row r="22" spans="2:15" x14ac:dyDescent="0.25">
      <c r="B22" s="1739"/>
      <c r="C22" s="1740"/>
      <c r="D22" s="1750"/>
      <c r="E22" s="1751"/>
      <c r="F22" s="1753"/>
      <c r="G22" s="1754"/>
      <c r="H22" s="1754"/>
      <c r="I22" s="2714"/>
      <c r="J22" s="2714"/>
      <c r="K22" s="2714"/>
      <c r="L22" s="2714"/>
      <c r="M22" s="2714"/>
      <c r="N22" s="2714"/>
      <c r="O22" s="1741"/>
    </row>
    <row r="23" spans="2:15" x14ac:dyDescent="0.25">
      <c r="B23" s="1739"/>
      <c r="C23" s="1740"/>
      <c r="D23" s="1755"/>
      <c r="E23" s="1740"/>
      <c r="F23" s="1756" t="s">
        <v>1175</v>
      </c>
      <c r="G23" s="1757"/>
      <c r="H23" s="1757"/>
      <c r="I23" s="1757"/>
      <c r="J23" s="1757"/>
      <c r="K23" s="1757"/>
      <c r="L23" s="1757"/>
      <c r="M23" s="1758"/>
      <c r="N23" s="1759"/>
      <c r="O23" s="1741"/>
    </row>
    <row r="24" spans="2:15" ht="28.5" customHeight="1" x14ac:dyDescent="0.25">
      <c r="B24" s="1739"/>
      <c r="C24" s="1740"/>
      <c r="D24" s="1755"/>
      <c r="E24" s="1740"/>
      <c r="F24" s="1760" t="s">
        <v>1176</v>
      </c>
      <c r="G24" s="1761"/>
      <c r="H24" s="1762" t="s">
        <v>1177</v>
      </c>
      <c r="I24" s="1761"/>
      <c r="J24" s="1762" t="s">
        <v>1178</v>
      </c>
      <c r="K24" s="1740"/>
      <c r="L24" s="1740"/>
      <c r="M24" s="1763"/>
      <c r="N24" s="1759"/>
      <c r="O24" s="1741"/>
    </row>
    <row r="25" spans="2:15" x14ac:dyDescent="0.25">
      <c r="B25" s="1739"/>
      <c r="C25" s="1740"/>
      <c r="D25" s="1755"/>
      <c r="E25" s="1740"/>
      <c r="F25" s="1727">
        <v>0</v>
      </c>
      <c r="G25" s="1764" t="s">
        <v>1179</v>
      </c>
      <c r="H25" s="1764" t="s">
        <v>1181</v>
      </c>
      <c r="I25" s="1765" t="s">
        <v>374</v>
      </c>
      <c r="J25" s="1728">
        <v>0</v>
      </c>
      <c r="K25" s="1740"/>
      <c r="L25" s="1740"/>
      <c r="M25" s="1763"/>
      <c r="N25" s="1759"/>
      <c r="O25" s="1741"/>
    </row>
    <row r="26" spans="2:15" x14ac:dyDescent="0.25">
      <c r="B26" s="1739"/>
      <c r="C26" s="1740"/>
      <c r="D26" s="1755"/>
      <c r="E26" s="1740"/>
      <c r="F26" s="1727">
        <v>0</v>
      </c>
      <c r="G26" s="1764" t="s">
        <v>1179</v>
      </c>
      <c r="H26" s="1764" t="s">
        <v>1182</v>
      </c>
      <c r="I26" s="1765" t="s">
        <v>374</v>
      </c>
      <c r="J26" s="1728">
        <v>0</v>
      </c>
      <c r="K26" s="1740"/>
      <c r="L26" s="1740"/>
      <c r="M26" s="1763"/>
      <c r="N26" s="1759"/>
      <c r="O26" s="1741"/>
    </row>
    <row r="27" spans="2:15" x14ac:dyDescent="0.25">
      <c r="B27" s="1739"/>
      <c r="C27" s="1740"/>
      <c r="D27" s="1755"/>
      <c r="E27" s="1740"/>
      <c r="F27" s="1727">
        <v>0</v>
      </c>
      <c r="G27" s="1766" t="s">
        <v>1179</v>
      </c>
      <c r="H27" s="1764" t="s">
        <v>1183</v>
      </c>
      <c r="I27" s="1765" t="s">
        <v>374</v>
      </c>
      <c r="J27" s="1728">
        <v>0</v>
      </c>
      <c r="K27" s="1740"/>
      <c r="L27" s="1740"/>
      <c r="M27" s="1763"/>
      <c r="N27" s="1759"/>
      <c r="O27" s="1741"/>
    </row>
    <row r="28" spans="2:15" x14ac:dyDescent="0.25">
      <c r="B28" s="1739"/>
      <c r="C28" s="1740"/>
      <c r="D28" s="1740"/>
      <c r="E28" s="1740"/>
      <c r="F28" s="1767"/>
      <c r="G28" s="1768"/>
      <c r="H28" s="1768"/>
      <c r="I28" s="1768"/>
      <c r="J28" s="1769">
        <f>SUM(J25:J27)</f>
        <v>0</v>
      </c>
      <c r="K28" s="1770" t="s">
        <v>1184</v>
      </c>
      <c r="L28" s="1768"/>
      <c r="M28" s="1771"/>
      <c r="N28" s="1759"/>
      <c r="O28" s="1741"/>
    </row>
    <row r="29" spans="2:15" x14ac:dyDescent="0.25">
      <c r="B29" s="1739"/>
      <c r="C29" s="1740"/>
      <c r="D29" s="1740"/>
      <c r="E29" s="1740"/>
      <c r="F29" s="1740"/>
      <c r="G29" s="1740"/>
      <c r="H29" s="1740"/>
      <c r="I29" s="1740"/>
      <c r="J29" s="1772"/>
      <c r="K29" s="1748"/>
      <c r="L29" s="1740"/>
      <c r="M29" s="1740"/>
      <c r="N29" s="1740"/>
      <c r="O29" s="1741"/>
    </row>
    <row r="30" spans="2:15" x14ac:dyDescent="0.25">
      <c r="B30" s="1739"/>
      <c r="C30" s="1740"/>
      <c r="D30" s="1740"/>
      <c r="E30" s="1740"/>
      <c r="F30" s="1740"/>
      <c r="G30" s="1740"/>
      <c r="H30" s="1740"/>
      <c r="I30" s="1740"/>
      <c r="J30" s="1772"/>
      <c r="K30" s="1748"/>
      <c r="L30" s="1740"/>
      <c r="M30" s="1740"/>
      <c r="N30" s="1740"/>
      <c r="O30" s="1741"/>
    </row>
    <row r="31" spans="2:15" x14ac:dyDescent="0.25">
      <c r="B31" s="1739"/>
      <c r="C31" s="1743">
        <v>2</v>
      </c>
      <c r="D31" s="1744" t="s">
        <v>1185</v>
      </c>
      <c r="E31" s="1744"/>
      <c r="F31" s="1745"/>
      <c r="G31" s="1746"/>
      <c r="H31" s="1746"/>
      <c r="I31" s="1746"/>
      <c r="J31" s="1746"/>
      <c r="K31" s="1746"/>
      <c r="L31" s="1746"/>
      <c r="M31" s="1747"/>
      <c r="N31" s="1711">
        <v>0</v>
      </c>
      <c r="O31" s="1741"/>
    </row>
    <row r="32" spans="2:15" ht="7.5" customHeight="1" x14ac:dyDescent="0.25">
      <c r="B32" s="1739"/>
      <c r="C32" s="1740"/>
      <c r="D32" s="1743"/>
      <c r="E32" s="1743"/>
      <c r="F32" s="1748"/>
      <c r="G32" s="1743"/>
      <c r="H32" s="1743"/>
      <c r="I32" s="1743"/>
      <c r="J32" s="1743"/>
      <c r="K32" s="1743"/>
      <c r="L32" s="1743"/>
      <c r="M32" s="1773"/>
      <c r="N32" s="1749"/>
      <c r="O32" s="1741"/>
    </row>
    <row r="33" spans="2:15" x14ac:dyDescent="0.25">
      <c r="B33" s="1739"/>
      <c r="C33" s="1740"/>
      <c r="D33" s="1748" t="s">
        <v>1548</v>
      </c>
      <c r="E33" s="1748"/>
      <c r="F33" s="1740"/>
      <c r="G33" s="1740"/>
      <c r="H33" s="1740"/>
      <c r="I33" s="1740"/>
      <c r="J33" s="1740"/>
      <c r="K33" s="1740"/>
      <c r="L33" s="1740"/>
      <c r="M33" s="1740"/>
      <c r="N33" s="1740"/>
      <c r="O33" s="1741"/>
    </row>
    <row r="34" spans="2:15" ht="4.5" customHeight="1" x14ac:dyDescent="0.25">
      <c r="B34" s="1739"/>
      <c r="C34" s="1740"/>
      <c r="D34" s="1748"/>
      <c r="E34" s="1748"/>
      <c r="F34" s="1740"/>
      <c r="G34" s="1740"/>
      <c r="H34" s="1740"/>
      <c r="I34" s="1740"/>
      <c r="J34" s="1740"/>
      <c r="K34" s="1740"/>
      <c r="L34" s="1740"/>
      <c r="M34" s="1740"/>
      <c r="N34" s="1740"/>
      <c r="O34" s="1741"/>
    </row>
    <row r="35" spans="2:15" x14ac:dyDescent="0.25">
      <c r="B35" s="1739"/>
      <c r="C35" s="1740"/>
      <c r="D35" s="1755"/>
      <c r="E35" s="1740"/>
      <c r="F35" s="2715" t="s">
        <v>1187</v>
      </c>
      <c r="G35" s="2716"/>
      <c r="H35" s="1749"/>
      <c r="I35" s="1742"/>
      <c r="J35" s="1774"/>
      <c r="K35" s="1765"/>
      <c r="L35" s="1740"/>
      <c r="M35" s="1740"/>
      <c r="N35" s="1740"/>
      <c r="O35" s="1741"/>
    </row>
    <row r="36" spans="2:15" x14ac:dyDescent="0.25">
      <c r="B36" s="1739"/>
      <c r="C36" s="1740"/>
      <c r="D36" s="1740"/>
      <c r="E36" s="1740"/>
      <c r="F36" s="1775"/>
      <c r="G36" s="1775"/>
      <c r="H36" s="1749"/>
      <c r="I36" s="1742"/>
      <c r="J36" s="1774"/>
      <c r="K36" s="1765"/>
      <c r="L36" s="1740"/>
      <c r="M36" s="1740"/>
      <c r="N36" s="1740"/>
      <c r="O36" s="1741"/>
    </row>
    <row r="37" spans="2:15" x14ac:dyDescent="0.25">
      <c r="B37" s="1739"/>
      <c r="C37" s="1740"/>
      <c r="D37" s="1740"/>
      <c r="E37" s="1740"/>
      <c r="F37" s="1740"/>
      <c r="G37" s="1740"/>
      <c r="H37" s="1740"/>
      <c r="I37" s="1740"/>
      <c r="J37" s="1740"/>
      <c r="K37" s="1740"/>
      <c r="L37" s="1740"/>
      <c r="M37" s="1740"/>
      <c r="N37" s="1740"/>
      <c r="O37" s="1741"/>
    </row>
    <row r="38" spans="2:15" x14ac:dyDescent="0.25">
      <c r="B38" s="1739"/>
      <c r="C38" s="1743">
        <v>3</v>
      </c>
      <c r="D38" s="1744" t="s">
        <v>1188</v>
      </c>
      <c r="E38" s="1744"/>
      <c r="F38" s="1745"/>
      <c r="G38" s="1746"/>
      <c r="H38" s="1746"/>
      <c r="I38" s="1746"/>
      <c r="J38" s="1746"/>
      <c r="K38" s="1746"/>
      <c r="L38" s="1746"/>
      <c r="M38" s="1747"/>
      <c r="N38" s="1711">
        <v>0</v>
      </c>
      <c r="O38" s="1741"/>
    </row>
    <row r="39" spans="2:15" ht="7.5" customHeight="1" x14ac:dyDescent="0.25">
      <c r="B39" s="1739"/>
      <c r="C39" s="1740"/>
      <c r="D39" s="1743"/>
      <c r="E39" s="1743"/>
      <c r="F39" s="1748"/>
      <c r="G39" s="1743"/>
      <c r="H39" s="1743"/>
      <c r="I39" s="1743"/>
      <c r="J39" s="1743"/>
      <c r="K39" s="1743"/>
      <c r="L39" s="1743"/>
      <c r="M39" s="1743"/>
      <c r="N39" s="1743"/>
      <c r="O39" s="1741"/>
    </row>
    <row r="40" spans="2:15" ht="10.5" customHeight="1" x14ac:dyDescent="0.25">
      <c r="B40" s="1739"/>
      <c r="C40" s="1740"/>
      <c r="D40" s="2706" t="s">
        <v>1549</v>
      </c>
      <c r="E40" s="2706"/>
      <c r="F40" s="2706"/>
      <c r="G40" s="2706"/>
      <c r="H40" s="2706"/>
      <c r="I40" s="2706"/>
      <c r="J40" s="2706"/>
      <c r="K40" s="2706"/>
      <c r="L40" s="2706"/>
      <c r="M40" s="2706"/>
      <c r="N40" s="2706"/>
      <c r="O40" s="1741"/>
    </row>
    <row r="41" spans="2:15" ht="15" customHeight="1" x14ac:dyDescent="0.25">
      <c r="B41" s="1739"/>
      <c r="C41" s="1740"/>
      <c r="D41" s="2706"/>
      <c r="E41" s="2706"/>
      <c r="F41" s="2706"/>
      <c r="G41" s="2706"/>
      <c r="H41" s="2706"/>
      <c r="I41" s="2706"/>
      <c r="J41" s="2706"/>
      <c r="K41" s="2706"/>
      <c r="L41" s="2706"/>
      <c r="M41" s="2706"/>
      <c r="N41" s="2706"/>
      <c r="O41" s="1776"/>
    </row>
    <row r="42" spans="2:15" ht="4.5" customHeight="1" x14ac:dyDescent="0.25">
      <c r="B42" s="1739"/>
      <c r="C42" s="1740"/>
      <c r="D42" s="1740"/>
      <c r="E42" s="1740"/>
      <c r="F42" s="1761"/>
      <c r="G42" s="1761"/>
      <c r="H42" s="1761"/>
      <c r="I42" s="1761"/>
      <c r="J42" s="1748" t="s">
        <v>313</v>
      </c>
      <c r="K42" s="1761"/>
      <c r="L42" s="1761"/>
      <c r="M42" s="1761"/>
      <c r="N42" s="1761"/>
      <c r="O42" s="1776"/>
    </row>
    <row r="43" spans="2:15" ht="16.350000000000001" customHeight="1" x14ac:dyDescent="0.25">
      <c r="B43" s="1739"/>
      <c r="C43" s="1740"/>
      <c r="D43" s="1748" t="s">
        <v>1550</v>
      </c>
      <c r="E43" s="1748"/>
      <c r="F43" s="1740"/>
      <c r="G43" s="1742"/>
      <c r="H43" s="1742"/>
      <c r="I43" s="1742"/>
      <c r="J43" s="1742"/>
      <c r="K43" s="1742"/>
      <c r="L43" s="1740"/>
      <c r="M43" s="1740"/>
      <c r="N43" s="1740"/>
      <c r="O43" s="1741"/>
    </row>
    <row r="44" spans="2:15" ht="6.75" customHeight="1" x14ac:dyDescent="0.25">
      <c r="B44" s="1739"/>
      <c r="C44" s="1740"/>
      <c r="D44" s="1748"/>
      <c r="E44" s="1748"/>
      <c r="F44" s="1740"/>
      <c r="G44" s="1742"/>
      <c r="H44" s="1742"/>
      <c r="I44" s="1742"/>
      <c r="J44" s="1742"/>
      <c r="K44" s="1742"/>
      <c r="L44" s="1740"/>
      <c r="M44" s="1740"/>
      <c r="N44" s="1740"/>
      <c r="O44" s="1741"/>
    </row>
    <row r="45" spans="2:15" ht="15" customHeight="1" x14ac:dyDescent="0.25">
      <c r="B45" s="1739"/>
      <c r="C45" s="1740"/>
      <c r="D45" s="1740"/>
      <c r="E45" s="1740"/>
      <c r="F45" s="2715" t="s">
        <v>1187</v>
      </c>
      <c r="G45" s="2720"/>
      <c r="H45" s="2720"/>
      <c r="I45" s="2720"/>
      <c r="J45" s="2720"/>
      <c r="K45" s="2720"/>
      <c r="L45" s="2720"/>
      <c r="M45" s="2720"/>
      <c r="N45" s="1777"/>
      <c r="O45" s="1741"/>
    </row>
    <row r="46" spans="2:15" ht="5.25" customHeight="1" x14ac:dyDescent="0.25">
      <c r="B46" s="1739"/>
      <c r="C46" s="1740"/>
      <c r="D46" s="1740"/>
      <c r="E46" s="1740"/>
      <c r="F46" s="1775"/>
      <c r="G46" s="1775"/>
      <c r="H46" s="1775"/>
      <c r="I46" s="1775"/>
      <c r="J46" s="1775"/>
      <c r="K46" s="1775"/>
      <c r="L46" s="1775"/>
      <c r="M46" s="1775"/>
      <c r="N46" s="1775"/>
      <c r="O46" s="1741"/>
    </row>
    <row r="47" spans="2:15" ht="16.350000000000001" customHeight="1" x14ac:dyDescent="0.25">
      <c r="B47" s="1739"/>
      <c r="C47" s="1740"/>
      <c r="D47" s="1740"/>
      <c r="E47" s="1740"/>
      <c r="F47" s="1740"/>
      <c r="G47" s="1775" t="s">
        <v>1551</v>
      </c>
      <c r="H47" s="1775"/>
      <c r="I47" s="1775"/>
      <c r="J47" s="1740"/>
      <c r="K47" s="1775"/>
      <c r="L47" s="1775"/>
      <c r="M47" s="1729">
        <v>0</v>
      </c>
      <c r="N47" s="1775" t="s">
        <v>1192</v>
      </c>
      <c r="O47" s="1741"/>
    </row>
    <row r="48" spans="2:15" ht="16.350000000000001" customHeight="1" x14ac:dyDescent="0.25">
      <c r="B48" s="1739"/>
      <c r="C48" s="1740"/>
      <c r="D48" s="1740"/>
      <c r="E48" s="1740"/>
      <c r="F48" s="1740"/>
      <c r="G48" s="1775" t="s">
        <v>1552</v>
      </c>
      <c r="H48" s="1775"/>
      <c r="I48" s="1775"/>
      <c r="J48" s="1740"/>
      <c r="K48" s="1775"/>
      <c r="L48" s="1775"/>
      <c r="M48" s="1729">
        <v>0</v>
      </c>
      <c r="N48" s="1775" t="s">
        <v>1192</v>
      </c>
      <c r="O48" s="1741"/>
    </row>
    <row r="49" spans="2:15" ht="16.350000000000001" customHeight="1" x14ac:dyDescent="0.25">
      <c r="B49" s="1739"/>
      <c r="C49" s="1740"/>
      <c r="D49" s="1740"/>
      <c r="E49" s="1740"/>
      <c r="F49" s="1775"/>
      <c r="G49" s="1775"/>
      <c r="H49" s="1775"/>
      <c r="I49" s="1775"/>
      <c r="J49" s="1775"/>
      <c r="K49" s="1775"/>
      <c r="L49" s="1775"/>
      <c r="M49" s="1775"/>
      <c r="N49" s="1775"/>
      <c r="O49" s="1741"/>
    </row>
    <row r="50" spans="2:15" ht="16.350000000000001" customHeight="1" x14ac:dyDescent="0.25">
      <c r="B50" s="1739"/>
      <c r="C50" s="1740"/>
      <c r="D50" s="1748" t="s">
        <v>1553</v>
      </c>
      <c r="E50" s="1748"/>
      <c r="F50" s="1740"/>
      <c r="G50" s="1742"/>
      <c r="H50" s="1742"/>
      <c r="I50" s="1742"/>
      <c r="J50" s="1742"/>
      <c r="K50" s="1742"/>
      <c r="L50" s="1740"/>
      <c r="M50" s="1740"/>
      <c r="N50" s="1740"/>
      <c r="O50" s="1741"/>
    </row>
    <row r="51" spans="2:15" ht="7.5" customHeight="1" x14ac:dyDescent="0.25">
      <c r="B51" s="1739"/>
      <c r="C51" s="1740"/>
      <c r="D51" s="1748"/>
      <c r="E51" s="1748"/>
      <c r="F51" s="1740"/>
      <c r="G51" s="1742"/>
      <c r="H51" s="1742"/>
      <c r="I51" s="1742"/>
      <c r="J51" s="1742"/>
      <c r="K51" s="1742"/>
      <c r="L51" s="1740"/>
      <c r="M51" s="1740"/>
      <c r="N51" s="1740"/>
      <c r="O51" s="1741"/>
    </row>
    <row r="52" spans="2:15" ht="15" customHeight="1" x14ac:dyDescent="0.25">
      <c r="B52" s="1739"/>
      <c r="C52" s="1740"/>
      <c r="D52" s="1740"/>
      <c r="E52" s="1740"/>
      <c r="F52" s="2715" t="s">
        <v>1187</v>
      </c>
      <c r="G52" s="2720"/>
      <c r="H52" s="2720"/>
      <c r="I52" s="2720"/>
      <c r="J52" s="2720"/>
      <c r="K52" s="2720"/>
      <c r="L52" s="2720"/>
      <c r="M52" s="2716"/>
      <c r="N52" s="1778"/>
      <c r="O52" s="1741"/>
    </row>
    <row r="53" spans="2:15" ht="6" customHeight="1" x14ac:dyDescent="0.25">
      <c r="B53" s="1739"/>
      <c r="C53" s="1740"/>
      <c r="D53" s="1740"/>
      <c r="E53" s="1740"/>
      <c r="F53" s="1779"/>
      <c r="G53" s="1780"/>
      <c r="H53" s="1780"/>
      <c r="I53" s="1780"/>
      <c r="J53" s="1780"/>
      <c r="K53" s="1780"/>
      <c r="L53" s="1779"/>
      <c r="M53" s="1779"/>
      <c r="N53" s="1779"/>
      <c r="O53" s="1741"/>
    </row>
    <row r="54" spans="2:15" ht="16.350000000000001" customHeight="1" x14ac:dyDescent="0.25">
      <c r="B54" s="1739"/>
      <c r="C54" s="1740"/>
      <c r="D54" s="1740"/>
      <c r="E54" s="1740"/>
      <c r="F54" s="1775"/>
      <c r="G54" s="1775" t="s">
        <v>1554</v>
      </c>
      <c r="H54" s="1775"/>
      <c r="I54" s="1775"/>
      <c r="J54" s="1775"/>
      <c r="K54" s="1775"/>
      <c r="L54" s="1775"/>
      <c r="M54" s="1729">
        <v>0</v>
      </c>
      <c r="N54" s="1775" t="s">
        <v>1192</v>
      </c>
      <c r="O54" s="1741"/>
    </row>
    <row r="55" spans="2:15" ht="16.350000000000001" customHeight="1" x14ac:dyDescent="0.25">
      <c r="B55" s="1739"/>
      <c r="C55" s="1740"/>
      <c r="D55" s="1740"/>
      <c r="E55" s="1740"/>
      <c r="F55" s="1775"/>
      <c r="G55" s="1781" t="s">
        <v>1196</v>
      </c>
      <c r="H55" s="1740"/>
      <c r="I55" s="1781"/>
      <c r="J55" s="1781"/>
      <c r="K55" s="1781"/>
      <c r="L55" s="1781"/>
      <c r="M55" s="1729">
        <v>0</v>
      </c>
      <c r="N55" s="1775" t="s">
        <v>1192</v>
      </c>
      <c r="O55" s="1741"/>
    </row>
    <row r="56" spans="2:15" s="1726" customFormat="1" ht="16.350000000000001" customHeight="1" x14ac:dyDescent="0.25">
      <c r="B56" s="1782"/>
      <c r="C56" s="1755"/>
      <c r="D56" s="1755"/>
      <c r="E56" s="1755"/>
      <c r="F56" s="1783"/>
      <c r="G56" s="1783"/>
      <c r="H56" s="1755"/>
      <c r="I56" s="1783"/>
      <c r="J56" s="1783"/>
      <c r="K56" s="1783"/>
      <c r="L56" s="1783"/>
      <c r="M56" s="1784"/>
      <c r="N56" s="1783"/>
      <c r="O56" s="1785"/>
    </row>
    <row r="57" spans="2:15" ht="16.350000000000001" customHeight="1" x14ac:dyDescent="0.25">
      <c r="B57" s="1739"/>
      <c r="C57" s="1740"/>
      <c r="D57" s="1786" t="s">
        <v>1555</v>
      </c>
      <c r="E57" s="1786"/>
      <c r="F57" s="1775"/>
      <c r="G57" s="1775"/>
      <c r="H57" s="1740"/>
      <c r="I57" s="1775"/>
      <c r="J57" s="1775"/>
      <c r="K57" s="1775"/>
      <c r="L57" s="1775"/>
      <c r="M57" s="1787"/>
      <c r="N57" s="1775"/>
      <c r="O57" s="1741"/>
    </row>
    <row r="58" spans="2:15" ht="6.75" customHeight="1" x14ac:dyDescent="0.25">
      <c r="B58" s="1739"/>
      <c r="C58" s="1740"/>
      <c r="D58" s="1786"/>
      <c r="E58" s="1786"/>
      <c r="F58" s="1775"/>
      <c r="G58" s="1775"/>
      <c r="H58" s="1740"/>
      <c r="I58" s="1775"/>
      <c r="J58" s="1775"/>
      <c r="K58" s="1775"/>
      <c r="L58" s="1775"/>
      <c r="M58" s="1787"/>
      <c r="N58" s="1775"/>
      <c r="O58" s="1741"/>
    </row>
    <row r="59" spans="2:15" ht="15" customHeight="1" x14ac:dyDescent="0.25">
      <c r="B59" s="1739"/>
      <c r="C59" s="1740"/>
      <c r="D59" s="1755"/>
      <c r="E59" s="1788"/>
      <c r="F59" s="2715" t="s">
        <v>1187</v>
      </c>
      <c r="G59" s="2720"/>
      <c r="H59" s="2720"/>
      <c r="I59" s="2720"/>
      <c r="J59" s="2720"/>
      <c r="K59" s="2720"/>
      <c r="L59" s="2720"/>
      <c r="M59" s="2716"/>
      <c r="N59" s="1777"/>
      <c r="O59" s="1741"/>
    </row>
    <row r="60" spans="2:15" s="1726" customFormat="1" ht="6" customHeight="1" x14ac:dyDescent="0.25">
      <c r="B60" s="1782"/>
      <c r="C60" s="1755"/>
      <c r="D60" s="1755"/>
      <c r="E60" s="1788"/>
      <c r="F60" s="1783"/>
      <c r="G60" s="1783"/>
      <c r="H60" s="1783"/>
      <c r="I60" s="1783"/>
      <c r="J60" s="1783"/>
      <c r="K60" s="1783"/>
      <c r="L60" s="1783"/>
      <c r="M60" s="1783"/>
      <c r="N60" s="1783"/>
      <c r="O60" s="1785"/>
    </row>
    <row r="61" spans="2:15" ht="16.350000000000001" customHeight="1" x14ac:dyDescent="0.25">
      <c r="B61" s="1739"/>
      <c r="C61" s="1740"/>
      <c r="D61" s="1755"/>
      <c r="E61" s="1755"/>
      <c r="F61" s="1783"/>
      <c r="G61" s="1789" t="s">
        <v>1556</v>
      </c>
      <c r="H61" s="1790"/>
      <c r="I61" s="1790"/>
      <c r="J61" s="1790"/>
      <c r="K61" s="1790"/>
      <c r="L61" s="1790"/>
      <c r="M61" s="1729">
        <v>0</v>
      </c>
      <c r="N61" s="1783" t="s">
        <v>1192</v>
      </c>
      <c r="O61" s="1741"/>
    </row>
    <row r="62" spans="2:15" ht="16.350000000000001" customHeight="1" x14ac:dyDescent="0.25">
      <c r="B62" s="1739"/>
      <c r="C62" s="1740"/>
      <c r="D62" s="1755"/>
      <c r="E62" s="1755"/>
      <c r="F62" s="1783"/>
      <c r="G62" s="1789" t="s">
        <v>1557</v>
      </c>
      <c r="H62" s="1790"/>
      <c r="I62" s="1790"/>
      <c r="J62" s="1790"/>
      <c r="K62" s="1790"/>
      <c r="L62" s="1790"/>
      <c r="M62" s="1729">
        <v>0</v>
      </c>
      <c r="N62" s="1783" t="s">
        <v>1192</v>
      </c>
      <c r="O62" s="1741"/>
    </row>
    <row r="63" spans="2:15" ht="16.350000000000001" customHeight="1" x14ac:dyDescent="0.25">
      <c r="B63" s="1739"/>
      <c r="C63" s="1740"/>
      <c r="D63" s="1755"/>
      <c r="E63" s="1755"/>
      <c r="F63" s="1783"/>
      <c r="G63" s="1789"/>
      <c r="H63" s="1790"/>
      <c r="I63" s="1790"/>
      <c r="J63" s="1790"/>
      <c r="K63" s="1790"/>
      <c r="L63" s="1790"/>
      <c r="M63" s="1784"/>
      <c r="N63" s="1783"/>
      <c r="O63" s="1741"/>
    </row>
    <row r="64" spans="2:15" x14ac:dyDescent="0.25">
      <c r="B64" s="1739"/>
      <c r="C64" s="1743">
        <v>4</v>
      </c>
      <c r="D64" s="1791" t="s">
        <v>1558</v>
      </c>
      <c r="E64" s="1791"/>
      <c r="F64" s="1792"/>
      <c r="G64" s="1793"/>
      <c r="H64" s="1793"/>
      <c r="I64" s="1793"/>
      <c r="J64" s="1793"/>
      <c r="K64" s="1793"/>
      <c r="L64" s="1793"/>
      <c r="M64" s="1794"/>
      <c r="N64" s="1711">
        <v>0</v>
      </c>
      <c r="O64" s="1741"/>
    </row>
    <row r="65" spans="2:15" ht="7.5" customHeight="1" x14ac:dyDescent="0.25">
      <c r="B65" s="1739"/>
      <c r="C65" s="1740"/>
      <c r="D65" s="1750"/>
      <c r="E65" s="1750"/>
      <c r="F65" s="1795"/>
      <c r="G65" s="1750"/>
      <c r="H65" s="1750"/>
      <c r="I65" s="1750"/>
      <c r="J65" s="1750"/>
      <c r="K65" s="1750"/>
      <c r="L65" s="1750"/>
      <c r="M65" s="1796"/>
      <c r="N65" s="1750"/>
      <c r="O65" s="1741"/>
    </row>
    <row r="66" spans="2:15" ht="16.5" customHeight="1" x14ac:dyDescent="0.25">
      <c r="B66" s="1739"/>
      <c r="C66" s="1740"/>
      <c r="D66" s="2721" t="s">
        <v>1559</v>
      </c>
      <c r="E66" s="2721"/>
      <c r="F66" s="2721"/>
      <c r="G66" s="2721"/>
      <c r="H66" s="2721"/>
      <c r="I66" s="2721"/>
      <c r="J66" s="2721"/>
      <c r="K66" s="2721"/>
      <c r="L66" s="2721"/>
      <c r="M66" s="2721"/>
      <c r="N66" s="1755"/>
      <c r="O66" s="1741"/>
    </row>
    <row r="67" spans="2:15" ht="10.5" customHeight="1" x14ac:dyDescent="0.25">
      <c r="B67" s="1739"/>
      <c r="C67" s="1740"/>
      <c r="D67" s="2721"/>
      <c r="E67" s="2721"/>
      <c r="F67" s="2721"/>
      <c r="G67" s="2721"/>
      <c r="H67" s="2721"/>
      <c r="I67" s="2721"/>
      <c r="J67" s="2721"/>
      <c r="K67" s="2721"/>
      <c r="L67" s="2721"/>
      <c r="M67" s="2721"/>
      <c r="N67" s="1755"/>
      <c r="O67" s="1741"/>
    </row>
    <row r="68" spans="2:15" ht="6.75" customHeight="1" x14ac:dyDescent="0.25">
      <c r="B68" s="1739"/>
      <c r="C68" s="1740"/>
      <c r="D68" s="1795"/>
      <c r="E68" s="1795"/>
      <c r="F68" s="1788"/>
      <c r="G68" s="1755"/>
      <c r="H68" s="1755"/>
      <c r="I68" s="1755"/>
      <c r="J68" s="1755"/>
      <c r="K68" s="1755"/>
      <c r="L68" s="1755"/>
      <c r="M68" s="1755"/>
      <c r="N68" s="1755"/>
      <c r="O68" s="1741"/>
    </row>
    <row r="69" spans="2:15" x14ac:dyDescent="0.25">
      <c r="B69" s="1739"/>
      <c r="C69" s="1740"/>
      <c r="D69" s="1755"/>
      <c r="E69" s="1755"/>
      <c r="F69" s="2722" t="s">
        <v>1187</v>
      </c>
      <c r="G69" s="2723"/>
      <c r="H69" s="2723"/>
      <c r="I69" s="2723"/>
      <c r="J69" s="2723"/>
      <c r="K69" s="2723"/>
      <c r="L69" s="2723"/>
      <c r="M69" s="2723"/>
      <c r="N69" s="1797"/>
      <c r="O69" s="1741"/>
    </row>
    <row r="70" spans="2:15" x14ac:dyDescent="0.25">
      <c r="B70" s="1739"/>
      <c r="C70" s="1740"/>
      <c r="D70" s="1755"/>
      <c r="E70" s="1755"/>
      <c r="F70" s="1798"/>
      <c r="G70" s="1798"/>
      <c r="H70" s="1798"/>
      <c r="I70" s="1798"/>
      <c r="J70" s="1798"/>
      <c r="K70" s="1798"/>
      <c r="L70" s="1798"/>
      <c r="M70" s="1798"/>
      <c r="N70" s="1798"/>
      <c r="O70" s="1741"/>
    </row>
    <row r="71" spans="2:15" x14ac:dyDescent="0.25">
      <c r="B71" s="1739"/>
      <c r="C71" s="1740"/>
      <c r="D71" s="1755"/>
      <c r="E71" s="1755"/>
      <c r="F71" s="1755"/>
      <c r="G71" s="1788" t="s">
        <v>1560</v>
      </c>
      <c r="H71" s="1755"/>
      <c r="I71" s="1755"/>
      <c r="J71" s="1755"/>
      <c r="K71" s="1755"/>
      <c r="L71" s="1755"/>
      <c r="M71" s="1755"/>
      <c r="N71" s="1755"/>
      <c r="O71" s="1741"/>
    </row>
    <row r="72" spans="2:15" x14ac:dyDescent="0.25">
      <c r="B72" s="1739"/>
      <c r="C72" s="1740"/>
      <c r="D72" s="1755"/>
      <c r="E72" s="1755"/>
      <c r="F72" s="1755"/>
      <c r="G72" s="1755" t="s">
        <v>1561</v>
      </c>
      <c r="H72" s="1755"/>
      <c r="I72" s="1799"/>
      <c r="J72" s="1755"/>
      <c r="K72" s="1730">
        <v>0</v>
      </c>
      <c r="L72" s="1800"/>
      <c r="M72" s="1801"/>
      <c r="N72" s="1802"/>
      <c r="O72" s="1741"/>
    </row>
    <row r="73" spans="2:15" x14ac:dyDescent="0.25">
      <c r="B73" s="1739"/>
      <c r="C73" s="1740"/>
      <c r="D73" s="1755"/>
      <c r="E73" s="1755"/>
      <c r="F73" s="1755"/>
      <c r="G73" s="1803" t="s">
        <v>1562</v>
      </c>
      <c r="H73" s="1804"/>
      <c r="I73" s="1805"/>
      <c r="J73" s="1806"/>
      <c r="K73" s="1807">
        <f>'2A'!I22</f>
        <v>59</v>
      </c>
      <c r="L73" s="1800"/>
      <c r="M73" s="1801"/>
      <c r="N73" s="1802"/>
      <c r="O73" s="1741"/>
    </row>
    <row r="74" spans="2:15" x14ac:dyDescent="0.25">
      <c r="B74" s="1739"/>
      <c r="C74" s="1740"/>
      <c r="D74" s="1755"/>
      <c r="E74" s="1755"/>
      <c r="F74" s="1755"/>
      <c r="G74" s="1755" t="s">
        <v>1563</v>
      </c>
      <c r="H74" s="1808"/>
      <c r="I74" s="1799"/>
      <c r="J74" s="1755"/>
      <c r="K74" s="1809">
        <f>K72/K73</f>
        <v>0</v>
      </c>
      <c r="L74" s="1810"/>
      <c r="M74" s="1811"/>
      <c r="N74" s="1812"/>
      <c r="O74" s="1741"/>
    </row>
    <row r="75" spans="2:15" ht="15.75" thickBot="1" x14ac:dyDescent="0.3">
      <c r="B75" s="1813"/>
      <c r="C75" s="1814"/>
      <c r="D75" s="1815"/>
      <c r="E75" s="1815"/>
      <c r="F75" s="1816"/>
      <c r="G75" s="1815"/>
      <c r="H75" s="1815"/>
      <c r="I75" s="1817"/>
      <c r="J75" s="1818"/>
      <c r="K75" s="1819"/>
      <c r="L75" s="1819"/>
      <c r="M75" s="1819"/>
      <c r="N75" s="1819"/>
      <c r="O75" s="1820"/>
    </row>
    <row r="76" spans="2:15" x14ac:dyDescent="0.25">
      <c r="B76" s="1821"/>
      <c r="C76" s="1822"/>
      <c r="D76" s="1823"/>
      <c r="E76" s="1823"/>
      <c r="F76" s="1824"/>
      <c r="G76" s="1823"/>
      <c r="H76" s="1823"/>
      <c r="I76" s="1825"/>
      <c r="J76" s="1826"/>
      <c r="K76" s="1827"/>
      <c r="L76" s="1827"/>
      <c r="M76" s="1827"/>
      <c r="N76" s="1827"/>
      <c r="O76" s="1828"/>
    </row>
    <row r="77" spans="2:15" s="1725" customFormat="1" ht="18.75" customHeight="1" x14ac:dyDescent="0.3">
      <c r="B77" s="1736"/>
      <c r="C77" s="2718" t="s">
        <v>1675</v>
      </c>
      <c r="D77" s="2718"/>
      <c r="E77" s="2718"/>
      <c r="F77" s="2718"/>
      <c r="G77" s="2718"/>
      <c r="H77" s="2718"/>
      <c r="I77" s="2718"/>
      <c r="J77" s="2718"/>
      <c r="K77" s="2718"/>
      <c r="L77" s="2718"/>
      <c r="M77" s="2718"/>
      <c r="N77" s="2718"/>
      <c r="O77" s="1737"/>
    </row>
    <row r="78" spans="2:15" s="1725" customFormat="1" ht="6.75" customHeight="1" x14ac:dyDescent="0.25">
      <c r="B78" s="1736"/>
      <c r="C78" s="1738"/>
      <c r="D78" s="1738"/>
      <c r="E78" s="1738"/>
      <c r="F78" s="1738"/>
      <c r="G78" s="1738"/>
      <c r="H78" s="1738"/>
      <c r="I78" s="1738"/>
      <c r="J78" s="1738"/>
      <c r="K78" s="1738"/>
      <c r="L78" s="1738"/>
      <c r="M78" s="1738"/>
      <c r="N78" s="1738"/>
      <c r="O78" s="1737"/>
    </row>
    <row r="79" spans="2:15" ht="15.75" customHeight="1" thickBot="1" x14ac:dyDescent="0.3">
      <c r="B79" s="1739"/>
      <c r="C79" s="2719" t="str">
        <f>C14</f>
        <v>Project Name: Compass Broadview</v>
      </c>
      <c r="D79" s="2719"/>
      <c r="E79" s="2719"/>
      <c r="F79" s="2719"/>
      <c r="G79" s="2719"/>
      <c r="H79" s="2719"/>
      <c r="I79" s="2719"/>
      <c r="J79" s="2719"/>
      <c r="K79" s="2719"/>
      <c r="L79" s="2719"/>
      <c r="M79" s="1740"/>
      <c r="N79" s="1740"/>
      <c r="O79" s="1741"/>
    </row>
    <row r="80" spans="2:15" ht="15" customHeight="1" x14ac:dyDescent="0.25">
      <c r="B80" s="1739"/>
      <c r="C80" s="1740"/>
      <c r="D80" s="1740"/>
      <c r="E80" s="1740"/>
      <c r="F80" s="1740"/>
      <c r="G80" s="1740"/>
      <c r="H80" s="1740"/>
      <c r="I80" s="1740"/>
      <c r="J80" s="1740"/>
      <c r="K80" s="1740"/>
      <c r="L80" s="1740"/>
      <c r="M80" s="2707"/>
      <c r="N80" s="2709" t="s">
        <v>1166</v>
      </c>
      <c r="O80" s="1741"/>
    </row>
    <row r="81" spans="2:15" x14ac:dyDescent="0.25">
      <c r="B81" s="1739"/>
      <c r="C81" s="1740"/>
      <c r="D81" s="1740"/>
      <c r="E81" s="1740"/>
      <c r="F81" s="1742"/>
      <c r="G81" s="1740"/>
      <c r="H81" s="1740"/>
      <c r="I81" s="1740"/>
      <c r="J81" s="1740"/>
      <c r="K81" s="1740"/>
      <c r="L81" s="1740"/>
      <c r="M81" s="2708"/>
      <c r="N81" s="2710"/>
      <c r="O81" s="1741"/>
    </row>
    <row r="82" spans="2:15" x14ac:dyDescent="0.25">
      <c r="B82" s="1739"/>
      <c r="C82" s="1743">
        <v>5</v>
      </c>
      <c r="D82" s="1791" t="s">
        <v>1564</v>
      </c>
      <c r="E82" s="1791"/>
      <c r="F82" s="1792"/>
      <c r="G82" s="1793"/>
      <c r="H82" s="1793"/>
      <c r="I82" s="1793"/>
      <c r="J82" s="1793"/>
      <c r="K82" s="1793"/>
      <c r="L82" s="1793"/>
      <c r="M82" s="1794"/>
      <c r="N82" s="1711">
        <v>0</v>
      </c>
      <c r="O82" s="1741"/>
    </row>
    <row r="83" spans="2:15" ht="7.5" customHeight="1" x14ac:dyDescent="0.25">
      <c r="B83" s="1739"/>
      <c r="C83" s="1740"/>
      <c r="D83" s="1750"/>
      <c r="E83" s="1750"/>
      <c r="F83" s="1795"/>
      <c r="G83" s="1750"/>
      <c r="H83" s="1750"/>
      <c r="I83" s="1750"/>
      <c r="J83" s="1750"/>
      <c r="K83" s="1750"/>
      <c r="L83" s="1750"/>
      <c r="M83" s="1796"/>
      <c r="N83" s="1750"/>
      <c r="O83" s="1741"/>
    </row>
    <row r="84" spans="2:15" ht="25.5" customHeight="1" x14ac:dyDescent="0.25">
      <c r="B84" s="1739"/>
      <c r="C84" s="1740"/>
      <c r="D84" s="2717" t="s">
        <v>1565</v>
      </c>
      <c r="E84" s="2717"/>
      <c r="F84" s="2717"/>
      <c r="G84" s="2717"/>
      <c r="H84" s="2717"/>
      <c r="I84" s="2717"/>
      <c r="J84" s="2717"/>
      <c r="K84" s="2717"/>
      <c r="L84" s="2717"/>
      <c r="M84" s="2717"/>
      <c r="N84" s="2717"/>
      <c r="O84" s="1741"/>
    </row>
    <row r="85" spans="2:15" ht="9" customHeight="1" x14ac:dyDescent="0.25">
      <c r="B85" s="1739"/>
      <c r="C85" s="1740"/>
      <c r="D85" s="1795"/>
      <c r="E85" s="1795"/>
      <c r="F85" s="1755"/>
      <c r="G85" s="1755"/>
      <c r="H85" s="1755"/>
      <c r="I85" s="1755"/>
      <c r="J85" s="1755"/>
      <c r="K85" s="1755"/>
      <c r="L85" s="1755"/>
      <c r="M85" s="1755"/>
      <c r="N85" s="1755"/>
      <c r="O85" s="1741"/>
    </row>
    <row r="86" spans="2:15" ht="15" customHeight="1" x14ac:dyDescent="0.25">
      <c r="B86" s="1739"/>
      <c r="C86" s="1740"/>
      <c r="D86" s="1795"/>
      <c r="E86" s="1795"/>
      <c r="F86" s="2715" t="s">
        <v>1187</v>
      </c>
      <c r="G86" s="2720"/>
      <c r="H86" s="2720"/>
      <c r="I86" s="2720"/>
      <c r="J86" s="2720"/>
      <c r="K86" s="2720"/>
      <c r="L86" s="2720"/>
      <c r="M86" s="2720"/>
      <c r="N86" s="1777"/>
      <c r="O86" s="1741"/>
    </row>
    <row r="87" spans="2:15" ht="13.5" customHeight="1" x14ac:dyDescent="0.25">
      <c r="B87" s="1739"/>
      <c r="C87" s="1740"/>
      <c r="D87" s="1795"/>
      <c r="E87" s="1795"/>
      <c r="F87" s="1783"/>
      <c r="G87" s="1783"/>
      <c r="H87" s="1783"/>
      <c r="I87" s="1783"/>
      <c r="J87" s="1783"/>
      <c r="K87" s="1783"/>
      <c r="L87" s="1783"/>
      <c r="M87" s="1783"/>
      <c r="N87" s="1783"/>
      <c r="O87" s="1741"/>
    </row>
    <row r="88" spans="2:15" x14ac:dyDescent="0.25">
      <c r="B88" s="1739"/>
      <c r="C88" s="1740"/>
      <c r="D88" s="1755"/>
      <c r="E88" s="1755"/>
      <c r="F88" s="1755"/>
      <c r="G88" s="1788" t="s">
        <v>1566</v>
      </c>
      <c r="H88" s="1755"/>
      <c r="I88" s="1755"/>
      <c r="J88" s="1755"/>
      <c r="K88" s="1755"/>
      <c r="L88" s="1755"/>
      <c r="M88" s="1755"/>
      <c r="N88" s="1755"/>
      <c r="O88" s="1741"/>
    </row>
    <row r="89" spans="2:15" x14ac:dyDescent="0.25">
      <c r="B89" s="1739"/>
      <c r="C89" s="1740"/>
      <c r="D89" s="1755"/>
      <c r="E89" s="1755"/>
      <c r="F89" s="1755"/>
      <c r="G89" s="1755" t="s">
        <v>1567</v>
      </c>
      <c r="H89" s="1755"/>
      <c r="I89" s="1799"/>
      <c r="J89" s="2724">
        <v>0</v>
      </c>
      <c r="K89" s="2725"/>
      <c r="L89" s="1829"/>
      <c r="M89" s="1830"/>
      <c r="N89" s="1755"/>
      <c r="O89" s="1741"/>
    </row>
    <row r="90" spans="2:15" x14ac:dyDescent="0.25">
      <c r="B90" s="1739"/>
      <c r="C90" s="1740"/>
      <c r="D90" s="1755"/>
      <c r="E90" s="1755"/>
      <c r="F90" s="1755"/>
      <c r="G90" s="1803" t="s">
        <v>1568</v>
      </c>
      <c r="H90" s="1804"/>
      <c r="I90" s="1831"/>
      <c r="J90" s="2726">
        <f>'6A'!J120</f>
        <v>21663414.802096002</v>
      </c>
      <c r="K90" s="2727"/>
      <c r="L90" s="1829"/>
      <c r="M90" s="1830"/>
      <c r="N90" s="1755"/>
      <c r="O90" s="1741"/>
    </row>
    <row r="91" spans="2:15" x14ac:dyDescent="0.25">
      <c r="B91" s="1739"/>
      <c r="C91" s="1740"/>
      <c r="D91" s="1755"/>
      <c r="E91" s="1755"/>
      <c r="F91" s="1755"/>
      <c r="G91" s="1755" t="s">
        <v>1215</v>
      </c>
      <c r="H91" s="1808"/>
      <c r="I91" s="1799"/>
      <c r="J91" s="2728">
        <f>J89/J90</f>
        <v>0</v>
      </c>
      <c r="K91" s="2729"/>
      <c r="L91" s="1810"/>
      <c r="M91" s="1811"/>
      <c r="N91" s="1755"/>
      <c r="O91" s="1741"/>
    </row>
    <row r="92" spans="2:15" ht="15" customHeight="1" x14ac:dyDescent="0.25">
      <c r="B92" s="1739"/>
      <c r="C92" s="1740"/>
      <c r="D92" s="1755"/>
      <c r="E92" s="1755"/>
      <c r="F92" s="1755"/>
      <c r="G92" s="1755"/>
      <c r="H92" s="1755"/>
      <c r="I92" s="1755"/>
      <c r="J92" s="1755"/>
      <c r="K92" s="1755"/>
      <c r="L92" s="1755"/>
      <c r="M92" s="1755"/>
      <c r="N92" s="1755"/>
      <c r="O92" s="1741"/>
    </row>
    <row r="93" spans="2:15" s="1731" customFormat="1" x14ac:dyDescent="0.25">
      <c r="B93" s="1832"/>
      <c r="C93" s="1833"/>
      <c r="D93" s="1755"/>
      <c r="E93" s="1755"/>
      <c r="F93" s="1755"/>
      <c r="G93" s="1755"/>
      <c r="H93" s="1808"/>
      <c r="I93" s="1799"/>
      <c r="J93" s="1811"/>
      <c r="K93" s="1811"/>
      <c r="L93" s="1811"/>
      <c r="M93" s="1811"/>
      <c r="N93" s="1755"/>
      <c r="O93" s="1834"/>
    </row>
    <row r="94" spans="2:15" x14ac:dyDescent="0.25">
      <c r="B94" s="1739"/>
      <c r="C94" s="1743">
        <v>6</v>
      </c>
      <c r="D94" s="1791" t="s">
        <v>1569</v>
      </c>
      <c r="E94" s="1791"/>
      <c r="F94" s="1792"/>
      <c r="G94" s="1793"/>
      <c r="H94" s="1793"/>
      <c r="I94" s="1793"/>
      <c r="J94" s="1793"/>
      <c r="K94" s="1793"/>
      <c r="L94" s="1793"/>
      <c r="M94" s="1794"/>
      <c r="N94" s="1711">
        <v>0</v>
      </c>
      <c r="O94" s="1741"/>
    </row>
    <row r="95" spans="2:15" ht="7.5" customHeight="1" x14ac:dyDescent="0.25">
      <c r="B95" s="1739"/>
      <c r="C95" s="1740"/>
      <c r="D95" s="1750"/>
      <c r="E95" s="1750"/>
      <c r="F95" s="1795"/>
      <c r="G95" s="1750"/>
      <c r="H95" s="1750"/>
      <c r="I95" s="1750"/>
      <c r="J95" s="1750"/>
      <c r="K95" s="1750"/>
      <c r="L95" s="1750"/>
      <c r="M95" s="1796"/>
      <c r="N95" s="1750"/>
      <c r="O95" s="1741"/>
    </row>
    <row r="96" spans="2:15" ht="25.5" customHeight="1" x14ac:dyDescent="0.25">
      <c r="B96" s="1739"/>
      <c r="C96" s="1740"/>
      <c r="D96" s="2717" t="s">
        <v>1570</v>
      </c>
      <c r="E96" s="2717"/>
      <c r="F96" s="2717"/>
      <c r="G96" s="2717"/>
      <c r="H96" s="2717"/>
      <c r="I96" s="2717"/>
      <c r="J96" s="2717"/>
      <c r="K96" s="2717"/>
      <c r="L96" s="2717"/>
      <c r="M96" s="2717"/>
      <c r="N96" s="2717"/>
      <c r="O96" s="1741"/>
    </row>
    <row r="97" spans="2:15" ht="7.5" customHeight="1" x14ac:dyDescent="0.25">
      <c r="B97" s="1739"/>
      <c r="C97" s="1740"/>
      <c r="D97" s="1795"/>
      <c r="E97" s="1795"/>
      <c r="F97" s="1755"/>
      <c r="G97" s="1755"/>
      <c r="H97" s="1755"/>
      <c r="I97" s="1755"/>
      <c r="J97" s="1755"/>
      <c r="K97" s="1755"/>
      <c r="L97" s="1755"/>
      <c r="M97" s="1755"/>
      <c r="N97" s="1755"/>
      <c r="O97" s="1741"/>
    </row>
    <row r="98" spans="2:15" x14ac:dyDescent="0.25">
      <c r="B98" s="1739"/>
      <c r="C98" s="1740"/>
      <c r="D98" s="1755"/>
      <c r="E98" s="1755"/>
      <c r="F98" s="2715" t="s">
        <v>1187</v>
      </c>
      <c r="G98" s="2720"/>
      <c r="H98" s="2720"/>
      <c r="I98" s="2720"/>
      <c r="J98" s="2720"/>
      <c r="K98" s="2720"/>
      <c r="L98" s="2720"/>
      <c r="M98" s="2720"/>
      <c r="N98" s="1777"/>
      <c r="O98" s="1741"/>
    </row>
    <row r="99" spans="2:15" ht="14.25" customHeight="1" x14ac:dyDescent="0.25">
      <c r="B99" s="1739"/>
      <c r="C99" s="1740"/>
      <c r="D99" s="1755"/>
      <c r="E99" s="1755"/>
      <c r="F99" s="1783"/>
      <c r="G99" s="1783"/>
      <c r="H99" s="1783"/>
      <c r="I99" s="1783"/>
      <c r="J99" s="1783"/>
      <c r="K99" s="1783"/>
      <c r="L99" s="1783"/>
      <c r="M99" s="1783"/>
      <c r="N99" s="1755"/>
      <c r="O99" s="1741"/>
    </row>
    <row r="100" spans="2:15" x14ac:dyDescent="0.25">
      <c r="B100" s="1739"/>
      <c r="C100" s="1740"/>
      <c r="D100" s="1755"/>
      <c r="E100" s="1755"/>
      <c r="F100" s="1755"/>
      <c r="G100" s="1788" t="s">
        <v>1571</v>
      </c>
      <c r="H100" s="1755"/>
      <c r="I100" s="1755"/>
      <c r="J100" s="1755"/>
      <c r="K100" s="1755"/>
      <c r="L100" s="1755"/>
      <c r="M100" s="1755"/>
      <c r="N100" s="1755"/>
      <c r="O100" s="1741"/>
    </row>
    <row r="101" spans="2:15" x14ac:dyDescent="0.25">
      <c r="B101" s="1739"/>
      <c r="C101" s="1740"/>
      <c r="D101" s="1755"/>
      <c r="E101" s="1755"/>
      <c r="F101" s="1755"/>
      <c r="G101" s="1755" t="s">
        <v>1572</v>
      </c>
      <c r="H101" s="1755"/>
      <c r="I101" s="1799"/>
      <c r="J101" s="1755"/>
      <c r="K101" s="2724">
        <v>0</v>
      </c>
      <c r="L101" s="2725"/>
      <c r="M101" s="1830"/>
      <c r="N101" s="1755"/>
      <c r="O101" s="1741"/>
    </row>
    <row r="102" spans="2:15" x14ac:dyDescent="0.25">
      <c r="B102" s="1739"/>
      <c r="C102" s="1740"/>
      <c r="D102" s="1755"/>
      <c r="E102" s="1755"/>
      <c r="F102" s="1755"/>
      <c r="G102" s="1803" t="s">
        <v>1573</v>
      </c>
      <c r="H102" s="1804"/>
      <c r="I102" s="1805"/>
      <c r="J102" s="1803"/>
      <c r="K102" s="2724">
        <v>0</v>
      </c>
      <c r="L102" s="2725"/>
      <c r="M102" s="1830"/>
      <c r="N102" s="1755"/>
      <c r="O102" s="1741"/>
    </row>
    <row r="103" spans="2:15" x14ac:dyDescent="0.25">
      <c r="B103" s="1739"/>
      <c r="C103" s="1740"/>
      <c r="D103" s="1755"/>
      <c r="E103" s="1755"/>
      <c r="F103" s="1755"/>
      <c r="G103" s="1755" t="s">
        <v>1574</v>
      </c>
      <c r="H103" s="1808"/>
      <c r="I103" s="1799"/>
      <c r="J103" s="1755"/>
      <c r="K103" s="2726">
        <f>K101+K102</f>
        <v>0</v>
      </c>
      <c r="L103" s="2727"/>
      <c r="M103" s="1811"/>
      <c r="N103" s="1755"/>
      <c r="O103" s="1741"/>
    </row>
    <row r="104" spans="2:15" x14ac:dyDescent="0.25">
      <c r="B104" s="1739"/>
      <c r="C104" s="1740"/>
      <c r="D104" s="1755"/>
      <c r="E104" s="1755"/>
      <c r="F104" s="1755"/>
      <c r="G104" s="1755"/>
      <c r="H104" s="1808"/>
      <c r="I104" s="1799"/>
      <c r="J104" s="1811"/>
      <c r="K104" s="1811"/>
      <c r="L104" s="1811"/>
      <c r="M104" s="1811"/>
      <c r="N104" s="1755"/>
      <c r="O104" s="1741"/>
    </row>
    <row r="105" spans="2:15" s="1731" customFormat="1" x14ac:dyDescent="0.25">
      <c r="B105" s="1832"/>
      <c r="C105" s="1833"/>
      <c r="D105" s="1755"/>
      <c r="E105" s="1755"/>
      <c r="F105" s="1755"/>
      <c r="G105" s="1755" t="s">
        <v>1575</v>
      </c>
      <c r="H105" s="1808"/>
      <c r="I105" s="1799"/>
      <c r="J105" s="1811"/>
      <c r="K105" s="2728" t="e">
        <f>K101/K103</f>
        <v>#DIV/0!</v>
      </c>
      <c r="L105" s="2729"/>
      <c r="M105" s="1811"/>
      <c r="N105" s="1755"/>
      <c r="O105" s="1834"/>
    </row>
    <row r="106" spans="2:15" s="1731" customFormat="1" x14ac:dyDescent="0.25">
      <c r="B106" s="1832"/>
      <c r="C106" s="1833"/>
      <c r="D106" s="1755"/>
      <c r="E106" s="1755"/>
      <c r="F106" s="1755"/>
      <c r="G106" s="1755"/>
      <c r="H106" s="1808"/>
      <c r="I106" s="1799"/>
      <c r="J106" s="1811"/>
      <c r="K106" s="1835"/>
      <c r="L106" s="1811"/>
      <c r="M106" s="1811"/>
      <c r="N106" s="1755"/>
      <c r="O106" s="1834"/>
    </row>
    <row r="107" spans="2:15" s="1731" customFormat="1" x14ac:dyDescent="0.25">
      <c r="B107" s="1832"/>
      <c r="C107" s="1833"/>
      <c r="D107" s="1755"/>
      <c r="E107" s="1755"/>
      <c r="F107" s="1755"/>
      <c r="G107" s="1755"/>
      <c r="H107" s="1808"/>
      <c r="I107" s="1799"/>
      <c r="J107" s="1811"/>
      <c r="K107" s="1835"/>
      <c r="L107" s="1811"/>
      <c r="M107" s="1811"/>
      <c r="N107" s="1755"/>
      <c r="O107" s="1834"/>
    </row>
    <row r="108" spans="2:15" x14ac:dyDescent="0.25">
      <c r="B108" s="1739"/>
      <c r="C108" s="1743">
        <v>7</v>
      </c>
      <c r="D108" s="1791" t="s">
        <v>1224</v>
      </c>
      <c r="E108" s="1791"/>
      <c r="F108" s="1792"/>
      <c r="G108" s="1793"/>
      <c r="H108" s="1793"/>
      <c r="I108" s="1793"/>
      <c r="J108" s="1793"/>
      <c r="K108" s="1793"/>
      <c r="L108" s="1793"/>
      <c r="M108" s="1794"/>
      <c r="N108" s="1711">
        <v>0</v>
      </c>
      <c r="O108" s="1741"/>
    </row>
    <row r="109" spans="2:15" ht="7.5" customHeight="1" x14ac:dyDescent="0.25">
      <c r="B109" s="1739"/>
      <c r="C109" s="1740"/>
      <c r="D109" s="1750"/>
      <c r="E109" s="1750"/>
      <c r="F109" s="1795"/>
      <c r="G109" s="1750"/>
      <c r="H109" s="1750"/>
      <c r="I109" s="1750"/>
      <c r="J109" s="1750"/>
      <c r="K109" s="1750"/>
      <c r="L109" s="1750"/>
      <c r="M109" s="1796"/>
      <c r="N109" s="1750"/>
      <c r="O109" s="1741"/>
    </row>
    <row r="110" spans="2:15" x14ac:dyDescent="0.25">
      <c r="B110" s="1739"/>
      <c r="C110" s="1740"/>
      <c r="D110" s="1795" t="s">
        <v>1225</v>
      </c>
      <c r="E110" s="1795"/>
      <c r="F110" s="1795"/>
      <c r="G110" s="1795"/>
      <c r="H110" s="1795"/>
      <c r="I110" s="1795"/>
      <c r="J110" s="1795"/>
      <c r="K110" s="1795"/>
      <c r="L110" s="1795"/>
      <c r="M110" s="1795"/>
      <c r="N110" s="1795"/>
      <c r="O110" s="1741"/>
    </row>
    <row r="111" spans="2:15" ht="14.25" customHeight="1" x14ac:dyDescent="0.25">
      <c r="B111" s="1739"/>
      <c r="C111" s="1740"/>
      <c r="D111" s="1755"/>
      <c r="E111" s="1836"/>
      <c r="F111" s="1836"/>
      <c r="G111" s="1836"/>
      <c r="H111" s="1836"/>
      <c r="I111" s="1836"/>
      <c r="J111" s="1836"/>
      <c r="K111" s="1836"/>
      <c r="L111" s="1836"/>
      <c r="M111" s="1836"/>
      <c r="N111" s="1836"/>
      <c r="O111" s="1776"/>
    </row>
    <row r="112" spans="2:15" ht="15" customHeight="1" x14ac:dyDescent="0.25">
      <c r="B112" s="1739"/>
      <c r="C112" s="1740"/>
      <c r="D112" s="1755"/>
      <c r="E112" s="1755"/>
      <c r="F112" s="2733" t="s">
        <v>1576</v>
      </c>
      <c r="G112" s="2734"/>
      <c r="H112" s="1837"/>
      <c r="I112" s="1837"/>
      <c r="J112" s="1837"/>
      <c r="K112" s="1837"/>
      <c r="L112" s="1837"/>
      <c r="M112" s="1837"/>
      <c r="N112" s="1837"/>
      <c r="O112" s="1741"/>
    </row>
    <row r="113" spans="2:15" x14ac:dyDescent="0.25">
      <c r="B113" s="1739"/>
      <c r="C113" s="1740"/>
      <c r="D113" s="1755"/>
      <c r="E113" s="1755"/>
      <c r="F113" s="1838"/>
      <c r="G113" s="1838"/>
      <c r="H113" s="1808"/>
      <c r="I113" s="1799"/>
      <c r="J113" s="1839"/>
      <c r="K113" s="1839"/>
      <c r="L113" s="1811"/>
      <c r="M113" s="1811"/>
      <c r="N113" s="1755"/>
      <c r="O113" s="1741"/>
    </row>
    <row r="114" spans="2:15" x14ac:dyDescent="0.25">
      <c r="B114" s="1739"/>
      <c r="C114" s="1740"/>
      <c r="D114" s="1755"/>
      <c r="E114" s="1755"/>
      <c r="F114" s="1755"/>
      <c r="G114" s="1755"/>
      <c r="H114" s="1808"/>
      <c r="I114" s="1799"/>
      <c r="J114" s="1839"/>
      <c r="K114" s="1839"/>
      <c r="L114" s="1811"/>
      <c r="M114" s="1811"/>
      <c r="N114" s="1755"/>
      <c r="O114" s="1741"/>
    </row>
    <row r="115" spans="2:15" x14ac:dyDescent="0.25">
      <c r="B115" s="1739"/>
      <c r="C115" s="1743">
        <v>8</v>
      </c>
      <c r="D115" s="1791" t="s">
        <v>1577</v>
      </c>
      <c r="E115" s="1791"/>
      <c r="F115" s="1792"/>
      <c r="G115" s="1793"/>
      <c r="H115" s="1793"/>
      <c r="I115" s="1793"/>
      <c r="J115" s="1793"/>
      <c r="K115" s="1793"/>
      <c r="L115" s="1793"/>
      <c r="M115" s="1794"/>
      <c r="N115" s="1711">
        <v>0</v>
      </c>
      <c r="O115" s="1741"/>
    </row>
    <row r="116" spans="2:15" ht="7.5" customHeight="1" x14ac:dyDescent="0.25">
      <c r="B116" s="1739"/>
      <c r="C116" s="1740"/>
      <c r="D116" s="1750"/>
      <c r="E116" s="1750"/>
      <c r="F116" s="1755"/>
      <c r="G116" s="1750"/>
      <c r="H116" s="1750"/>
      <c r="I116" s="1750"/>
      <c r="J116" s="1750"/>
      <c r="K116" s="1750"/>
      <c r="L116" s="1750"/>
      <c r="M116" s="1796"/>
      <c r="N116" s="1750"/>
      <c r="O116" s="1741"/>
    </row>
    <row r="117" spans="2:15" x14ac:dyDescent="0.25">
      <c r="B117" s="1739"/>
      <c r="C117" s="1740"/>
      <c r="D117" s="1795" t="s">
        <v>1578</v>
      </c>
      <c r="E117" s="1795"/>
      <c r="F117" s="1795"/>
      <c r="G117" s="1795"/>
      <c r="H117" s="1795"/>
      <c r="I117" s="1795"/>
      <c r="J117" s="1795"/>
      <c r="K117" s="1795"/>
      <c r="L117" s="1795"/>
      <c r="M117" s="1795"/>
      <c r="N117" s="1795"/>
      <c r="O117" s="1741"/>
    </row>
    <row r="118" spans="2:15" ht="4.5" customHeight="1" x14ac:dyDescent="0.25">
      <c r="B118" s="1739"/>
      <c r="C118" s="1740"/>
      <c r="D118" s="1755"/>
      <c r="E118" s="1755"/>
      <c r="F118" s="1755"/>
      <c r="G118" s="1755"/>
      <c r="H118" s="1755"/>
      <c r="I118" s="1755"/>
      <c r="J118" s="1755"/>
      <c r="K118" s="1755"/>
      <c r="L118" s="1755"/>
      <c r="M118" s="1755"/>
      <c r="N118" s="1755"/>
      <c r="O118" s="1741"/>
    </row>
    <row r="119" spans="2:15" x14ac:dyDescent="0.25">
      <c r="B119" s="1739"/>
      <c r="C119" s="1740"/>
      <c r="D119" s="1795"/>
      <c r="E119" s="1795"/>
      <c r="F119" s="1783"/>
      <c r="G119" s="1840" t="s">
        <v>1579</v>
      </c>
      <c r="H119" s="1755"/>
      <c r="I119" s="1840"/>
      <c r="J119" s="1840"/>
      <c r="K119" s="1840"/>
      <c r="L119" s="1729">
        <v>0</v>
      </c>
      <c r="M119" s="1783" t="s">
        <v>1192</v>
      </c>
      <c r="N119" s="1755"/>
      <c r="O119" s="1741"/>
    </row>
    <row r="120" spans="2:15" s="1731" customFormat="1" x14ac:dyDescent="0.25">
      <c r="B120" s="1832"/>
      <c r="C120" s="1833"/>
      <c r="D120" s="1795"/>
      <c r="E120" s="1795"/>
      <c r="F120" s="1783"/>
      <c r="G120" s="1783" t="s">
        <v>1580</v>
      </c>
      <c r="H120" s="1755"/>
      <c r="I120" s="1783"/>
      <c r="J120" s="1783"/>
      <c r="K120" s="1783"/>
      <c r="L120" s="1729">
        <v>0</v>
      </c>
      <c r="M120" s="1783" t="s">
        <v>1192</v>
      </c>
      <c r="N120" s="1755"/>
      <c r="O120" s="1834"/>
    </row>
    <row r="121" spans="2:15" s="1731" customFormat="1" x14ac:dyDescent="0.25">
      <c r="B121" s="1832"/>
      <c r="C121" s="1833"/>
      <c r="D121" s="1795"/>
      <c r="E121" s="1795"/>
      <c r="F121" s="1783"/>
      <c r="G121" s="1783" t="s">
        <v>1581</v>
      </c>
      <c r="H121" s="1755"/>
      <c r="I121" s="1783"/>
      <c r="J121" s="1783"/>
      <c r="K121" s="1783"/>
      <c r="L121" s="1729">
        <v>0</v>
      </c>
      <c r="M121" s="1783" t="s">
        <v>1192</v>
      </c>
      <c r="N121" s="1755"/>
      <c r="O121" s="1834"/>
    </row>
    <row r="122" spans="2:15" x14ac:dyDescent="0.25">
      <c r="B122" s="1739"/>
      <c r="C122" s="1740"/>
      <c r="D122" s="1795"/>
      <c r="E122" s="1795"/>
      <c r="F122" s="1783"/>
      <c r="G122" s="1783"/>
      <c r="H122" s="1755"/>
      <c r="I122" s="1783"/>
      <c r="J122" s="1783"/>
      <c r="K122" s="1783"/>
      <c r="L122" s="1783"/>
      <c r="M122" s="1784"/>
      <c r="N122" s="1783"/>
      <c r="O122" s="1741"/>
    </row>
    <row r="123" spans="2:15" ht="15" customHeight="1" x14ac:dyDescent="0.25">
      <c r="B123" s="1739"/>
      <c r="C123" s="1740"/>
      <c r="D123" s="1740"/>
      <c r="E123" s="1740"/>
      <c r="F123" s="1740"/>
      <c r="G123" s="1740"/>
      <c r="H123" s="1740"/>
      <c r="I123" s="1740"/>
      <c r="J123" s="1740"/>
      <c r="K123" s="1740"/>
      <c r="L123" s="1740"/>
      <c r="M123" s="2707"/>
      <c r="N123" s="2709" t="s">
        <v>1166</v>
      </c>
      <c r="O123" s="1741"/>
    </row>
    <row r="124" spans="2:15" x14ac:dyDescent="0.25">
      <c r="B124" s="1739"/>
      <c r="C124" s="1740"/>
      <c r="D124" s="1740"/>
      <c r="E124" s="1740"/>
      <c r="F124" s="1742"/>
      <c r="G124" s="1740"/>
      <c r="H124" s="1740"/>
      <c r="I124" s="1740"/>
      <c r="J124" s="1740"/>
      <c r="K124" s="1740"/>
      <c r="L124" s="1740"/>
      <c r="M124" s="2708"/>
      <c r="N124" s="2710"/>
      <c r="O124" s="1741"/>
    </row>
    <row r="125" spans="2:15" x14ac:dyDescent="0.25">
      <c r="B125" s="1739"/>
      <c r="C125" s="1743">
        <v>9</v>
      </c>
      <c r="D125" s="1791" t="s">
        <v>1582</v>
      </c>
      <c r="E125" s="1791"/>
      <c r="F125" s="1792"/>
      <c r="G125" s="1793"/>
      <c r="H125" s="1793"/>
      <c r="I125" s="1793"/>
      <c r="J125" s="1793"/>
      <c r="K125" s="1793"/>
      <c r="L125" s="1793"/>
      <c r="M125" s="1794"/>
      <c r="N125" s="1711">
        <v>0</v>
      </c>
      <c r="O125" s="1741"/>
    </row>
    <row r="126" spans="2:15" ht="7.5" customHeight="1" x14ac:dyDescent="0.25">
      <c r="B126" s="1739"/>
      <c r="C126" s="1740"/>
      <c r="D126" s="1755"/>
      <c r="E126" s="1755"/>
      <c r="F126" s="1755"/>
      <c r="G126" s="1755"/>
      <c r="H126" s="1755"/>
      <c r="I126" s="1755"/>
      <c r="J126" s="1755"/>
      <c r="K126" s="1755"/>
      <c r="L126" s="1755"/>
      <c r="M126" s="1755"/>
      <c r="N126" s="1755"/>
      <c r="O126" s="1741"/>
    </row>
    <row r="127" spans="2:15" x14ac:dyDescent="0.25">
      <c r="B127" s="1739"/>
      <c r="C127" s="1740"/>
      <c r="D127" s="1795" t="s">
        <v>1583</v>
      </c>
      <c r="E127" s="1795"/>
      <c r="F127" s="1795"/>
      <c r="G127" s="1795"/>
      <c r="H127" s="1795"/>
      <c r="I127" s="1795"/>
      <c r="J127" s="1795"/>
      <c r="K127" s="1795"/>
      <c r="L127" s="1795"/>
      <c r="M127" s="1795"/>
      <c r="N127" s="1795"/>
      <c r="O127" s="1741"/>
    </row>
    <row r="128" spans="2:15" x14ac:dyDescent="0.25">
      <c r="B128" s="1739"/>
      <c r="C128" s="1740"/>
      <c r="D128" s="1795"/>
      <c r="E128" s="1795"/>
      <c r="F128" s="1795"/>
      <c r="G128" s="1795"/>
      <c r="H128" s="1795"/>
      <c r="I128" s="1795"/>
      <c r="J128" s="1795"/>
      <c r="K128" s="1795"/>
      <c r="L128" s="1795"/>
      <c r="M128" s="1795"/>
      <c r="N128" s="1795"/>
      <c r="O128" s="1741"/>
    </row>
    <row r="129" spans="2:15" x14ac:dyDescent="0.25">
      <c r="B129" s="1739"/>
      <c r="C129" s="1740"/>
      <c r="D129" s="1795"/>
      <c r="E129" s="1795"/>
      <c r="F129" s="1795"/>
      <c r="G129" s="1795"/>
      <c r="H129" s="1795"/>
      <c r="I129" s="1795"/>
      <c r="J129" s="1795"/>
      <c r="K129" s="1795"/>
      <c r="L129" s="1795"/>
      <c r="M129" s="1795"/>
      <c r="N129" s="1795"/>
      <c r="O129" s="1741"/>
    </row>
    <row r="130" spans="2:15" x14ac:dyDescent="0.25">
      <c r="B130" s="1739"/>
      <c r="C130" s="1743">
        <v>10</v>
      </c>
      <c r="D130" s="1791" t="s">
        <v>1584</v>
      </c>
      <c r="E130" s="1791"/>
      <c r="F130" s="1792"/>
      <c r="G130" s="1793"/>
      <c r="H130" s="1793"/>
      <c r="I130" s="1793"/>
      <c r="J130" s="1793"/>
      <c r="K130" s="1793"/>
      <c r="L130" s="1793"/>
      <c r="M130" s="1794"/>
      <c r="N130" s="1711">
        <v>0</v>
      </c>
      <c r="O130" s="1741"/>
    </row>
    <row r="131" spans="2:15" ht="7.5" customHeight="1" x14ac:dyDescent="0.25">
      <c r="B131" s="1739"/>
      <c r="C131" s="1740"/>
      <c r="D131" s="1755"/>
      <c r="E131" s="1755"/>
      <c r="F131" s="1755"/>
      <c r="G131" s="1755"/>
      <c r="H131" s="1755"/>
      <c r="I131" s="1755"/>
      <c r="J131" s="1755"/>
      <c r="K131" s="1755"/>
      <c r="L131" s="1755"/>
      <c r="M131" s="1755"/>
      <c r="N131" s="1755"/>
      <c r="O131" s="1741"/>
    </row>
    <row r="132" spans="2:15" x14ac:dyDescent="0.25">
      <c r="B132" s="1739"/>
      <c r="C132" s="1740"/>
      <c r="D132" s="1795" t="s">
        <v>1585</v>
      </c>
      <c r="E132" s="1795"/>
      <c r="F132" s="1795"/>
      <c r="G132" s="1795"/>
      <c r="H132" s="1795"/>
      <c r="I132" s="1795"/>
      <c r="J132" s="1795"/>
      <c r="K132" s="1795"/>
      <c r="L132" s="1795"/>
      <c r="M132" s="1795"/>
      <c r="N132" s="1795"/>
      <c r="O132" s="1741"/>
    </row>
    <row r="133" spans="2:15" ht="4.5" customHeight="1" x14ac:dyDescent="0.25">
      <c r="B133" s="1739"/>
      <c r="C133" s="1740"/>
      <c r="D133" s="1795"/>
      <c r="E133" s="1795"/>
      <c r="F133" s="1795"/>
      <c r="G133" s="1795"/>
      <c r="H133" s="1795"/>
      <c r="I133" s="1795"/>
      <c r="J133" s="1795"/>
      <c r="K133" s="1795"/>
      <c r="L133" s="1795"/>
      <c r="M133" s="1795"/>
      <c r="N133" s="1795"/>
      <c r="O133" s="1741"/>
    </row>
    <row r="134" spans="2:15" x14ac:dyDescent="0.25">
      <c r="B134" s="1739"/>
      <c r="C134" s="1740"/>
      <c r="D134" s="1755"/>
      <c r="E134" s="1840"/>
      <c r="F134" s="2715" t="s">
        <v>1187</v>
      </c>
      <c r="G134" s="2720"/>
      <c r="H134" s="2720"/>
      <c r="I134" s="2720"/>
      <c r="J134" s="2720"/>
      <c r="K134" s="2720"/>
      <c r="L134" s="2720"/>
      <c r="M134" s="2720"/>
      <c r="N134" s="1777"/>
      <c r="O134" s="1741"/>
    </row>
    <row r="135" spans="2:15" ht="14.25" customHeight="1" thickBot="1" x14ac:dyDescent="0.3">
      <c r="B135" s="1813"/>
      <c r="C135" s="1814"/>
      <c r="D135" s="1815"/>
      <c r="E135" s="1841"/>
      <c r="F135" s="1842"/>
      <c r="G135" s="1842"/>
      <c r="H135" s="1842"/>
      <c r="I135" s="1842"/>
      <c r="J135" s="1842"/>
      <c r="K135" s="1842"/>
      <c r="L135" s="1842"/>
      <c r="M135" s="1842"/>
      <c r="N135" s="1842"/>
      <c r="O135" s="1820"/>
    </row>
    <row r="136" spans="2:15" x14ac:dyDescent="0.25">
      <c r="B136" s="1821"/>
      <c r="C136" s="1822"/>
      <c r="D136" s="1823"/>
      <c r="E136" s="1824"/>
      <c r="F136" s="1823"/>
      <c r="G136" s="1823"/>
      <c r="H136" s="1825"/>
      <c r="I136" s="1826"/>
      <c r="J136" s="1827"/>
      <c r="K136" s="1827"/>
      <c r="L136" s="1827"/>
      <c r="M136" s="1827"/>
      <c r="N136" s="1823"/>
      <c r="O136" s="1828"/>
    </row>
    <row r="137" spans="2:15" s="1725" customFormat="1" ht="18.75" customHeight="1" x14ac:dyDescent="0.3">
      <c r="B137" s="1736"/>
      <c r="C137" s="2718" t="s">
        <v>1676</v>
      </c>
      <c r="D137" s="2718"/>
      <c r="E137" s="2718"/>
      <c r="F137" s="2718"/>
      <c r="G137" s="2718"/>
      <c r="H137" s="2718"/>
      <c r="I137" s="2718"/>
      <c r="J137" s="2718"/>
      <c r="K137" s="2718"/>
      <c r="L137" s="2718"/>
      <c r="M137" s="2718"/>
      <c r="N137" s="2718"/>
      <c r="O137" s="1737"/>
    </row>
    <row r="138" spans="2:15" s="1725" customFormat="1" ht="6.75" customHeight="1" x14ac:dyDescent="0.25">
      <c r="B138" s="1736"/>
      <c r="C138" s="1738"/>
      <c r="D138" s="1738"/>
      <c r="E138" s="1738"/>
      <c r="F138" s="1738"/>
      <c r="G138" s="1738"/>
      <c r="H138" s="1738"/>
      <c r="I138" s="1738"/>
      <c r="J138" s="1738"/>
      <c r="K138" s="1738"/>
      <c r="L138" s="1738"/>
      <c r="M138" s="1738"/>
      <c r="N138" s="1738"/>
      <c r="O138" s="1737"/>
    </row>
    <row r="139" spans="2:15" ht="15.75" customHeight="1" thickBot="1" x14ac:dyDescent="0.3">
      <c r="B139" s="1739"/>
      <c r="C139" s="2719" t="str">
        <f>C14</f>
        <v>Project Name: Compass Broadview</v>
      </c>
      <c r="D139" s="2719"/>
      <c r="E139" s="2719"/>
      <c r="F139" s="2719"/>
      <c r="G139" s="2719"/>
      <c r="H139" s="2719"/>
      <c r="I139" s="2719"/>
      <c r="J139" s="2719"/>
      <c r="K139" s="2719"/>
      <c r="L139" s="2719"/>
      <c r="M139" s="1740"/>
      <c r="N139" s="1740"/>
      <c r="O139" s="1741"/>
    </row>
    <row r="140" spans="2:15" ht="15" customHeight="1" x14ac:dyDescent="0.25">
      <c r="B140" s="1739"/>
      <c r="C140" s="1740"/>
      <c r="D140" s="1740"/>
      <c r="E140" s="1740"/>
      <c r="F140" s="1740"/>
      <c r="G140" s="1740"/>
      <c r="H140" s="1740"/>
      <c r="I140" s="1740"/>
      <c r="J140" s="1740"/>
      <c r="K140" s="1740"/>
      <c r="L140" s="1740"/>
      <c r="M140" s="2707"/>
      <c r="N140" s="2709" t="s">
        <v>1166</v>
      </c>
      <c r="O140" s="1741"/>
    </row>
    <row r="141" spans="2:15" x14ac:dyDescent="0.25">
      <c r="B141" s="1739"/>
      <c r="C141" s="1740"/>
      <c r="D141" s="1740"/>
      <c r="E141" s="1740"/>
      <c r="F141" s="1742"/>
      <c r="G141" s="1740"/>
      <c r="H141" s="1740"/>
      <c r="I141" s="1740"/>
      <c r="J141" s="1740"/>
      <c r="K141" s="1740"/>
      <c r="L141" s="1740"/>
      <c r="M141" s="2708"/>
      <c r="N141" s="2710"/>
      <c r="O141" s="1741"/>
    </row>
    <row r="142" spans="2:15" x14ac:dyDescent="0.25">
      <c r="B142" s="1739"/>
      <c r="C142" s="1743">
        <v>11</v>
      </c>
      <c r="D142" s="1791" t="s">
        <v>1249</v>
      </c>
      <c r="E142" s="1791"/>
      <c r="F142" s="1792"/>
      <c r="G142" s="1793"/>
      <c r="H142" s="1793"/>
      <c r="I142" s="1793"/>
      <c r="J142" s="1793"/>
      <c r="K142" s="1793"/>
      <c r="L142" s="1793"/>
      <c r="M142" s="1794"/>
      <c r="N142" s="1711">
        <v>0</v>
      </c>
      <c r="O142" s="1741"/>
    </row>
    <row r="143" spans="2:15" ht="7.5" customHeight="1" x14ac:dyDescent="0.25">
      <c r="B143" s="1739"/>
      <c r="C143" s="1740"/>
      <c r="D143" s="1755"/>
      <c r="E143" s="1755"/>
      <c r="F143" s="1755"/>
      <c r="G143" s="1755"/>
      <c r="H143" s="1755"/>
      <c r="I143" s="1755"/>
      <c r="J143" s="1755"/>
      <c r="K143" s="1755"/>
      <c r="L143" s="1755"/>
      <c r="M143" s="1755"/>
      <c r="N143" s="1755"/>
      <c r="O143" s="1741"/>
    </row>
    <row r="144" spans="2:15" ht="27" customHeight="1" x14ac:dyDescent="0.25">
      <c r="B144" s="1739"/>
      <c r="C144" s="1740"/>
      <c r="D144" s="2717" t="s">
        <v>1586</v>
      </c>
      <c r="E144" s="2717"/>
      <c r="F144" s="2717"/>
      <c r="G144" s="2717"/>
      <c r="H144" s="2717"/>
      <c r="I144" s="2717"/>
      <c r="J144" s="2717"/>
      <c r="K144" s="2717"/>
      <c r="L144" s="2717"/>
      <c r="M144" s="2717"/>
      <c r="N144" s="2717"/>
      <c r="O144" s="1741"/>
    </row>
    <row r="145" spans="2:15" ht="6" customHeight="1" x14ac:dyDescent="0.25">
      <c r="B145" s="1739"/>
      <c r="C145" s="1740"/>
      <c r="D145" s="1795"/>
      <c r="E145" s="1755"/>
      <c r="F145" s="1755"/>
      <c r="G145" s="1755"/>
      <c r="H145" s="1755"/>
      <c r="I145" s="1755"/>
      <c r="J145" s="1755"/>
      <c r="K145" s="1755"/>
      <c r="L145" s="1755"/>
      <c r="M145" s="1755"/>
      <c r="N145" s="1755"/>
      <c r="O145" s="1741"/>
    </row>
    <row r="146" spans="2:15" x14ac:dyDescent="0.25">
      <c r="B146" s="1739"/>
      <c r="C146" s="1740"/>
      <c r="D146" s="1755"/>
      <c r="E146" s="1755"/>
      <c r="F146" s="2715" t="s">
        <v>1187</v>
      </c>
      <c r="G146" s="2720"/>
      <c r="H146" s="2720"/>
      <c r="I146" s="2720"/>
      <c r="J146" s="2720"/>
      <c r="K146" s="2720"/>
      <c r="L146" s="2720"/>
      <c r="M146" s="2716"/>
      <c r="N146" s="1777"/>
      <c r="O146" s="1741"/>
    </row>
    <row r="147" spans="2:15" x14ac:dyDescent="0.25">
      <c r="B147" s="1739"/>
      <c r="C147" s="1740"/>
      <c r="D147" s="1755"/>
      <c r="E147" s="1755"/>
      <c r="F147" s="1755"/>
      <c r="G147" s="1755"/>
      <c r="H147" s="1755"/>
      <c r="I147" s="1755"/>
      <c r="J147" s="1755"/>
      <c r="K147" s="1755"/>
      <c r="L147" s="1755"/>
      <c r="M147" s="1784"/>
      <c r="N147" s="1783"/>
      <c r="O147" s="1741"/>
    </row>
    <row r="148" spans="2:15" x14ac:dyDescent="0.25">
      <c r="B148" s="1739"/>
      <c r="C148" s="1740"/>
      <c r="D148" s="1755"/>
      <c r="E148" s="1755"/>
      <c r="F148" s="1755"/>
      <c r="G148" s="1755"/>
      <c r="H148" s="1755"/>
      <c r="I148" s="1755"/>
      <c r="J148" s="1755"/>
      <c r="K148" s="1755"/>
      <c r="L148" s="1755"/>
      <c r="M148" s="1784"/>
      <c r="N148" s="1783"/>
      <c r="O148" s="1741"/>
    </row>
    <row r="149" spans="2:15" x14ac:dyDescent="0.25">
      <c r="B149" s="1739"/>
      <c r="C149" s="1743">
        <v>12</v>
      </c>
      <c r="D149" s="1791" t="s">
        <v>1587</v>
      </c>
      <c r="E149" s="1791"/>
      <c r="F149" s="1792"/>
      <c r="G149" s="1793"/>
      <c r="H149" s="1793"/>
      <c r="I149" s="1793"/>
      <c r="J149" s="1793"/>
      <c r="K149" s="1793"/>
      <c r="L149" s="1793"/>
      <c r="M149" s="1794"/>
      <c r="N149" s="1711">
        <v>0</v>
      </c>
      <c r="O149" s="1741"/>
    </row>
    <row r="150" spans="2:15" ht="7.5" customHeight="1" x14ac:dyDescent="0.25">
      <c r="B150" s="1739"/>
      <c r="C150" s="1740"/>
      <c r="D150" s="1750"/>
      <c r="E150" s="1750"/>
      <c r="F150" s="1795"/>
      <c r="G150" s="1750"/>
      <c r="H150" s="1750"/>
      <c r="I150" s="1750"/>
      <c r="J150" s="1750"/>
      <c r="K150" s="1750"/>
      <c r="L150" s="1750"/>
      <c r="M150" s="1796"/>
      <c r="N150" s="1750"/>
      <c r="O150" s="1741"/>
    </row>
    <row r="151" spans="2:15" ht="27" customHeight="1" x14ac:dyDescent="0.25">
      <c r="B151" s="1739"/>
      <c r="C151" s="1740"/>
      <c r="D151" s="2717" t="s">
        <v>1588</v>
      </c>
      <c r="E151" s="2717"/>
      <c r="F151" s="2717"/>
      <c r="G151" s="2717"/>
      <c r="H151" s="2717"/>
      <c r="I151" s="2717"/>
      <c r="J151" s="2717"/>
      <c r="K151" s="2717"/>
      <c r="L151" s="2717"/>
      <c r="M151" s="2717"/>
      <c r="N151" s="2717"/>
      <c r="O151" s="1741"/>
    </row>
    <row r="152" spans="2:15" ht="13.5" customHeight="1" x14ac:dyDescent="0.25">
      <c r="B152" s="1739"/>
      <c r="C152" s="1740"/>
      <c r="D152" s="1836"/>
      <c r="E152" s="1836"/>
      <c r="F152" s="1836"/>
      <c r="G152" s="1836"/>
      <c r="H152" s="1836"/>
      <c r="I152" s="1836"/>
      <c r="J152" s="1836"/>
      <c r="K152" s="1836"/>
      <c r="L152" s="1836"/>
      <c r="M152" s="1836"/>
      <c r="N152" s="1836"/>
      <c r="O152" s="1741"/>
    </row>
    <row r="153" spans="2:15" x14ac:dyDescent="0.25">
      <c r="B153" s="1739"/>
      <c r="C153" s="1740"/>
      <c r="D153" s="1750"/>
      <c r="E153" s="1750"/>
      <c r="F153" s="1783"/>
      <c r="G153" s="1783"/>
      <c r="H153" s="1783"/>
      <c r="I153" s="1783"/>
      <c r="J153" s="1783"/>
      <c r="K153" s="1750"/>
      <c r="L153" s="1843"/>
      <c r="M153" s="1796"/>
      <c r="N153" s="1750"/>
      <c r="O153" s="1741"/>
    </row>
    <row r="154" spans="2:15" x14ac:dyDescent="0.25">
      <c r="B154" s="1739"/>
      <c r="C154" s="1743">
        <v>13</v>
      </c>
      <c r="D154" s="1791" t="s">
        <v>1254</v>
      </c>
      <c r="E154" s="1791"/>
      <c r="F154" s="1792"/>
      <c r="G154" s="1793"/>
      <c r="H154" s="1793"/>
      <c r="I154" s="1793"/>
      <c r="J154" s="1793"/>
      <c r="K154" s="1793"/>
      <c r="L154" s="1793"/>
      <c r="M154" s="1794"/>
      <c r="N154" s="1711">
        <v>0</v>
      </c>
      <c r="O154" s="1741"/>
    </row>
    <row r="155" spans="2:15" ht="7.5" customHeight="1" x14ac:dyDescent="0.25">
      <c r="B155" s="1739"/>
      <c r="C155" s="1740"/>
      <c r="D155" s="1750"/>
      <c r="E155" s="1750"/>
      <c r="F155" s="1795"/>
      <c r="G155" s="1750"/>
      <c r="H155" s="1750"/>
      <c r="I155" s="1750"/>
      <c r="J155" s="1750"/>
      <c r="K155" s="1750"/>
      <c r="L155" s="1750"/>
      <c r="M155" s="1796"/>
      <c r="N155" s="1750"/>
      <c r="O155" s="1741"/>
    </row>
    <row r="156" spans="2:15" ht="27" customHeight="1" x14ac:dyDescent="0.25">
      <c r="B156" s="1739"/>
      <c r="C156" s="1740"/>
      <c r="D156" s="2717" t="s">
        <v>1589</v>
      </c>
      <c r="E156" s="2717"/>
      <c r="F156" s="2717"/>
      <c r="G156" s="2717"/>
      <c r="H156" s="2717"/>
      <c r="I156" s="2717"/>
      <c r="J156" s="2717"/>
      <c r="K156" s="2717"/>
      <c r="L156" s="2717"/>
      <c r="M156" s="2717"/>
      <c r="N156" s="2717"/>
      <c r="O156" s="1741"/>
    </row>
    <row r="157" spans="2:15" ht="14.25" customHeight="1" x14ac:dyDescent="0.25">
      <c r="B157" s="1739"/>
      <c r="C157" s="1740"/>
      <c r="D157" s="1836"/>
      <c r="E157" s="1836"/>
      <c r="F157" s="1836"/>
      <c r="G157" s="1836"/>
      <c r="H157" s="1836"/>
      <c r="I157" s="1836"/>
      <c r="J157" s="1836"/>
      <c r="K157" s="1836"/>
      <c r="L157" s="1836"/>
      <c r="M157" s="1836"/>
      <c r="N157" s="1836"/>
      <c r="O157" s="1741"/>
    </row>
    <row r="158" spans="2:15" x14ac:dyDescent="0.25">
      <c r="B158" s="1739"/>
      <c r="C158" s="1743">
        <v>14</v>
      </c>
      <c r="D158" s="1791" t="s">
        <v>1590</v>
      </c>
      <c r="E158" s="1791"/>
      <c r="F158" s="1792"/>
      <c r="G158" s="1793"/>
      <c r="H158" s="1793"/>
      <c r="I158" s="1793"/>
      <c r="J158" s="1793"/>
      <c r="K158" s="1793"/>
      <c r="L158" s="1793"/>
      <c r="M158" s="1794"/>
      <c r="N158" s="1711">
        <v>0</v>
      </c>
      <c r="O158" s="1741"/>
    </row>
    <row r="159" spans="2:15" ht="7.5" customHeight="1" x14ac:dyDescent="0.25">
      <c r="B159" s="1739"/>
      <c r="C159" s="1740"/>
      <c r="D159" s="1750"/>
      <c r="E159" s="1750"/>
      <c r="F159" s="1795"/>
      <c r="G159" s="1750"/>
      <c r="H159" s="1750"/>
      <c r="I159" s="1750"/>
      <c r="J159" s="1750"/>
      <c r="K159" s="1750"/>
      <c r="L159" s="1750"/>
      <c r="M159" s="1796"/>
      <c r="N159" s="1750"/>
      <c r="O159" s="1741"/>
    </row>
    <row r="160" spans="2:15" ht="27" customHeight="1" x14ac:dyDescent="0.25">
      <c r="B160" s="1739"/>
      <c r="C160" s="1740"/>
      <c r="D160" s="2717" t="s">
        <v>1591</v>
      </c>
      <c r="E160" s="2717"/>
      <c r="F160" s="2717"/>
      <c r="G160" s="2717"/>
      <c r="H160" s="2717"/>
      <c r="I160" s="2717"/>
      <c r="J160" s="2717"/>
      <c r="K160" s="2717"/>
      <c r="L160" s="2717"/>
      <c r="M160" s="2717"/>
      <c r="N160" s="2717"/>
      <c r="O160" s="1741"/>
    </row>
    <row r="161" spans="2:15" x14ac:dyDescent="0.25">
      <c r="B161" s="1739"/>
      <c r="C161" s="1740"/>
      <c r="D161" s="1750"/>
      <c r="E161" s="1750"/>
      <c r="F161" s="1783"/>
      <c r="G161" s="1783"/>
      <c r="H161" s="1783"/>
      <c r="I161" s="1783"/>
      <c r="J161" s="1783"/>
      <c r="K161" s="1750"/>
      <c r="L161" s="1843"/>
      <c r="M161" s="1796"/>
      <c r="N161" s="1750"/>
      <c r="O161" s="1741"/>
    </row>
    <row r="162" spans="2:15" x14ac:dyDescent="0.25">
      <c r="B162" s="1739"/>
      <c r="C162" s="1743">
        <v>15</v>
      </c>
      <c r="D162" s="1791" t="s">
        <v>1265</v>
      </c>
      <c r="E162" s="1791"/>
      <c r="F162" s="1792"/>
      <c r="G162" s="1793"/>
      <c r="H162" s="1793"/>
      <c r="I162" s="1793"/>
      <c r="J162" s="1793"/>
      <c r="K162" s="1793"/>
      <c r="L162" s="1793"/>
      <c r="M162" s="1794"/>
      <c r="N162" s="1711">
        <v>0</v>
      </c>
      <c r="O162" s="1741"/>
    </row>
    <row r="163" spans="2:15" ht="7.5" customHeight="1" x14ac:dyDescent="0.25">
      <c r="B163" s="1739"/>
      <c r="C163" s="1740"/>
      <c r="D163" s="1750"/>
      <c r="E163" s="1750"/>
      <c r="F163" s="1795"/>
      <c r="G163" s="1750"/>
      <c r="H163" s="1750"/>
      <c r="I163" s="1750"/>
      <c r="J163" s="1750"/>
      <c r="K163" s="1750"/>
      <c r="L163" s="1750"/>
      <c r="M163" s="1796"/>
      <c r="N163" s="1750"/>
      <c r="O163" s="1741"/>
    </row>
    <row r="164" spans="2:15" ht="15" customHeight="1" x14ac:dyDescent="0.25">
      <c r="B164" s="1739"/>
      <c r="C164" s="1740"/>
      <c r="D164" s="1795" t="s">
        <v>1592</v>
      </c>
      <c r="E164" s="1795"/>
      <c r="F164" s="1795"/>
      <c r="G164" s="1795"/>
      <c r="H164" s="1795"/>
      <c r="I164" s="1795"/>
      <c r="J164" s="1795"/>
      <c r="K164" s="1795"/>
      <c r="L164" s="1795"/>
      <c r="M164" s="1795"/>
      <c r="N164" s="1795"/>
      <c r="O164" s="1741"/>
    </row>
    <row r="165" spans="2:15" ht="4.5" customHeight="1" x14ac:dyDescent="0.25">
      <c r="B165" s="1739"/>
      <c r="C165" s="1740"/>
      <c r="D165" s="1836"/>
      <c r="E165" s="1836"/>
      <c r="F165" s="1836"/>
      <c r="G165" s="1836"/>
      <c r="H165" s="1836"/>
      <c r="I165" s="1836"/>
      <c r="J165" s="1836"/>
      <c r="K165" s="1836"/>
      <c r="L165" s="1836"/>
      <c r="M165" s="1836"/>
      <c r="N165" s="1836"/>
      <c r="O165" s="1741"/>
    </row>
    <row r="166" spans="2:15" x14ac:dyDescent="0.25">
      <c r="B166" s="1739"/>
      <c r="C166" s="1740"/>
      <c r="D166" s="1755"/>
      <c r="E166" s="1755"/>
      <c r="F166" s="2715" t="s">
        <v>1187</v>
      </c>
      <c r="G166" s="2720"/>
      <c r="H166" s="2720"/>
      <c r="I166" s="2720"/>
      <c r="J166" s="2720"/>
      <c r="K166" s="2720"/>
      <c r="L166" s="2720"/>
      <c r="M166" s="2716"/>
      <c r="N166" s="1755"/>
      <c r="O166" s="1741"/>
    </row>
    <row r="167" spans="2:15" x14ac:dyDescent="0.25">
      <c r="B167" s="1739"/>
      <c r="C167" s="1740"/>
      <c r="D167" s="1755"/>
      <c r="E167" s="1755"/>
      <c r="F167" s="1755"/>
      <c r="G167" s="1755"/>
      <c r="H167" s="1783"/>
      <c r="I167" s="1783"/>
      <c r="J167" s="1783"/>
      <c r="K167" s="1783"/>
      <c r="L167" s="1783"/>
      <c r="M167" s="1783"/>
      <c r="N167" s="1755"/>
      <c r="O167" s="1741"/>
    </row>
    <row r="168" spans="2:15" x14ac:dyDescent="0.25">
      <c r="B168" s="1739"/>
      <c r="C168" s="1740"/>
      <c r="D168" s="1755"/>
      <c r="E168" s="1755"/>
      <c r="F168" s="1755"/>
      <c r="G168" s="1755"/>
      <c r="H168" s="1783"/>
      <c r="I168" s="1783"/>
      <c r="J168" s="1783"/>
      <c r="K168" s="1783"/>
      <c r="L168" s="1783"/>
      <c r="M168" s="1783"/>
      <c r="N168" s="1755"/>
      <c r="O168" s="1741"/>
    </row>
    <row r="169" spans="2:15" x14ac:dyDescent="0.25">
      <c r="B169" s="1739"/>
      <c r="C169" s="1743">
        <v>16</v>
      </c>
      <c r="D169" s="1791" t="s">
        <v>1593</v>
      </c>
      <c r="E169" s="1791"/>
      <c r="F169" s="1792"/>
      <c r="G169" s="1793"/>
      <c r="H169" s="1793"/>
      <c r="I169" s="1793"/>
      <c r="J169" s="1793"/>
      <c r="K169" s="1793"/>
      <c r="L169" s="1793"/>
      <c r="M169" s="1794"/>
      <c r="N169" s="1711">
        <v>0</v>
      </c>
      <c r="O169" s="1741"/>
    </row>
    <row r="170" spans="2:15" ht="7.5" customHeight="1" x14ac:dyDescent="0.25">
      <c r="B170" s="1739"/>
      <c r="C170" s="1740"/>
      <c r="D170" s="1750"/>
      <c r="E170" s="1750"/>
      <c r="F170" s="1795"/>
      <c r="G170" s="1750"/>
      <c r="H170" s="1750"/>
      <c r="I170" s="1750"/>
      <c r="J170" s="1750"/>
      <c r="K170" s="1750"/>
      <c r="L170" s="1750"/>
      <c r="M170" s="1796"/>
      <c r="N170" s="1750"/>
      <c r="O170" s="1741"/>
    </row>
    <row r="171" spans="2:15" ht="15" customHeight="1" x14ac:dyDescent="0.25">
      <c r="B171" s="1739"/>
      <c r="C171" s="1740"/>
      <c r="D171" s="1836"/>
      <c r="E171" s="1836"/>
      <c r="F171" s="2715" t="s">
        <v>1187</v>
      </c>
      <c r="G171" s="2720"/>
      <c r="H171" s="2720"/>
      <c r="I171" s="2720"/>
      <c r="J171" s="2720"/>
      <c r="K171" s="2720"/>
      <c r="L171" s="2720"/>
      <c r="M171" s="2716"/>
      <c r="N171" s="1836"/>
      <c r="O171" s="1741"/>
    </row>
    <row r="172" spans="2:15" x14ac:dyDescent="0.25">
      <c r="B172" s="1739"/>
      <c r="C172" s="1740"/>
      <c r="D172" s="1836"/>
      <c r="E172" s="1836"/>
      <c r="F172" s="1836"/>
      <c r="G172" s="1836"/>
      <c r="H172" s="1836"/>
      <c r="I172" s="1836"/>
      <c r="J172" s="1836"/>
      <c r="K172" s="1836"/>
      <c r="L172" s="1836"/>
      <c r="M172" s="1836"/>
      <c r="N172" s="1836"/>
      <c r="O172" s="1741"/>
    </row>
    <row r="173" spans="2:15" x14ac:dyDescent="0.25">
      <c r="B173" s="1739"/>
      <c r="C173" s="1743">
        <v>17</v>
      </c>
      <c r="D173" s="1791" t="s">
        <v>1594</v>
      </c>
      <c r="E173" s="1791"/>
      <c r="F173" s="1792"/>
      <c r="G173" s="1793"/>
      <c r="H173" s="1793"/>
      <c r="I173" s="1793"/>
      <c r="J173" s="1793"/>
      <c r="K173" s="1793"/>
      <c r="L173" s="1793"/>
      <c r="M173" s="1794"/>
      <c r="N173" s="1711">
        <v>0</v>
      </c>
      <c r="O173" s="1741"/>
    </row>
    <row r="174" spans="2:15" ht="7.5" customHeight="1" x14ac:dyDescent="0.25">
      <c r="B174" s="1739"/>
      <c r="C174" s="1740"/>
      <c r="D174" s="1750"/>
      <c r="E174" s="1750"/>
      <c r="F174" s="1795"/>
      <c r="G174" s="1750"/>
      <c r="H174" s="1750"/>
      <c r="I174" s="1750"/>
      <c r="J174" s="1750"/>
      <c r="K174" s="1750"/>
      <c r="L174" s="1750"/>
      <c r="M174" s="1796"/>
      <c r="N174" s="1750"/>
      <c r="O174" s="1741"/>
    </row>
    <row r="175" spans="2:15" ht="27" customHeight="1" x14ac:dyDescent="0.25">
      <c r="B175" s="1739"/>
      <c r="C175" s="1740"/>
      <c r="D175" s="2717" t="s">
        <v>1595</v>
      </c>
      <c r="E175" s="2717"/>
      <c r="F175" s="2717"/>
      <c r="G175" s="2717"/>
      <c r="H175" s="2717"/>
      <c r="I175" s="2717"/>
      <c r="J175" s="2717"/>
      <c r="K175" s="2717"/>
      <c r="L175" s="2717"/>
      <c r="M175" s="2717"/>
      <c r="N175" s="2717"/>
      <c r="O175" s="1741"/>
    </row>
    <row r="176" spans="2:15" ht="7.5" customHeight="1" x14ac:dyDescent="0.25">
      <c r="B176" s="1739"/>
      <c r="C176" s="1740"/>
      <c r="D176" s="1836"/>
      <c r="E176" s="1836"/>
      <c r="F176" s="1836"/>
      <c r="G176" s="1836"/>
      <c r="H176" s="1836"/>
      <c r="I176" s="1836"/>
      <c r="J176" s="1836"/>
      <c r="K176" s="1836"/>
      <c r="L176" s="1836"/>
      <c r="M176" s="1836"/>
      <c r="N176" s="1836"/>
      <c r="O176" s="1741"/>
    </row>
    <row r="177" spans="2:15" ht="16.350000000000001" customHeight="1" x14ac:dyDescent="0.25">
      <c r="B177" s="1739"/>
      <c r="C177" s="1740"/>
      <c r="D177" s="1755"/>
      <c r="E177" s="1755"/>
      <c r="F177" s="1783"/>
      <c r="G177" s="1844" t="s">
        <v>1596</v>
      </c>
      <c r="H177" s="1755"/>
      <c r="I177" s="1783"/>
      <c r="J177" s="1783"/>
      <c r="K177" s="1783"/>
      <c r="L177" s="1783"/>
      <c r="M177" s="1784"/>
      <c r="N177" s="1783"/>
      <c r="O177" s="1741"/>
    </row>
    <row r="178" spans="2:15" ht="16.350000000000001" customHeight="1" x14ac:dyDescent="0.25">
      <c r="B178" s="1739"/>
      <c r="C178" s="1740"/>
      <c r="D178" s="1755"/>
      <c r="E178" s="1755"/>
      <c r="F178" s="1783"/>
      <c r="G178" s="1732"/>
      <c r="H178" s="1783" t="s">
        <v>1597</v>
      </c>
      <c r="I178" s="1783"/>
      <c r="J178" s="1783"/>
      <c r="K178" s="1783"/>
      <c r="L178" s="1783"/>
      <c r="M178" s="1784"/>
      <c r="N178" s="1783"/>
      <c r="O178" s="1741"/>
    </row>
    <row r="179" spans="2:15" ht="16.350000000000001" customHeight="1" x14ac:dyDescent="0.25">
      <c r="B179" s="1739"/>
      <c r="C179" s="1740"/>
      <c r="D179" s="1755"/>
      <c r="E179" s="1755"/>
      <c r="F179" s="1783"/>
      <c r="G179" s="1732"/>
      <c r="H179" s="1783" t="s">
        <v>1598</v>
      </c>
      <c r="I179" s="1783"/>
      <c r="J179" s="1783"/>
      <c r="K179" s="1783"/>
      <c r="L179" s="1783"/>
      <c r="M179" s="1784"/>
      <c r="N179" s="1783"/>
      <c r="O179" s="1741"/>
    </row>
    <row r="180" spans="2:15" ht="16.350000000000001" customHeight="1" x14ac:dyDescent="0.25">
      <c r="B180" s="1739"/>
      <c r="C180" s="1740"/>
      <c r="D180" s="1755"/>
      <c r="E180" s="1755"/>
      <c r="F180" s="1783"/>
      <c r="G180" s="1732"/>
      <c r="H180" s="1783" t="s">
        <v>1599</v>
      </c>
      <c r="I180" s="1783"/>
      <c r="J180" s="1783"/>
      <c r="K180" s="1783"/>
      <c r="L180" s="1783"/>
      <c r="M180" s="1784"/>
      <c r="N180" s="1783"/>
      <c r="O180" s="1741"/>
    </row>
    <row r="181" spans="2:15" ht="16.350000000000001" customHeight="1" x14ac:dyDescent="0.25">
      <c r="B181" s="1739"/>
      <c r="C181" s="1740"/>
      <c r="D181" s="1755"/>
      <c r="E181" s="1755"/>
      <c r="F181" s="1783"/>
      <c r="G181" s="1732"/>
      <c r="H181" s="1755" t="s">
        <v>1600</v>
      </c>
      <c r="I181" s="1783"/>
      <c r="J181" s="1783"/>
      <c r="K181" s="1783"/>
      <c r="L181" s="1783"/>
      <c r="M181" s="1784"/>
      <c r="N181" s="1783"/>
      <c r="O181" s="1741"/>
    </row>
    <row r="182" spans="2:15" ht="15.75" thickBot="1" x14ac:dyDescent="0.3">
      <c r="B182" s="1739"/>
      <c r="C182" s="1740"/>
      <c r="D182" s="1755"/>
      <c r="E182" s="1755"/>
      <c r="F182" s="1845"/>
      <c r="G182" s="1846"/>
      <c r="H182" s="1846"/>
      <c r="I182" s="1846"/>
      <c r="J182" s="1846"/>
      <c r="K182" s="1846"/>
      <c r="L182" s="1846"/>
      <c r="M182" s="1755"/>
      <c r="N182" s="1755"/>
      <c r="O182" s="1741"/>
    </row>
    <row r="183" spans="2:15" ht="28.5" customHeight="1" thickTop="1" thickBot="1" x14ac:dyDescent="0.3">
      <c r="B183" s="1739"/>
      <c r="C183" s="2730" t="s">
        <v>1601</v>
      </c>
      <c r="D183" s="2731"/>
      <c r="E183" s="2731"/>
      <c r="F183" s="2731"/>
      <c r="G183" s="2731"/>
      <c r="H183" s="2731"/>
      <c r="I183" s="2731"/>
      <c r="J183" s="2731"/>
      <c r="K183" s="2731"/>
      <c r="L183" s="2731"/>
      <c r="M183" s="2732"/>
      <c r="N183" s="1918">
        <f>N17+N31+N38+N64+N82+N94+N108+N115+N125+N130+N142+N149+N154+N158+N162+N169+N173</f>
        <v>0</v>
      </c>
      <c r="O183" s="1741"/>
    </row>
    <row r="184" spans="2:15" ht="15.75" thickBot="1" x14ac:dyDescent="0.3">
      <c r="B184" s="1813"/>
      <c r="C184" s="1814"/>
      <c r="D184" s="1814"/>
      <c r="E184" s="1814"/>
      <c r="F184" s="1814"/>
      <c r="G184" s="1814"/>
      <c r="H184" s="1814"/>
      <c r="I184" s="1814"/>
      <c r="J184" s="1814"/>
      <c r="K184" s="1814"/>
      <c r="L184" s="1814"/>
      <c r="M184" s="1814"/>
      <c r="N184" s="1814"/>
      <c r="O184" s="1820"/>
    </row>
  </sheetData>
  <sheetProtection password="D666" sheet="1" objects="1" scenarios="1"/>
  <dataConsolidate/>
  <mergeCells count="45">
    <mergeCell ref="C137:N137"/>
    <mergeCell ref="C139:L139"/>
    <mergeCell ref="M140:M141"/>
    <mergeCell ref="N140:N141"/>
    <mergeCell ref="F171:M171"/>
    <mergeCell ref="D175:N175"/>
    <mergeCell ref="C14:L14"/>
    <mergeCell ref="C183:M183"/>
    <mergeCell ref="C12:N12"/>
    <mergeCell ref="D144:N144"/>
    <mergeCell ref="F146:M146"/>
    <mergeCell ref="D151:N151"/>
    <mergeCell ref="D156:N156"/>
    <mergeCell ref="D160:N160"/>
    <mergeCell ref="F166:M166"/>
    <mergeCell ref="K101:L101"/>
    <mergeCell ref="K102:L102"/>
    <mergeCell ref="K103:L103"/>
    <mergeCell ref="K105:L105"/>
    <mergeCell ref="F112:G112"/>
    <mergeCell ref="F134:M134"/>
    <mergeCell ref="M123:M124"/>
    <mergeCell ref="N123:N124"/>
    <mergeCell ref="F86:M86"/>
    <mergeCell ref="J89:K89"/>
    <mergeCell ref="J90:K90"/>
    <mergeCell ref="J91:K91"/>
    <mergeCell ref="D96:N96"/>
    <mergeCell ref="F98:M98"/>
    <mergeCell ref="F45:M45"/>
    <mergeCell ref="F52:M52"/>
    <mergeCell ref="F59:M59"/>
    <mergeCell ref="D66:M67"/>
    <mergeCell ref="F69:M69"/>
    <mergeCell ref="D84:N84"/>
    <mergeCell ref="C77:N77"/>
    <mergeCell ref="C79:L79"/>
    <mergeCell ref="M80:M81"/>
    <mergeCell ref="N80:N81"/>
    <mergeCell ref="D40:N41"/>
    <mergeCell ref="M15:M16"/>
    <mergeCell ref="N15:N16"/>
    <mergeCell ref="F21:M21"/>
    <mergeCell ref="I22:N22"/>
    <mergeCell ref="F35:G35"/>
  </mergeCells>
  <dataValidations count="18">
    <dataValidation type="list" allowBlank="1" showInputMessage="1" showErrorMessage="1" sqref="F171:M171">
      <formula1>NP_Donation</formula1>
    </dataValidation>
    <dataValidation type="list" allowBlank="1" showInputMessage="1" showErrorMessage="1" sqref="F52:M52">
      <formula1>Bond_PriorityPopulations20</formula1>
    </dataValidation>
    <dataValidation type="list" allowBlank="1" showInputMessage="1" showErrorMessage="1" sqref="F45:M45">
      <formula1>Bond_PriorityPopulations10</formula1>
    </dataValidation>
    <dataValidation type="list" allowBlank="1" showInputMessage="1" sqref="F35:G35">
      <formula1>Bond_Years</formula1>
    </dataValidation>
    <dataValidation type="list" allowBlank="1" showInputMessage="1" showErrorMessage="1" sqref="F69:M69">
      <formula1>Bond_PBRA</formula1>
    </dataValidation>
    <dataValidation type="list" allowBlank="1" showInputMessage="1" showErrorMessage="1" sqref="F59:M59">
      <formula1>Bond_PriorityPopulations100</formula1>
    </dataValidation>
    <dataValidation type="list" allowBlank="1" showInputMessage="1" showErrorMessage="1" sqref="F26">
      <formula1>Bond_LIH50percent</formula1>
    </dataValidation>
    <dataValidation type="list" allowBlank="1" showInputMessage="1" showErrorMessage="1" sqref="F25">
      <formula1>Bond_LIH40percent</formula1>
    </dataValidation>
    <dataValidation allowBlank="1" showErrorMessage="1" sqref="N21"/>
    <dataValidation type="list" allowBlank="1" showInputMessage="1" showErrorMessage="1" sqref="F27">
      <formula1>Bond_LIH60percent</formula1>
    </dataValidation>
    <dataValidation type="list" allowBlank="1" showErrorMessage="1" sqref="F21:M21">
      <formula1>Bond_LIH_Commitment</formula1>
    </dataValidation>
    <dataValidation type="list" allowBlank="1" showInputMessage="1" showErrorMessage="1" sqref="F86:M86">
      <formula1>Bond_LvgPubRes_10</formula1>
    </dataValidation>
    <dataValidation type="list" allowBlank="1" showInputMessage="1" showErrorMessage="1" sqref="F98:M98">
      <formula1>Bond_LvgTaxBonds_7</formula1>
    </dataValidation>
    <dataValidation type="list" allowBlank="1" showInputMessage="1" showErrorMessage="1" sqref="F112:G112">
      <formula1>Bond_DevFees</formula1>
    </dataValidation>
    <dataValidation type="list" allowBlank="1" showInputMessage="1" showErrorMessage="1" sqref="F134:M134">
      <formula1>property_type_10</formula1>
    </dataValidation>
    <dataValidation type="list" allowBlank="1" showInputMessage="1" showErrorMessage="1" sqref="F146:M146">
      <formula1>LIHTC_location_eff</formula1>
    </dataValidation>
    <dataValidation type="list" allowBlank="1" showInputMessage="1" showErrorMessage="1" sqref="F166:M166">
      <formula1>Bond_NP_Sponsor</formula1>
    </dataValidation>
    <dataValidation type="list" allowBlank="1" showInputMessage="1" showErrorMessage="1" sqref="G178:G181">
      <formula1>Enable</formula1>
    </dataValidation>
  </dataValidations>
  <pageMargins left="0.25" right="0.25" top="0.75" bottom="0.75" header="0.3" footer="0.3"/>
  <pageSetup scale="79" firstPageNumber="2" orientation="portrait"/>
  <headerFooter>
    <oddFooter>&amp;LForm 11B
4% LIHTC/Bond Scoring Synopsis&amp;REdition 2016
Version 1.0</oddFooter>
  </headerFooter>
  <rowBreaks count="2" manualBreakCount="2">
    <brk id="75" min="1" max="14" man="1"/>
    <brk id="135" min="1" max="14" man="1"/>
  </rowBreaks>
  <drawing r:id="rId1"/>
  <legacyDrawing r:id="rId2"/>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47"/>
  <sheetViews>
    <sheetView showGridLines="0" view="pageBreakPreview" topLeftCell="A16" zoomScale="125" zoomScaleNormal="125" zoomScaleSheetLayoutView="90" zoomScalePageLayoutView="125" workbookViewId="0">
      <selection activeCell="M23" sqref="M23"/>
    </sheetView>
  </sheetViews>
  <sheetFormatPr defaultColWidth="8.85546875" defaultRowHeight="15" x14ac:dyDescent="0.25"/>
  <cols>
    <col min="1" max="1" width="1.7109375" style="2100" customWidth="1"/>
    <col min="2" max="2" width="4" style="2100" customWidth="1"/>
    <col min="3" max="3" width="2.85546875" style="2100" customWidth="1"/>
    <col min="4" max="4" width="1" style="2100" customWidth="1"/>
    <col min="5" max="5" width="2.85546875" style="2100" customWidth="1"/>
    <col min="6" max="6" width="10.42578125" style="2100" customWidth="1"/>
    <col min="7" max="8" width="14.28515625" style="2100" customWidth="1"/>
    <col min="9" max="9" width="2.85546875" style="2100" customWidth="1"/>
    <col min="10" max="10" width="1" style="2100" customWidth="1"/>
    <col min="11" max="11" width="10.42578125" style="2100" customWidth="1"/>
    <col min="12" max="12" width="14.28515625" style="2100" customWidth="1"/>
    <col min="13" max="13" width="19.42578125" style="2100" customWidth="1"/>
    <col min="14" max="14" width="1.7109375" style="2100" customWidth="1"/>
    <col min="15" max="15" width="10.7109375" style="2100" bestFit="1" customWidth="1"/>
    <col min="16" max="16384" width="8.85546875" style="2100"/>
  </cols>
  <sheetData>
    <row r="1" spans="1:14" ht="18.75" x14ac:dyDescent="0.3">
      <c r="A1" s="2099"/>
      <c r="B1" s="2765" t="s">
        <v>1842</v>
      </c>
      <c r="C1" s="2765"/>
      <c r="D1" s="2765"/>
      <c r="E1" s="2765"/>
      <c r="F1" s="2765"/>
      <c r="G1" s="2765"/>
      <c r="H1" s="2765"/>
      <c r="I1" s="2765"/>
      <c r="J1" s="2765"/>
      <c r="K1" s="2765"/>
      <c r="L1" s="2765"/>
      <c r="M1" s="2765"/>
    </row>
    <row r="2" spans="1:14" ht="15" customHeight="1" x14ac:dyDescent="0.25">
      <c r="A2" s="2101"/>
      <c r="C2" s="2101"/>
      <c r="D2" s="2101"/>
      <c r="E2" s="2101"/>
      <c r="F2" s="2101"/>
      <c r="G2" s="2101"/>
      <c r="H2" s="2101"/>
      <c r="I2" s="2101"/>
      <c r="J2" s="2101"/>
      <c r="K2" s="2101"/>
      <c r="L2" s="2101"/>
      <c r="M2" s="2101"/>
    </row>
    <row r="3" spans="1:14" x14ac:dyDescent="0.25">
      <c r="A3" s="2101"/>
      <c r="B3" s="2766" t="s">
        <v>1843</v>
      </c>
      <c r="C3" s="2767"/>
      <c r="D3" s="2767"/>
      <c r="E3" s="2767"/>
      <c r="F3" s="2767"/>
      <c r="G3" s="2767"/>
      <c r="H3" s="2767"/>
      <c r="I3" s="2767"/>
      <c r="J3" s="2767"/>
      <c r="K3" s="2767"/>
      <c r="L3" s="2767"/>
      <c r="M3" s="2768"/>
    </row>
    <row r="4" spans="1:14" ht="5.25" customHeight="1" x14ac:dyDescent="0.25">
      <c r="A4" s="2101"/>
      <c r="B4" s="2102"/>
      <c r="C4" s="2103"/>
      <c r="D4" s="2103"/>
      <c r="E4" s="2103"/>
      <c r="F4" s="2103"/>
      <c r="G4" s="2103"/>
      <c r="H4" s="2103"/>
      <c r="I4" s="2103"/>
      <c r="J4" s="2103"/>
      <c r="K4" s="2103"/>
      <c r="L4" s="2103"/>
      <c r="M4" s="2104"/>
    </row>
    <row r="5" spans="1:14" x14ac:dyDescent="0.25">
      <c r="B5" s="2105" t="s">
        <v>1844</v>
      </c>
      <c r="C5" s="2769" t="s">
        <v>1845</v>
      </c>
      <c r="D5" s="2770"/>
      <c r="E5" s="2770"/>
      <c r="F5" s="2770"/>
      <c r="G5" s="2770"/>
      <c r="H5" s="2770"/>
      <c r="I5" s="2770"/>
      <c r="J5" s="2770"/>
      <c r="K5" s="2770"/>
      <c r="L5" s="2770"/>
      <c r="M5" s="2771"/>
    </row>
    <row r="6" spans="1:14" x14ac:dyDescent="0.25">
      <c r="B6" s="2105" t="s">
        <v>1846</v>
      </c>
      <c r="C6" s="2772" t="s">
        <v>1847</v>
      </c>
      <c r="D6" s="2773"/>
      <c r="E6" s="2773"/>
      <c r="F6" s="2773"/>
      <c r="G6" s="2773"/>
      <c r="H6" s="2773"/>
      <c r="I6" s="2773"/>
      <c r="J6" s="2773"/>
      <c r="K6" s="2773"/>
      <c r="L6" s="2773"/>
      <c r="M6" s="2774"/>
    </row>
    <row r="7" spans="1:14" ht="30" customHeight="1" x14ac:dyDescent="0.25">
      <c r="B7" s="2106" t="s">
        <v>1848</v>
      </c>
      <c r="C7" s="2763" t="s">
        <v>1849</v>
      </c>
      <c r="D7" s="2763"/>
      <c r="E7" s="2763"/>
      <c r="F7" s="2763"/>
      <c r="G7" s="2763"/>
      <c r="H7" s="2763"/>
      <c r="I7" s="2763"/>
      <c r="J7" s="2763"/>
      <c r="K7" s="2763"/>
      <c r="L7" s="2763"/>
      <c r="M7" s="2764"/>
    </row>
    <row r="8" spans="1:14" x14ac:dyDescent="0.25">
      <c r="A8" s="2107"/>
      <c r="B8" s="2108">
        <v>4</v>
      </c>
      <c r="C8" s="2763" t="s">
        <v>1850</v>
      </c>
      <c r="D8" s="2763"/>
      <c r="E8" s="2763"/>
      <c r="F8" s="2763"/>
      <c r="G8" s="2763"/>
      <c r="H8" s="2763"/>
      <c r="I8" s="2763"/>
      <c r="J8" s="2763"/>
      <c r="K8" s="2763"/>
      <c r="L8" s="2763"/>
      <c r="M8" s="2764"/>
    </row>
    <row r="9" spans="1:14" ht="9" customHeight="1" x14ac:dyDescent="0.25">
      <c r="A9" s="2107"/>
      <c r="B9" s="2109"/>
      <c r="C9" s="2110"/>
      <c r="D9" s="2110"/>
      <c r="E9" s="2110"/>
      <c r="F9" s="2110"/>
      <c r="G9" s="2110"/>
      <c r="H9" s="2110"/>
      <c r="I9" s="2110"/>
      <c r="J9" s="2110"/>
      <c r="K9" s="2110"/>
      <c r="L9" s="2110"/>
      <c r="M9" s="2111"/>
    </row>
    <row r="10" spans="1:14" ht="15" customHeight="1" x14ac:dyDescent="0.25">
      <c r="A10" s="2107"/>
      <c r="C10" s="2112"/>
      <c r="D10" s="2112"/>
      <c r="E10" s="2112"/>
      <c r="F10" s="2112"/>
      <c r="G10" s="2112"/>
      <c r="H10" s="2112"/>
      <c r="I10" s="2112"/>
      <c r="J10" s="2112"/>
      <c r="K10" s="2112"/>
      <c r="L10" s="2112"/>
      <c r="M10" s="2112"/>
    </row>
    <row r="11" spans="1:14" ht="15" customHeight="1" x14ac:dyDescent="0.25">
      <c r="A11" s="2107"/>
      <c r="B11" s="2100" t="s">
        <v>1851</v>
      </c>
      <c r="C11" s="2112"/>
      <c r="D11" s="2112"/>
      <c r="E11" s="2112"/>
      <c r="F11" s="2112"/>
      <c r="G11" s="2112"/>
      <c r="H11" s="2112"/>
      <c r="I11" s="2112"/>
      <c r="J11" s="2112"/>
      <c r="K11" s="2112"/>
      <c r="L11" s="2112"/>
      <c r="M11" s="2113" t="s">
        <v>1413</v>
      </c>
    </row>
    <row r="12" spans="1:14" ht="15" customHeight="1" x14ac:dyDescent="0.25">
      <c r="A12" s="2107"/>
      <c r="C12" s="2112"/>
      <c r="D12" s="2112"/>
      <c r="E12" s="2112"/>
      <c r="F12" s="2112"/>
      <c r="G12" s="2112"/>
      <c r="H12" s="2112"/>
      <c r="I12" s="2112"/>
      <c r="J12" s="2112"/>
      <c r="K12" s="2112"/>
      <c r="L12" s="2112"/>
      <c r="M12" s="2112"/>
    </row>
    <row r="13" spans="1:14" x14ac:dyDescent="0.25">
      <c r="A13" s="2114"/>
      <c r="B13" s="2114"/>
      <c r="C13" s="2114"/>
      <c r="D13" s="2114"/>
      <c r="E13" s="2114"/>
      <c r="F13" s="2114"/>
      <c r="G13" s="1171" t="s">
        <v>39</v>
      </c>
      <c r="H13" s="1171" t="s">
        <v>1852</v>
      </c>
      <c r="I13" s="1171"/>
      <c r="J13" s="2114"/>
      <c r="K13" s="1171" t="s">
        <v>1853</v>
      </c>
      <c r="L13" s="1171" t="s">
        <v>1854</v>
      </c>
      <c r="M13" s="1171" t="s">
        <v>1855</v>
      </c>
      <c r="N13" s="2114"/>
    </row>
    <row r="14" spans="1:14" ht="15" customHeight="1" x14ac:dyDescent="0.25">
      <c r="A14" s="2114"/>
      <c r="B14" s="2750" t="s">
        <v>1856</v>
      </c>
      <c r="C14" s="2750"/>
      <c r="D14" s="2750"/>
      <c r="E14" s="2750"/>
      <c r="F14" s="2750"/>
      <c r="G14" s="2115">
        <v>15</v>
      </c>
      <c r="H14" s="2115">
        <v>11</v>
      </c>
      <c r="I14" s="2751">
        <v>27</v>
      </c>
      <c r="J14" s="2752"/>
      <c r="K14" s="2753"/>
      <c r="L14" s="2115">
        <v>6</v>
      </c>
      <c r="M14" s="2115"/>
      <c r="N14" s="2114"/>
    </row>
    <row r="15" spans="1:14" ht="21" customHeight="1" x14ac:dyDescent="0.25">
      <c r="A15" s="2114"/>
      <c r="B15" s="2750"/>
      <c r="C15" s="2750"/>
      <c r="D15" s="2750"/>
      <c r="E15" s="2750"/>
      <c r="F15" s="2750"/>
      <c r="G15" s="2116"/>
      <c r="H15" s="2116"/>
      <c r="I15" s="2116"/>
      <c r="J15" s="2116"/>
      <c r="K15" s="2116"/>
      <c r="L15" s="2116"/>
      <c r="M15" s="2116"/>
      <c r="N15" s="2114"/>
    </row>
    <row r="16" spans="1:14" ht="8.85" customHeight="1" x14ac:dyDescent="0.25">
      <c r="A16" s="2114"/>
      <c r="B16" s="2117"/>
      <c r="C16" s="2117"/>
      <c r="D16" s="2117"/>
      <c r="E16" s="2117"/>
      <c r="F16" s="2117"/>
      <c r="G16" s="2116"/>
      <c r="H16" s="2116"/>
      <c r="I16" s="2116"/>
      <c r="J16" s="2117"/>
      <c r="K16" s="2116"/>
      <c r="L16" s="2116"/>
      <c r="M16" s="2116"/>
      <c r="N16" s="2114"/>
    </row>
    <row r="17" spans="1:20" ht="15" customHeight="1" x14ac:dyDescent="0.25">
      <c r="A17" s="2114"/>
      <c r="B17" s="2754" t="s">
        <v>1857</v>
      </c>
      <c r="C17" s="2754"/>
      <c r="D17" s="2754"/>
      <c r="E17" s="2754"/>
      <c r="F17" s="2754"/>
      <c r="G17" s="2118">
        <v>244635</v>
      </c>
      <c r="H17" s="2118">
        <v>283137</v>
      </c>
      <c r="I17" s="2755">
        <v>300873</v>
      </c>
      <c r="J17" s="2756"/>
      <c r="K17" s="2757"/>
      <c r="L17" s="2118">
        <v>337428</v>
      </c>
      <c r="M17" s="2118"/>
      <c r="N17" s="2114"/>
    </row>
    <row r="18" spans="1:20" ht="8.85" customHeight="1" x14ac:dyDescent="0.25">
      <c r="A18" s="2114"/>
      <c r="B18" s="2754"/>
      <c r="C18" s="2754"/>
      <c r="D18" s="2754"/>
      <c r="E18" s="2754"/>
      <c r="F18" s="2754"/>
      <c r="G18" s="2119"/>
      <c r="H18" s="2119"/>
      <c r="I18" s="2119"/>
      <c r="J18" s="2119"/>
      <c r="K18" s="2119"/>
      <c r="L18" s="2119"/>
      <c r="M18" s="2119"/>
      <c r="N18" s="2114"/>
    </row>
    <row r="19" spans="1:20" ht="15" customHeight="1" x14ac:dyDescent="0.25">
      <c r="A19" s="2120"/>
      <c r="B19" s="2758" t="s">
        <v>1858</v>
      </c>
      <c r="C19" s="2758"/>
      <c r="D19" s="2758"/>
      <c r="E19" s="2758"/>
      <c r="F19" s="2759"/>
      <c r="G19" s="2121">
        <f>G14*G17</f>
        <v>3669525</v>
      </c>
      <c r="H19" s="2121">
        <f>H14*H17</f>
        <v>3114507</v>
      </c>
      <c r="I19" s="2760">
        <f>I14*I17</f>
        <v>8123571</v>
      </c>
      <c r="J19" s="2761"/>
      <c r="K19" s="2762"/>
      <c r="L19" s="2121">
        <f>L14*L17</f>
        <v>2024568</v>
      </c>
      <c r="M19" s="2121">
        <f>M14*M17</f>
        <v>0</v>
      </c>
      <c r="N19" s="2114"/>
    </row>
    <row r="20" spans="1:20" ht="15.75" thickBot="1" x14ac:dyDescent="0.3">
      <c r="A20" s="2114"/>
      <c r="B20" s="2114"/>
      <c r="C20" s="2114"/>
      <c r="D20" s="2114"/>
      <c r="E20" s="2114"/>
      <c r="F20" s="2114"/>
      <c r="G20" s="2114"/>
      <c r="H20" s="2114"/>
      <c r="I20" s="2114"/>
      <c r="J20" s="2114"/>
      <c r="K20" s="2114"/>
      <c r="L20" s="2114"/>
      <c r="M20" s="2114"/>
      <c r="N20" s="2114"/>
    </row>
    <row r="21" spans="1:20" ht="16.5" thickTop="1" thickBot="1" x14ac:dyDescent="0.3">
      <c r="A21" s="2114"/>
      <c r="B21" s="2738" t="s">
        <v>1859</v>
      </c>
      <c r="C21" s="2738"/>
      <c r="D21" s="2738"/>
      <c r="E21" s="2738"/>
      <c r="F21" s="2738"/>
      <c r="G21" s="2738"/>
      <c r="H21" s="2738"/>
      <c r="I21" s="2738"/>
      <c r="J21" s="2738"/>
      <c r="K21" s="2738"/>
      <c r="L21" s="2739"/>
      <c r="M21" s="2122">
        <f>SUM(G19:M19)</f>
        <v>16932171</v>
      </c>
      <c r="N21" s="2114"/>
    </row>
    <row r="22" spans="1:20" ht="8.4499999999999993" customHeight="1" thickTop="1" x14ac:dyDescent="0.25">
      <c r="A22" s="2114"/>
      <c r="B22" s="2123"/>
      <c r="C22" s="2123"/>
      <c r="D22" s="2123"/>
      <c r="E22" s="2123"/>
      <c r="F22" s="2123"/>
      <c r="G22" s="2123"/>
      <c r="H22" s="2123"/>
      <c r="I22" s="2123"/>
      <c r="J22" s="2123"/>
      <c r="K22" s="2123"/>
      <c r="L22" s="2123"/>
      <c r="M22" s="2124"/>
      <c r="N22" s="2114"/>
    </row>
    <row r="23" spans="1:20" x14ac:dyDescent="0.25">
      <c r="A23" s="2114"/>
      <c r="B23" s="2738" t="s">
        <v>1860</v>
      </c>
      <c r="C23" s="2738"/>
      <c r="D23" s="2738"/>
      <c r="E23" s="2738"/>
      <c r="F23" s="2738"/>
      <c r="G23" s="2738"/>
      <c r="H23" s="2738"/>
      <c r="I23" s="2738"/>
      <c r="J23" s="2738"/>
      <c r="K23" s="2738"/>
      <c r="L23" s="2740"/>
      <c r="M23" s="2125">
        <f>'6A'!K120</f>
        <v>21313414.802096002</v>
      </c>
      <c r="N23" s="2114"/>
    </row>
    <row r="24" spans="1:20" x14ac:dyDescent="0.25">
      <c r="A24" s="2114"/>
      <c r="B24" s="2126" t="s">
        <v>1861</v>
      </c>
      <c r="C24" s="2123"/>
      <c r="D24" s="2114"/>
      <c r="E24" s="2123"/>
      <c r="F24" s="2123"/>
      <c r="G24" s="2123"/>
      <c r="H24" s="2123"/>
      <c r="I24" s="2123"/>
      <c r="J24" s="2114"/>
      <c r="K24" s="2123"/>
      <c r="L24" s="2123"/>
      <c r="M24" s="2127">
        <f>-'6A'!K22</f>
        <v>-1800000</v>
      </c>
      <c r="N24" s="2114"/>
    </row>
    <row r="25" spans="1:20" x14ac:dyDescent="0.25">
      <c r="A25" s="2114"/>
      <c r="B25" s="2128" t="s">
        <v>1862</v>
      </c>
      <c r="C25" s="2129"/>
      <c r="D25" s="2130"/>
      <c r="E25" s="2130"/>
      <c r="F25" s="2130"/>
      <c r="G25" s="2130"/>
      <c r="H25" s="2130"/>
      <c r="I25" s="2130"/>
      <c r="J25" s="2130"/>
      <c r="K25" s="2130"/>
      <c r="L25" s="2130"/>
      <c r="M25" s="2131">
        <f>-'6A'!K93</f>
        <v>-295151</v>
      </c>
      <c r="N25" s="2114"/>
    </row>
    <row r="26" spans="1:20" x14ac:dyDescent="0.25">
      <c r="A26" s="2114"/>
      <c r="B26" s="2123" t="s">
        <v>1863</v>
      </c>
      <c r="C26" s="2123"/>
      <c r="D26" s="2123"/>
      <c r="E26" s="2123"/>
      <c r="F26" s="2123"/>
      <c r="G26" s="2123"/>
      <c r="H26" s="2123"/>
      <c r="I26" s="2123"/>
      <c r="J26" s="2123"/>
      <c r="K26" s="2123"/>
      <c r="L26" s="2123"/>
      <c r="M26" s="2132">
        <f>SUM(M23:M25)</f>
        <v>19218263.802096002</v>
      </c>
      <c r="N26" s="2114"/>
      <c r="O26" s="2189">
        <f>M26-M21</f>
        <v>2286092.8020960018</v>
      </c>
      <c r="P26" s="2187">
        <f>O26/M21</f>
        <v>0.13501474808493263</v>
      </c>
      <c r="Q26" s="2188" t="s">
        <v>1923</v>
      </c>
    </row>
    <row r="27" spans="1:20" ht="15.75" thickBot="1" x14ac:dyDescent="0.3">
      <c r="A27" s="2114"/>
      <c r="B27" s="2114"/>
      <c r="C27" s="2114"/>
      <c r="D27" s="2114"/>
      <c r="E27" s="2114"/>
      <c r="F27" s="2114"/>
      <c r="G27" s="2114"/>
      <c r="H27" s="2114"/>
      <c r="I27" s="2114"/>
      <c r="J27" s="2114"/>
      <c r="K27" s="2114"/>
      <c r="L27" s="2114"/>
      <c r="M27" s="2114"/>
      <c r="N27" s="2114"/>
    </row>
    <row r="28" spans="1:20" ht="16.5" thickTop="1" thickBot="1" x14ac:dyDescent="0.3">
      <c r="A28" s="2114"/>
      <c r="B28" s="2133" t="s">
        <v>1864</v>
      </c>
      <c r="C28" s="2134"/>
      <c r="D28" s="2134"/>
      <c r="E28" s="2134"/>
      <c r="F28" s="2134"/>
      <c r="G28" s="2134"/>
      <c r="H28" s="2134"/>
      <c r="I28" s="2134"/>
      <c r="J28" s="2134"/>
      <c r="K28" s="2134"/>
      <c r="L28" s="2134"/>
      <c r="M28" s="2135" t="str">
        <f>IF(M26&gt;M21, "NO","YES")</f>
        <v>NO</v>
      </c>
      <c r="N28" s="2114"/>
    </row>
    <row r="29" spans="1:20" ht="16.5" thickTop="1" thickBot="1" x14ac:dyDescent="0.3">
      <c r="A29" s="2114"/>
      <c r="B29" s="2123"/>
      <c r="C29" s="2114"/>
      <c r="D29" s="2114"/>
      <c r="E29" s="2114"/>
      <c r="F29" s="2114"/>
      <c r="G29" s="2114"/>
      <c r="H29" s="2114"/>
      <c r="I29" s="2114"/>
      <c r="J29" s="2114"/>
      <c r="K29" s="2114"/>
      <c r="L29" s="2114"/>
      <c r="M29" s="2136"/>
      <c r="N29" s="2114"/>
    </row>
    <row r="30" spans="1:20" ht="15" customHeight="1" x14ac:dyDescent="0.25">
      <c r="A30" s="2114"/>
      <c r="B30" s="2741" t="s">
        <v>1865</v>
      </c>
      <c r="C30" s="2742"/>
      <c r="D30" s="2742"/>
      <c r="E30" s="2742"/>
      <c r="F30" s="2742"/>
      <c r="G30" s="2742"/>
      <c r="H30" s="2742"/>
      <c r="I30" s="2742"/>
      <c r="J30" s="2742"/>
      <c r="K30" s="2742"/>
      <c r="L30" s="2742"/>
      <c r="M30" s="2743"/>
      <c r="N30" s="2114"/>
      <c r="O30" s="2114"/>
      <c r="P30" s="2114"/>
      <c r="Q30" s="2114"/>
      <c r="R30" s="2114"/>
      <c r="S30" s="2114"/>
      <c r="T30" s="2114"/>
    </row>
    <row r="31" spans="1:20" x14ac:dyDescent="0.25">
      <c r="A31" s="2114"/>
      <c r="B31" s="2744"/>
      <c r="C31" s="2745"/>
      <c r="D31" s="2745"/>
      <c r="E31" s="2745"/>
      <c r="F31" s="2745"/>
      <c r="G31" s="2745"/>
      <c r="H31" s="2745"/>
      <c r="I31" s="2745"/>
      <c r="J31" s="2745"/>
      <c r="K31" s="2745"/>
      <c r="L31" s="2745"/>
      <c r="M31" s="2746"/>
      <c r="N31" s="2114"/>
      <c r="O31" s="2114"/>
      <c r="P31" s="2114"/>
      <c r="Q31" s="2114"/>
      <c r="R31" s="2114"/>
      <c r="S31" s="2114"/>
      <c r="T31" s="2114"/>
    </row>
    <row r="32" spans="1:20" x14ac:dyDescent="0.25">
      <c r="A32" s="2114"/>
      <c r="B32" s="2137"/>
      <c r="C32" s="2114"/>
      <c r="D32" s="2114"/>
      <c r="E32" s="2114"/>
      <c r="F32" s="2114"/>
      <c r="G32" s="2114"/>
      <c r="H32" s="2114"/>
      <c r="I32" s="2114"/>
      <c r="J32" s="2114"/>
      <c r="K32" s="2114"/>
      <c r="L32" s="2114"/>
      <c r="M32" s="2138"/>
      <c r="N32" s="2114"/>
      <c r="O32" s="2114"/>
      <c r="P32" s="2114"/>
      <c r="Q32" s="2114"/>
      <c r="R32" s="2114"/>
      <c r="S32" s="2114"/>
      <c r="T32" s="2114"/>
    </row>
    <row r="33" spans="1:19" x14ac:dyDescent="0.25">
      <c r="A33" s="2114"/>
      <c r="B33" s="2139"/>
      <c r="C33" s="2115"/>
      <c r="D33" s="2123" t="s">
        <v>1866</v>
      </c>
      <c r="E33" s="2140"/>
      <c r="F33" s="2141"/>
      <c r="G33" s="2114"/>
      <c r="H33" s="2747" t="s">
        <v>1867</v>
      </c>
      <c r="I33" s="2747"/>
      <c r="J33" s="2747"/>
      <c r="K33" s="2747"/>
      <c r="L33" s="2748"/>
      <c r="M33" s="2142"/>
      <c r="N33" s="2114"/>
      <c r="O33" s="2114"/>
      <c r="P33" s="2114"/>
      <c r="Q33" s="2114"/>
      <c r="R33" s="2114"/>
      <c r="S33" s="2114"/>
    </row>
    <row r="34" spans="1:19" ht="5.25" customHeight="1" thickBot="1" x14ac:dyDescent="0.3">
      <c r="A34" s="2114"/>
      <c r="B34" s="2143"/>
      <c r="C34" s="2144"/>
      <c r="D34" s="2144"/>
      <c r="E34" s="2144"/>
      <c r="F34" s="2144"/>
      <c r="G34" s="2144"/>
      <c r="H34" s="2144"/>
      <c r="I34" s="2145"/>
      <c r="J34" s="2145"/>
      <c r="K34" s="2145"/>
      <c r="L34" s="2145"/>
      <c r="M34" s="2146"/>
      <c r="N34" s="2114"/>
      <c r="O34" s="2114"/>
    </row>
    <row r="35" spans="1:19" ht="9" customHeight="1" x14ac:dyDescent="0.25">
      <c r="A35" s="2114"/>
      <c r="B35" s="2141"/>
      <c r="C35" s="2141"/>
      <c r="D35" s="2141"/>
      <c r="E35" s="2132"/>
      <c r="F35" s="2140"/>
      <c r="G35" s="2141"/>
      <c r="H35" s="2141"/>
      <c r="I35" s="2141"/>
      <c r="J35" s="2141"/>
      <c r="K35" s="2141"/>
      <c r="L35" s="2141"/>
      <c r="M35" s="2132"/>
      <c r="N35" s="2114"/>
    </row>
    <row r="36" spans="1:19" ht="14.45" customHeight="1" x14ac:dyDescent="0.25">
      <c r="B36" s="2749" t="s">
        <v>1868</v>
      </c>
      <c r="C36" s="2749"/>
      <c r="D36" s="2749"/>
      <c r="E36" s="2749"/>
      <c r="F36" s="2749"/>
      <c r="G36" s="2749"/>
      <c r="H36" s="2749"/>
      <c r="I36" s="2749"/>
      <c r="J36" s="2749"/>
      <c r="K36" s="2749"/>
      <c r="L36" s="2749"/>
      <c r="M36" s="2749"/>
    </row>
    <row r="37" spans="1:19" ht="14.45" customHeight="1" x14ac:dyDescent="0.25">
      <c r="B37" s="2147"/>
      <c r="C37" s="2147"/>
      <c r="D37" s="2147"/>
      <c r="E37" s="2147"/>
      <c r="F37" s="2147"/>
      <c r="G37" s="2147"/>
      <c r="H37" s="2147"/>
      <c r="I37" s="2147"/>
      <c r="J37" s="2147"/>
      <c r="K37" s="2147"/>
      <c r="L37" s="2147"/>
      <c r="M37" s="2147"/>
    </row>
    <row r="38" spans="1:19" ht="14.45" customHeight="1" x14ac:dyDescent="0.25">
      <c r="B38" s="2099" t="s">
        <v>1869</v>
      </c>
      <c r="I38" s="2148" t="s">
        <v>481</v>
      </c>
    </row>
    <row r="39" spans="1:19" x14ac:dyDescent="0.25">
      <c r="B39" s="2149"/>
      <c r="C39" s="2150"/>
      <c r="D39" s="2151"/>
      <c r="E39" s="2152" t="s">
        <v>1870</v>
      </c>
      <c r="I39" s="2115" t="s">
        <v>580</v>
      </c>
      <c r="K39" s="711" t="s">
        <v>28</v>
      </c>
    </row>
    <row r="40" spans="1:19" x14ac:dyDescent="0.25">
      <c r="B40" s="2149"/>
      <c r="C40" s="2150"/>
      <c r="D40" s="2151"/>
      <c r="E40" s="2153" t="s">
        <v>583</v>
      </c>
      <c r="I40" s="2115"/>
      <c r="K40" s="711" t="s">
        <v>161</v>
      </c>
    </row>
    <row r="41" spans="1:19" x14ac:dyDescent="0.25">
      <c r="B41" s="2149"/>
      <c r="C41" s="2150"/>
      <c r="D41" s="2151"/>
      <c r="E41" s="2152" t="s">
        <v>1871</v>
      </c>
    </row>
    <row r="42" spans="1:19" x14ac:dyDescent="0.25">
      <c r="B42" s="2149"/>
      <c r="C42" s="2150" t="s">
        <v>580</v>
      </c>
      <c r="D42" s="2151"/>
      <c r="E42" s="2152" t="s">
        <v>1872</v>
      </c>
      <c r="I42" s="2148" t="s">
        <v>1873</v>
      </c>
    </row>
    <row r="43" spans="1:19" x14ac:dyDescent="0.25">
      <c r="B43" s="2149"/>
      <c r="C43" s="2150"/>
      <c r="D43" s="2151"/>
      <c r="E43" s="2152" t="s">
        <v>1874</v>
      </c>
      <c r="I43" s="2115" t="s">
        <v>580</v>
      </c>
      <c r="J43" s="711" t="s">
        <v>1875</v>
      </c>
    </row>
    <row r="44" spans="1:19" x14ac:dyDescent="0.25">
      <c r="B44" s="2735"/>
      <c r="C44" s="2736"/>
      <c r="D44" s="2737"/>
      <c r="E44" s="2152" t="s">
        <v>1876</v>
      </c>
      <c r="I44" s="2115"/>
      <c r="J44" s="711" t="s">
        <v>1877</v>
      </c>
    </row>
    <row r="45" spans="1:19" x14ac:dyDescent="0.25">
      <c r="I45" s="2115"/>
      <c r="J45" s="711" t="s">
        <v>1878</v>
      </c>
    </row>
    <row r="46" spans="1:19" x14ac:dyDescent="0.25">
      <c r="B46" s="2148" t="s">
        <v>1879</v>
      </c>
      <c r="I46" s="2115"/>
      <c r="J46" s="711" t="s">
        <v>1880</v>
      </c>
    </row>
    <row r="47" spans="1:19" x14ac:dyDescent="0.25">
      <c r="B47" s="2735">
        <v>17</v>
      </c>
      <c r="C47" s="2736"/>
      <c r="D47" s="2737"/>
      <c r="E47" s="711" t="s">
        <v>1881</v>
      </c>
      <c r="I47" s="2115"/>
      <c r="J47" s="711" t="s">
        <v>1882</v>
      </c>
    </row>
  </sheetData>
  <mergeCells count="19">
    <mergeCell ref="C8:M8"/>
    <mergeCell ref="B1:M1"/>
    <mergeCell ref="B3:M3"/>
    <mergeCell ref="C5:M5"/>
    <mergeCell ref="C6:M6"/>
    <mergeCell ref="C7:M7"/>
    <mergeCell ref="B14:F15"/>
    <mergeCell ref="I14:K14"/>
    <mergeCell ref="B17:F18"/>
    <mergeCell ref="I17:K17"/>
    <mergeCell ref="B19:F19"/>
    <mergeCell ref="I19:K19"/>
    <mergeCell ref="B47:D47"/>
    <mergeCell ref="B21:L21"/>
    <mergeCell ref="B23:L23"/>
    <mergeCell ref="B30:M31"/>
    <mergeCell ref="H33:L33"/>
    <mergeCell ref="B36:M36"/>
    <mergeCell ref="B44:D44"/>
  </mergeCells>
  <dataValidations count="2">
    <dataValidation type="list" allowBlank="1" showInputMessage="1" prompt="Projects located in any county other than King County that fit the definition of an Urban Project may request to be allowed to use the TDC limits one category higher than their current category." sqref="M11">
      <formula1>Select_from_list</formula1>
    </dataValidation>
    <dataValidation allowBlank="1" showInputMessage="1" prompt="This should be entered as a negative number." sqref="M24:M25"/>
  </dataValidations>
  <pageMargins left="0.7" right="0.7" top="0.75" bottom="0.75" header="0.3" footer="0.3"/>
  <pageSetup scale="89" firstPageNumber="5" orientation="portrait" r:id="rId1"/>
  <headerFooter>
    <oddFooter>&amp;L&amp;A - &amp;P&amp;R2015 WSHFC 9% Addendum</oddFooter>
  </headerFooter>
  <colBreaks count="1" manualBreakCount="1">
    <brk id="14" max="1048575" man="1"/>
  </col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3.xml><?xml version="1.0" encoding="utf-8"?>
<ds:datastoreItem xmlns:ds="http://schemas.openxmlformats.org/officeDocument/2006/customXml" ds:itemID="{C088124F-3F6E-46A5-ADA0-2AB11E915610}">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63979cc8-f6b2-4ee6-8bed-630b6048d169"/>
    <ds:schemaRef ds:uri="http://purl.org/dc/terms/"/>
    <ds:schemaRef ds:uri="http://schemas.microsoft.com/office/2006/documentManagement/types"/>
    <ds:schemaRef ds:uri="http://schemas.openxmlformats.org/package/2006/metadata/core-properties"/>
    <ds:schemaRef ds:uri="59db5950-9a61-4c09-b3e2-fe6d472fba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241</vt:i4>
      </vt:variant>
    </vt:vector>
  </HeadingPairs>
  <TitlesOfParts>
    <vt:vector size="277" baseType="lpstr">
      <vt:lpstr>Dropdowns</vt:lpstr>
      <vt:lpstr>ESDS-Reference Table</vt:lpstr>
      <vt:lpstr>ESDS-Lookup Table</vt:lpstr>
      <vt:lpstr>5 Default Check</vt:lpstr>
      <vt:lpstr>LIHTC_ScoringLists</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vt:lpstr>
      <vt:lpstr>TDC Limit</vt:lpstr>
      <vt:lpstr>Act_Typ</vt:lpstr>
      <vt:lpstr>Activity_Type</vt:lpstr>
      <vt:lpstr>Actual_or_Percent</vt:lpstr>
      <vt:lpstr>AMIs</vt:lpstr>
      <vt:lpstr>Beds</vt:lpstr>
      <vt:lpstr>Bond_DevFees</vt:lpstr>
      <vt:lpstr>Bond_LIH_Commitment</vt:lpstr>
      <vt:lpstr>Bond_LIH40percent</vt:lpstr>
      <vt:lpstr>Bond_LIH50percent</vt:lpstr>
      <vt:lpstr>Bond_LIH60percent</vt:lpstr>
      <vt:lpstr>Bond_LvgPubRes_10</vt:lpstr>
      <vt:lpstr>Bond_LvgTaxBonds_7</vt:lpstr>
      <vt:lpstr>Bond_NP_Sponsor</vt:lpstr>
      <vt:lpstr>Bond_PBRA</vt:lpstr>
      <vt:lpstr>Bond_PriorityPopulations10</vt:lpstr>
      <vt:lpstr>Bond_PriorityPopulations100</vt:lpstr>
      <vt:lpstr>Bond_PriorityPopulations20</vt:lpstr>
      <vt:lpstr>Bond_Years</vt:lpstr>
      <vt:lpstr>Building_ID_or_Name</vt:lpstr>
      <vt:lpstr>Building_Type</vt:lpstr>
      <vt:lpstr>Debt_Type</vt:lpstr>
      <vt:lpstr>Enable</vt:lpstr>
      <vt:lpstr>Fund_Source</vt:lpstr>
      <vt:lpstr>G_or_L</vt:lpstr>
      <vt:lpstr>Grant</vt:lpstr>
      <vt:lpstr>Grant_or_Loan</vt:lpstr>
      <vt:lpstr>GrantType</vt:lpstr>
      <vt:lpstr>LIHTC_DevFees</vt:lpstr>
      <vt:lpstr>LIHTC_eligible_tribes</vt:lpstr>
      <vt:lpstr>LIHTC_federal_funding_sources</vt:lpstr>
      <vt:lpstr>LIHTC_higher_income</vt:lpstr>
      <vt:lpstr>LIHTC_Historic</vt:lpstr>
      <vt:lpstr>LIHTC_Homeless75</vt:lpstr>
      <vt:lpstr>LIHTC_in_within</vt:lpstr>
      <vt:lpstr>LIHTC_Inc_Higher</vt:lpstr>
      <vt:lpstr>LIHTC_Inc_Lower</vt:lpstr>
      <vt:lpstr>LIHTC_Inc_percent</vt:lpstr>
      <vt:lpstr>LIHTC_job_centers</vt:lpstr>
      <vt:lpstr>LIHTC_KC_HTF</vt:lpstr>
      <vt:lpstr>LIHTC_KC_only</vt:lpstr>
      <vt:lpstr>LIHTC_KC_OppArea</vt:lpstr>
      <vt:lpstr>LIHTC_local_funding_counties</vt:lpstr>
      <vt:lpstr>LIHTC_local_funding_sources</vt:lpstr>
      <vt:lpstr>LIHTC_local_funding_types</vt:lpstr>
      <vt:lpstr>LIHTC_location_eff</vt:lpstr>
      <vt:lpstr>LIHTC_lower_income</vt:lpstr>
      <vt:lpstr>LIHTC_NPSponsor</vt:lpstr>
      <vt:lpstr>LIHTC_SpecNeeds20</vt:lpstr>
      <vt:lpstr>LIHTC_Years</vt:lpstr>
      <vt:lpstr>Loan</vt:lpstr>
      <vt:lpstr>LoanType</vt:lpstr>
      <vt:lpstr>Non_LIH_Units</vt:lpstr>
      <vt:lpstr>NonRes_FundSource</vt:lpstr>
      <vt:lpstr>NP_Donation</vt:lpstr>
      <vt:lpstr>OnSite_OffSite</vt:lpstr>
      <vt:lpstr>OnTime_OnBudget</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'TDC Limit'!Print_Area</vt:lpstr>
      <vt:lpstr>'6A'!Print_Titles</vt:lpstr>
      <vt:lpstr>'6B'!Print_Titles</vt:lpstr>
      <vt:lpstr>'6C'!Print_Titles</vt:lpstr>
      <vt:lpstr>Project_Status</vt:lpstr>
      <vt:lpstr>Project_Type</vt:lpstr>
      <vt:lpstr>property_type_10</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lpstr>'11B'!Z_BF20CC56_EA05_47B4_8174_543B4536EDD8_.wvu.PrintArea</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Burns, Heather</cp:lastModifiedBy>
  <cp:lastPrinted>2016-09-13T16:36:36Z</cp:lastPrinted>
  <dcterms:created xsi:type="dcterms:W3CDTF">2015-05-06T15:11:33Z</dcterms:created>
  <dcterms:modified xsi:type="dcterms:W3CDTF">2016-11-22T22:38:48Z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